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emf" ContentType="image/x-emf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drawings/drawing6.xml" ContentType="application/vnd.openxmlformats-officedocument.drawingml.chartshapes+xml"/>
  <Override PartName="/xl/drawings/drawing7.xml" ContentType="application/vnd.openxmlformats-officedocument.drawingml.chartshapes+xml"/>
  <Override PartName="/xl/drawings/drawing4.xml" ContentType="application/vnd.openxmlformats-officedocument.drawingml.chartshapes+xml"/>
  <Override PartName="/xl/drawings/drawing5.xml" ContentType="application/vnd.openxmlformats-officedocument.drawingml.chartshapes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charts/chart6.xml" ContentType="application/vnd.openxmlformats-officedocument.drawingml.chart+xml"/>
  <Override PartName="/xl/embeddings/oleObject1.bin" ContentType="application/vnd.openxmlformats-officedocument.oleObject"/>
  <Override PartName="/xl/drawings/drawing3.xml" ContentType="application/vnd.openxmlformats-officedocument.drawing+xml"/>
  <Override PartName="/xl/charts/chart2.xml" ContentType="application/vnd.openxmlformats-officedocument.drawingml.chart+xml"/>
  <Override PartName="/xl/drawings/drawing2.xml" ContentType="application/vnd.openxmlformats-officedocument.drawing+xml"/>
  <Override PartName="/xl/charts/chart1.xml" ContentType="application/vnd.openxmlformats-officedocument.drawingml.chart+xml"/>
  <Override PartName="/xl/charts/chart5.xml" ContentType="application/vnd.openxmlformats-officedocument.drawingml.chart+xml"/>
  <Override PartName="/xl/charts/chart3.xml" ContentType="application/vnd.openxmlformats-officedocument.drawingml.chart+xml"/>
  <Override PartName="/xl/styles.xml" ContentType="application/vnd.openxmlformats-officedocument.spreadsheetml.styles+xml"/>
  <Override PartName="/xl/charts/chart4.xml" ContentType="application/vnd.openxmlformats-officedocument.drawingml.chart+xml"/>
  <Override PartName="/xl/sharedStrings.xml" ContentType="application/vnd.openxmlformats-officedocument.spreadsheetml.sharedStrings+xml"/>
  <Override PartName="/docProps/app.xml" ContentType="application/vnd.openxmlformats-officedocument.extended-propertie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customXml/itemProps2.xml" ContentType="application/vnd.openxmlformats-officedocument.customXmlProperties+xml"/>
  <Override PartName="/customXml/itemProps1.xml" ContentType="application/vnd.openxmlformats-officedocument.customXmlProperties+xml"/>
  <Override PartName="/customXml/itemProps3.xml" ContentType="application/vnd.openxmlformats-officedocument.customXml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D:\IC\Design Tools UNprotected\"/>
    </mc:Choice>
  </mc:AlternateContent>
  <bookViews>
    <workbookView xWindow="0" yWindow="0" windowWidth="19180" windowHeight="6990"/>
  </bookViews>
  <sheets>
    <sheet name="Power Loss" sheetId="1" r:id="rId1"/>
    <sheet name="Efficiency Summary" sheetId="2" r:id="rId2"/>
    <sheet name="Compensator" sheetId="6" r:id="rId3"/>
  </sheets>
  <definedNames>
    <definedName name="_Cap1">Compensator!$M$15</definedName>
    <definedName name="_Cap2">Compensator!$M$16</definedName>
    <definedName name="_Cfb1">Compensator!$C$18</definedName>
    <definedName name="_Cfb2">Compensator!$C$19</definedName>
    <definedName name="_R3">Compensator!$C$20</definedName>
    <definedName name="_R3_T">Compensator!$E$20</definedName>
    <definedName name="_Res1">Compensator!$M$14</definedName>
    <definedName name="_Rfb1">Compensator!$C$16</definedName>
    <definedName name="_Rfb2">Compensator!$C$17</definedName>
    <definedName name="cap">'Power Loss'!$B$19</definedName>
    <definedName name="D">'Power Loss'!$F$6</definedName>
    <definedName name="DCR">'Power Loss'!$B$15</definedName>
    <definedName name="Dmax">#REF!</definedName>
    <definedName name="EA_DC">#REF!</definedName>
    <definedName name="Efficiency">'Power Loss'!$B$83</definedName>
    <definedName name="esr">'Power Loss'!$B$20</definedName>
    <definedName name="F0">#REF!</definedName>
    <definedName name="Fc">Compensator!$M$13</definedName>
    <definedName name="Fesr">Compensator!$C$10</definedName>
    <definedName name="Fm">Compensator!$A$28</definedName>
    <definedName name="Fo">Compensator!$C$11</definedName>
    <definedName name="Fs">'Power Loss'!$B$5</definedName>
    <definedName name="Fstart">Compensator!$C$40</definedName>
    <definedName name="Fstep">Compensator!$C$42</definedName>
    <definedName name="Fstop">Compensator!$C$41</definedName>
    <definedName name="Gdo">Compensator!$C$9</definedName>
    <definedName name="gm">Compensator!$M$11</definedName>
    <definedName name="Il_rms">'Power Loss'!$F$10</definedName>
    <definedName name="Imax">'Efficiency Summary'!$B$9</definedName>
    <definedName name="Imin">'Efficiency Summary'!$B$8</definedName>
    <definedName name="Iout">'Power Loss'!$B$8</definedName>
    <definedName name="Irip">'Power Loss'!$F$12</definedName>
    <definedName name="Iu_rms">'Power Loss'!$F$9</definedName>
    <definedName name="LIR">'Power Loss'!$B$11</definedName>
    <definedName name="Lout">'Power Loss'!$B$14</definedName>
    <definedName name="Mc">Compensator!$M$8</definedName>
    <definedName name="ncap">'Power Loss'!$B$18</definedName>
    <definedName name="Q">Compensator!$C$12</definedName>
    <definedName name="Qn">Compensator!$A$26</definedName>
    <definedName name="Ron_l">'Power Loss'!$B$50</definedName>
    <definedName name="Ron_u">'Power Loss'!$B$33</definedName>
    <definedName name="Rout">'Power Loss'!$F$7</definedName>
    <definedName name="Rt">Compensator!$M$5</definedName>
    <definedName name="Se">Compensator!$M$6</definedName>
    <definedName name="Sn">Compensator!$M$7</definedName>
    <definedName name="Step">Compensator!$C$43</definedName>
    <definedName name="Tloss">'Power Loss'!$B$82</definedName>
    <definedName name="Vfb">Compensator!$M$10</definedName>
    <definedName name="Vin">'Power Loss'!$B$6</definedName>
    <definedName name="Vout">'Power Loss'!$B$7</definedName>
    <definedName name="Wn">Compensator!$A$25</definedName>
  </definedNames>
  <calcPr calcId="162913"/>
</workbook>
</file>

<file path=xl/calcChain.xml><?xml version="1.0" encoding="utf-8"?>
<calcChain xmlns="http://schemas.openxmlformats.org/spreadsheetml/2006/main">
  <c r="B26" i="1" l="1"/>
  <c r="B23" i="1"/>
  <c r="J28" i="1" l="1"/>
  <c r="F7" i="1" l="1"/>
  <c r="F18" i="1" l="1"/>
  <c r="E20" i="1" l="1"/>
  <c r="F21" i="1"/>
  <c r="F22" i="1" s="1"/>
  <c r="A7" i="1"/>
  <c r="A6" i="1"/>
  <c r="F17" i="1" l="1"/>
  <c r="I41" i="2" l="1"/>
  <c r="I40" i="2"/>
  <c r="I39" i="2"/>
  <c r="I38" i="2"/>
  <c r="I37" i="2"/>
  <c r="I36" i="2"/>
  <c r="I35" i="2"/>
  <c r="I34" i="2"/>
  <c r="I33" i="2"/>
  <c r="I32" i="2"/>
  <c r="I31" i="2"/>
  <c r="I30" i="2"/>
  <c r="I29" i="2"/>
  <c r="I28" i="2"/>
  <c r="I27" i="2"/>
  <c r="I26" i="2"/>
  <c r="I25" i="2"/>
  <c r="I24" i="2"/>
  <c r="I23" i="2"/>
  <c r="I22" i="2"/>
  <c r="I21" i="2"/>
  <c r="I20" i="2"/>
  <c r="I19" i="2"/>
  <c r="I18" i="2"/>
  <c r="I17" i="2"/>
  <c r="I16" i="2"/>
  <c r="I15" i="2"/>
  <c r="I14" i="2"/>
  <c r="I13" i="2"/>
  <c r="I12" i="2"/>
  <c r="B71" i="1"/>
  <c r="C45" i="2" l="1"/>
  <c r="F12" i="1" l="1"/>
  <c r="B60" i="1" s="1"/>
  <c r="B40" i="1"/>
  <c r="B39" i="1"/>
  <c r="E20" i="6" l="1"/>
  <c r="B119" i="2" l="1"/>
  <c r="M7" i="6" l="1"/>
  <c r="B115" i="2" l="1"/>
  <c r="B249" i="6" l="1"/>
  <c r="C249" i="6" s="1"/>
  <c r="BW264" i="6" s="1"/>
  <c r="B248" i="6"/>
  <c r="C248" i="6" s="1"/>
  <c r="BW263" i="6" s="1"/>
  <c r="B247" i="6"/>
  <c r="C247" i="6" s="1"/>
  <c r="BW262" i="6" s="1"/>
  <c r="B246" i="6"/>
  <c r="C246" i="6" s="1"/>
  <c r="BW261" i="6" s="1"/>
  <c r="B245" i="6"/>
  <c r="C245" i="6" s="1"/>
  <c r="BW260" i="6" s="1"/>
  <c r="B244" i="6"/>
  <c r="C244" i="6" s="1"/>
  <c r="BW259" i="6" s="1"/>
  <c r="B243" i="6"/>
  <c r="C243" i="6" s="1"/>
  <c r="BW258" i="6" s="1"/>
  <c r="B242" i="6"/>
  <c r="C242" i="6" s="1"/>
  <c r="BW257" i="6" s="1"/>
  <c r="B241" i="6"/>
  <c r="C241" i="6" s="1"/>
  <c r="BW256" i="6" s="1"/>
  <c r="B240" i="6"/>
  <c r="C240" i="6" s="1"/>
  <c r="BW255" i="6" s="1"/>
  <c r="B239" i="6"/>
  <c r="C239" i="6" s="1"/>
  <c r="BW254" i="6" s="1"/>
  <c r="B238" i="6"/>
  <c r="C238" i="6" s="1"/>
  <c r="BW253" i="6" s="1"/>
  <c r="B237" i="6"/>
  <c r="C237" i="6" s="1"/>
  <c r="BW252" i="6" s="1"/>
  <c r="B236" i="6"/>
  <c r="C236" i="6" s="1"/>
  <c r="BW251" i="6" s="1"/>
  <c r="B235" i="6"/>
  <c r="C235" i="6" s="1"/>
  <c r="BW250" i="6" s="1"/>
  <c r="B234" i="6"/>
  <c r="C234" i="6" s="1"/>
  <c r="BW249" i="6" s="1"/>
  <c r="B233" i="6"/>
  <c r="C233" i="6" s="1"/>
  <c r="BW248" i="6" s="1"/>
  <c r="B232" i="6"/>
  <c r="C232" i="6" s="1"/>
  <c r="BW247" i="6" s="1"/>
  <c r="B231" i="6"/>
  <c r="C231" i="6" s="1"/>
  <c r="BW246" i="6" s="1"/>
  <c r="B230" i="6"/>
  <c r="C230" i="6" s="1"/>
  <c r="BW245" i="6" s="1"/>
  <c r="B229" i="6"/>
  <c r="C229" i="6" s="1"/>
  <c r="BW244" i="6" s="1"/>
  <c r="B228" i="6"/>
  <c r="C228" i="6" s="1"/>
  <c r="BW243" i="6" s="1"/>
  <c r="B227" i="6"/>
  <c r="C227" i="6" s="1"/>
  <c r="BW242" i="6" s="1"/>
  <c r="B226" i="6"/>
  <c r="C226" i="6" s="1"/>
  <c r="BW241" i="6" s="1"/>
  <c r="B225" i="6"/>
  <c r="C225" i="6" s="1"/>
  <c r="BW240" i="6" s="1"/>
  <c r="B224" i="6"/>
  <c r="C224" i="6" s="1"/>
  <c r="BW239" i="6" s="1"/>
  <c r="B223" i="6"/>
  <c r="C223" i="6" s="1"/>
  <c r="BW238" i="6" s="1"/>
  <c r="B222" i="6"/>
  <c r="C222" i="6" s="1"/>
  <c r="BW237" i="6" s="1"/>
  <c r="B221" i="6"/>
  <c r="C221" i="6" s="1"/>
  <c r="BW236" i="6" s="1"/>
  <c r="B220" i="6"/>
  <c r="C220" i="6" s="1"/>
  <c r="BW235" i="6" s="1"/>
  <c r="B219" i="6"/>
  <c r="C219" i="6" s="1"/>
  <c r="BW234" i="6" s="1"/>
  <c r="B218" i="6"/>
  <c r="C218" i="6" s="1"/>
  <c r="BW233" i="6" s="1"/>
  <c r="B217" i="6"/>
  <c r="C217" i="6" s="1"/>
  <c r="BW232" i="6" s="1"/>
  <c r="B216" i="6"/>
  <c r="C216" i="6" s="1"/>
  <c r="BW231" i="6" s="1"/>
  <c r="B215" i="6"/>
  <c r="C215" i="6" s="1"/>
  <c r="BW230" i="6" s="1"/>
  <c r="B214" i="6"/>
  <c r="C214" i="6" s="1"/>
  <c r="BW229" i="6" s="1"/>
  <c r="B213" i="6"/>
  <c r="C213" i="6" s="1"/>
  <c r="BW228" i="6" s="1"/>
  <c r="B212" i="6"/>
  <c r="C212" i="6" s="1"/>
  <c r="BW227" i="6" s="1"/>
  <c r="B211" i="6"/>
  <c r="C211" i="6" s="1"/>
  <c r="BW226" i="6" s="1"/>
  <c r="B210" i="6"/>
  <c r="C210" i="6" s="1"/>
  <c r="BW225" i="6" s="1"/>
  <c r="B209" i="6"/>
  <c r="C209" i="6" s="1"/>
  <c r="BW224" i="6" s="1"/>
  <c r="B208" i="6"/>
  <c r="C208" i="6" s="1"/>
  <c r="BW223" i="6" s="1"/>
  <c r="B207" i="6"/>
  <c r="C207" i="6" s="1"/>
  <c r="BW222" i="6" s="1"/>
  <c r="B206" i="6"/>
  <c r="C206" i="6" s="1"/>
  <c r="BW221" i="6" s="1"/>
  <c r="B205" i="6"/>
  <c r="C205" i="6" s="1"/>
  <c r="BW220" i="6" s="1"/>
  <c r="B204" i="6"/>
  <c r="C204" i="6" s="1"/>
  <c r="BW219" i="6" s="1"/>
  <c r="B203" i="6"/>
  <c r="C203" i="6" s="1"/>
  <c r="BW218" i="6" s="1"/>
  <c r="B202" i="6"/>
  <c r="C202" i="6" s="1"/>
  <c r="BW217" i="6" s="1"/>
  <c r="B201" i="6"/>
  <c r="C201" i="6" s="1"/>
  <c r="BW216" i="6" s="1"/>
  <c r="B200" i="6"/>
  <c r="C200" i="6" s="1"/>
  <c r="BW215" i="6" s="1"/>
  <c r="B199" i="6"/>
  <c r="C199" i="6" s="1"/>
  <c r="BW214" i="6" s="1"/>
  <c r="B198" i="6"/>
  <c r="C198" i="6" s="1"/>
  <c r="BW213" i="6" s="1"/>
  <c r="B197" i="6"/>
  <c r="C197" i="6" s="1"/>
  <c r="BW212" i="6" s="1"/>
  <c r="B196" i="6"/>
  <c r="C196" i="6" s="1"/>
  <c r="BW211" i="6" s="1"/>
  <c r="B195" i="6"/>
  <c r="C195" i="6" s="1"/>
  <c r="BW210" i="6" s="1"/>
  <c r="B194" i="6"/>
  <c r="C194" i="6" s="1"/>
  <c r="BW209" i="6" s="1"/>
  <c r="B193" i="6"/>
  <c r="C193" i="6" s="1"/>
  <c r="BW208" i="6" s="1"/>
  <c r="B192" i="6"/>
  <c r="C192" i="6" s="1"/>
  <c r="BW207" i="6" s="1"/>
  <c r="B191" i="6"/>
  <c r="C191" i="6" s="1"/>
  <c r="BW206" i="6" s="1"/>
  <c r="B190" i="6"/>
  <c r="C190" i="6" s="1"/>
  <c r="BW205" i="6" s="1"/>
  <c r="B189" i="6"/>
  <c r="C189" i="6" s="1"/>
  <c r="BW204" i="6" s="1"/>
  <c r="B188" i="6"/>
  <c r="C188" i="6" s="1"/>
  <c r="BW203" i="6" s="1"/>
  <c r="B187" i="6"/>
  <c r="C187" i="6" s="1"/>
  <c r="BW202" i="6" s="1"/>
  <c r="B186" i="6"/>
  <c r="C186" i="6" s="1"/>
  <c r="BW201" i="6" s="1"/>
  <c r="B185" i="6"/>
  <c r="C185" i="6" s="1"/>
  <c r="BW200" i="6" s="1"/>
  <c r="B184" i="6"/>
  <c r="C184" i="6" s="1"/>
  <c r="BW199" i="6" s="1"/>
  <c r="B183" i="6"/>
  <c r="C183" i="6" s="1"/>
  <c r="BW198" i="6" s="1"/>
  <c r="B182" i="6"/>
  <c r="C182" i="6" s="1"/>
  <c r="BW197" i="6" s="1"/>
  <c r="B181" i="6"/>
  <c r="C181" i="6" s="1"/>
  <c r="BW196" i="6" s="1"/>
  <c r="B180" i="6"/>
  <c r="C180" i="6" s="1"/>
  <c r="BW195" i="6" s="1"/>
  <c r="B179" i="6"/>
  <c r="C179" i="6" s="1"/>
  <c r="BW194" i="6" s="1"/>
  <c r="B178" i="6"/>
  <c r="C178" i="6" s="1"/>
  <c r="BW193" i="6" s="1"/>
  <c r="B177" i="6"/>
  <c r="C177" i="6" s="1"/>
  <c r="BW192" i="6" s="1"/>
  <c r="B176" i="6"/>
  <c r="C176" i="6" s="1"/>
  <c r="BW191" i="6" s="1"/>
  <c r="B175" i="6"/>
  <c r="C175" i="6" s="1"/>
  <c r="BW190" i="6" s="1"/>
  <c r="B174" i="6"/>
  <c r="C174" i="6" s="1"/>
  <c r="BW189" i="6" s="1"/>
  <c r="B173" i="6"/>
  <c r="C173" i="6" s="1"/>
  <c r="BW188" i="6" s="1"/>
  <c r="B172" i="6"/>
  <c r="C172" i="6" s="1"/>
  <c r="BW187" i="6" s="1"/>
  <c r="B171" i="6"/>
  <c r="C171" i="6" s="1"/>
  <c r="BW186" i="6" s="1"/>
  <c r="B170" i="6"/>
  <c r="C170" i="6" s="1"/>
  <c r="BW185" i="6" s="1"/>
  <c r="B169" i="6"/>
  <c r="C169" i="6" s="1"/>
  <c r="BW184" i="6" s="1"/>
  <c r="B168" i="6"/>
  <c r="C168" i="6" s="1"/>
  <c r="BW183" i="6" s="1"/>
  <c r="B167" i="6"/>
  <c r="C167" i="6" s="1"/>
  <c r="BW182" i="6" s="1"/>
  <c r="B166" i="6"/>
  <c r="C166" i="6" s="1"/>
  <c r="BW181" i="6" s="1"/>
  <c r="B165" i="6"/>
  <c r="C165" i="6" s="1"/>
  <c r="BW180" i="6" s="1"/>
  <c r="B164" i="6"/>
  <c r="C164" i="6" s="1"/>
  <c r="BW179" i="6" s="1"/>
  <c r="B163" i="6"/>
  <c r="C163" i="6" s="1"/>
  <c r="BW178" i="6" s="1"/>
  <c r="B162" i="6"/>
  <c r="C162" i="6" s="1"/>
  <c r="BW177" i="6" s="1"/>
  <c r="B161" i="6"/>
  <c r="C161" i="6" s="1"/>
  <c r="BW176" i="6" s="1"/>
  <c r="B160" i="6"/>
  <c r="C160" i="6" s="1"/>
  <c r="BW175" i="6" s="1"/>
  <c r="B159" i="6"/>
  <c r="C159" i="6" s="1"/>
  <c r="BW174" i="6" s="1"/>
  <c r="B158" i="6"/>
  <c r="C158" i="6" s="1"/>
  <c r="BW173" i="6" s="1"/>
  <c r="B157" i="6"/>
  <c r="C157" i="6" s="1"/>
  <c r="BW172" i="6" s="1"/>
  <c r="B156" i="6"/>
  <c r="C156" i="6" s="1"/>
  <c r="BW171" i="6" s="1"/>
  <c r="B155" i="6"/>
  <c r="C155" i="6" s="1"/>
  <c r="BW170" i="6" s="1"/>
  <c r="B154" i="6"/>
  <c r="C154" i="6" s="1"/>
  <c r="BW169" i="6" s="1"/>
  <c r="B153" i="6"/>
  <c r="C153" i="6" s="1"/>
  <c r="BW168" i="6" s="1"/>
  <c r="B152" i="6"/>
  <c r="C152" i="6" s="1"/>
  <c r="BW167" i="6" s="1"/>
  <c r="B151" i="6"/>
  <c r="C151" i="6" s="1"/>
  <c r="BW166" i="6" s="1"/>
  <c r="B150" i="6"/>
  <c r="C150" i="6" s="1"/>
  <c r="BW165" i="6" s="1"/>
  <c r="B149" i="6"/>
  <c r="C149" i="6" s="1"/>
  <c r="BW164" i="6" s="1"/>
  <c r="B148" i="6"/>
  <c r="C148" i="6" s="1"/>
  <c r="BW163" i="6" s="1"/>
  <c r="B147" i="6"/>
  <c r="C147" i="6" s="1"/>
  <c r="BW162" i="6" s="1"/>
  <c r="B146" i="6"/>
  <c r="C146" i="6" s="1"/>
  <c r="BW161" i="6" s="1"/>
  <c r="B145" i="6"/>
  <c r="C145" i="6" s="1"/>
  <c r="BW160" i="6" s="1"/>
  <c r="B144" i="6"/>
  <c r="C144" i="6" s="1"/>
  <c r="BW159" i="6" s="1"/>
  <c r="B143" i="6"/>
  <c r="C143" i="6" s="1"/>
  <c r="BW158" i="6" s="1"/>
  <c r="B142" i="6"/>
  <c r="C142" i="6" s="1"/>
  <c r="BW157" i="6" s="1"/>
  <c r="B141" i="6"/>
  <c r="C141" i="6" s="1"/>
  <c r="BW156" i="6" s="1"/>
  <c r="B140" i="6"/>
  <c r="C140" i="6" s="1"/>
  <c r="BW155" i="6" s="1"/>
  <c r="B139" i="6"/>
  <c r="C139" i="6" s="1"/>
  <c r="BW154" i="6" s="1"/>
  <c r="B138" i="6"/>
  <c r="C138" i="6" s="1"/>
  <c r="BW153" i="6" s="1"/>
  <c r="B137" i="6"/>
  <c r="C137" i="6" s="1"/>
  <c r="BW152" i="6" s="1"/>
  <c r="B136" i="6"/>
  <c r="C136" i="6" s="1"/>
  <c r="BW151" i="6" s="1"/>
  <c r="B135" i="6"/>
  <c r="C135" i="6" s="1"/>
  <c r="BW150" i="6" s="1"/>
  <c r="B134" i="6"/>
  <c r="C134" i="6" s="1"/>
  <c r="BW149" i="6" s="1"/>
  <c r="B133" i="6"/>
  <c r="C133" i="6" s="1"/>
  <c r="BW148" i="6" s="1"/>
  <c r="B132" i="6"/>
  <c r="C132" i="6" s="1"/>
  <c r="BW147" i="6" s="1"/>
  <c r="B131" i="6"/>
  <c r="C131" i="6" s="1"/>
  <c r="BW146" i="6" s="1"/>
  <c r="B130" i="6"/>
  <c r="C130" i="6" s="1"/>
  <c r="BW145" i="6" s="1"/>
  <c r="B129" i="6"/>
  <c r="C129" i="6" s="1"/>
  <c r="BW144" i="6" s="1"/>
  <c r="B128" i="6"/>
  <c r="C128" i="6" s="1"/>
  <c r="BW143" i="6" s="1"/>
  <c r="B127" i="6"/>
  <c r="C127" i="6" s="1"/>
  <c r="BW142" i="6" s="1"/>
  <c r="B126" i="6"/>
  <c r="C126" i="6" s="1"/>
  <c r="BW141" i="6" s="1"/>
  <c r="B125" i="6"/>
  <c r="C125" i="6" s="1"/>
  <c r="BW140" i="6" s="1"/>
  <c r="B124" i="6"/>
  <c r="C124" i="6" s="1"/>
  <c r="BW139" i="6" s="1"/>
  <c r="B123" i="6"/>
  <c r="C123" i="6" s="1"/>
  <c r="BW138" i="6" s="1"/>
  <c r="B122" i="6"/>
  <c r="C122" i="6" s="1"/>
  <c r="BW137" i="6" s="1"/>
  <c r="B121" i="6"/>
  <c r="C121" i="6" s="1"/>
  <c r="BW136" i="6" s="1"/>
  <c r="B120" i="6"/>
  <c r="C120" i="6" s="1"/>
  <c r="BW135" i="6" s="1"/>
  <c r="B119" i="6"/>
  <c r="C119" i="6" s="1"/>
  <c r="BW134" i="6" s="1"/>
  <c r="B118" i="6"/>
  <c r="C118" i="6" s="1"/>
  <c r="BW133" i="6" s="1"/>
  <c r="B117" i="6"/>
  <c r="C117" i="6" s="1"/>
  <c r="BW132" i="6" s="1"/>
  <c r="B116" i="6"/>
  <c r="C116" i="6" s="1"/>
  <c r="BW131" i="6" s="1"/>
  <c r="B115" i="6"/>
  <c r="C115" i="6" s="1"/>
  <c r="BW130" i="6" s="1"/>
  <c r="B114" i="6"/>
  <c r="C114" i="6" s="1"/>
  <c r="BW129" i="6" s="1"/>
  <c r="B113" i="6"/>
  <c r="C113" i="6" s="1"/>
  <c r="BW128" i="6" s="1"/>
  <c r="B112" i="6"/>
  <c r="C112" i="6" s="1"/>
  <c r="BW127" i="6" s="1"/>
  <c r="B111" i="6"/>
  <c r="C111" i="6" s="1"/>
  <c r="BW126" i="6" s="1"/>
  <c r="B110" i="6"/>
  <c r="C110" i="6" s="1"/>
  <c r="BW125" i="6" s="1"/>
  <c r="B109" i="6"/>
  <c r="C109" i="6" s="1"/>
  <c r="BW124" i="6" s="1"/>
  <c r="B108" i="6"/>
  <c r="C108" i="6" s="1"/>
  <c r="BW123" i="6" s="1"/>
  <c r="B107" i="6"/>
  <c r="C107" i="6" s="1"/>
  <c r="BW122" i="6" s="1"/>
  <c r="B106" i="6"/>
  <c r="C106" i="6" s="1"/>
  <c r="BW121" i="6" s="1"/>
  <c r="B105" i="6"/>
  <c r="C105" i="6" s="1"/>
  <c r="BW120" i="6" s="1"/>
  <c r="B104" i="6"/>
  <c r="C104" i="6" s="1"/>
  <c r="BW119" i="6" s="1"/>
  <c r="B103" i="6"/>
  <c r="C103" i="6" s="1"/>
  <c r="BW118" i="6" s="1"/>
  <c r="B102" i="6"/>
  <c r="C102" i="6" s="1"/>
  <c r="BW117" i="6" s="1"/>
  <c r="B101" i="6"/>
  <c r="C101" i="6" s="1"/>
  <c r="BW116" i="6" s="1"/>
  <c r="B100" i="6"/>
  <c r="C100" i="6" s="1"/>
  <c r="BW115" i="6" s="1"/>
  <c r="B99" i="6"/>
  <c r="C99" i="6" s="1"/>
  <c r="BW114" i="6" s="1"/>
  <c r="B98" i="6"/>
  <c r="C98" i="6" s="1"/>
  <c r="BW113" i="6" s="1"/>
  <c r="B97" i="6"/>
  <c r="C97" i="6" s="1"/>
  <c r="BW112" i="6" s="1"/>
  <c r="B96" i="6"/>
  <c r="C96" i="6" s="1"/>
  <c r="BW111" i="6" s="1"/>
  <c r="B95" i="6"/>
  <c r="C95" i="6" s="1"/>
  <c r="BW110" i="6" s="1"/>
  <c r="B94" i="6"/>
  <c r="C94" i="6" s="1"/>
  <c r="BW109" i="6" s="1"/>
  <c r="B93" i="6"/>
  <c r="C93" i="6" s="1"/>
  <c r="BW108" i="6" s="1"/>
  <c r="B92" i="6"/>
  <c r="C92" i="6" s="1"/>
  <c r="BW107" i="6" s="1"/>
  <c r="B91" i="6"/>
  <c r="C91" i="6" s="1"/>
  <c r="BW106" i="6" s="1"/>
  <c r="B90" i="6"/>
  <c r="C90" i="6" s="1"/>
  <c r="BW105" i="6" s="1"/>
  <c r="B89" i="6"/>
  <c r="C89" i="6" s="1"/>
  <c r="BW104" i="6" s="1"/>
  <c r="B88" i="6"/>
  <c r="C88" i="6" s="1"/>
  <c r="BW103" i="6" s="1"/>
  <c r="B87" i="6"/>
  <c r="C87" i="6" s="1"/>
  <c r="BW102" i="6" s="1"/>
  <c r="B86" i="6"/>
  <c r="C86" i="6" s="1"/>
  <c r="B85" i="6"/>
  <c r="C85" i="6" s="1"/>
  <c r="BW100" i="6" s="1"/>
  <c r="B84" i="6"/>
  <c r="C84" i="6" s="1"/>
  <c r="BW99" i="6" s="1"/>
  <c r="B83" i="6"/>
  <c r="C83" i="6" s="1"/>
  <c r="BW98" i="6" s="1"/>
  <c r="B82" i="6"/>
  <c r="C82" i="6" s="1"/>
  <c r="BW97" i="6" s="1"/>
  <c r="B81" i="6"/>
  <c r="C81" i="6" s="1"/>
  <c r="BW96" i="6" s="1"/>
  <c r="B80" i="6"/>
  <c r="C80" i="6" s="1"/>
  <c r="BW95" i="6" s="1"/>
  <c r="B79" i="6"/>
  <c r="C79" i="6" s="1"/>
  <c r="BW94" i="6" s="1"/>
  <c r="B78" i="6"/>
  <c r="C78" i="6" s="1"/>
  <c r="BW93" i="6" s="1"/>
  <c r="B77" i="6"/>
  <c r="C77" i="6" s="1"/>
  <c r="BW92" i="6" s="1"/>
  <c r="B76" i="6"/>
  <c r="C76" i="6" s="1"/>
  <c r="BW91" i="6" s="1"/>
  <c r="B75" i="6"/>
  <c r="C75" i="6" s="1"/>
  <c r="BW90" i="6" s="1"/>
  <c r="B74" i="6"/>
  <c r="C74" i="6" s="1"/>
  <c r="BW89" i="6" s="1"/>
  <c r="B73" i="6"/>
  <c r="C73" i="6" s="1"/>
  <c r="BW88" i="6" s="1"/>
  <c r="B72" i="6"/>
  <c r="C72" i="6" s="1"/>
  <c r="BW87" i="6" s="1"/>
  <c r="B71" i="6"/>
  <c r="C71" i="6" s="1"/>
  <c r="BW86" i="6" s="1"/>
  <c r="B70" i="6"/>
  <c r="C70" i="6" s="1"/>
  <c r="BW85" i="6" s="1"/>
  <c r="B69" i="6"/>
  <c r="C69" i="6" s="1"/>
  <c r="BW84" i="6" s="1"/>
  <c r="B68" i="6"/>
  <c r="C68" i="6" s="1"/>
  <c r="BW83" i="6" s="1"/>
  <c r="B67" i="6"/>
  <c r="C67" i="6" s="1"/>
  <c r="BW82" i="6" s="1"/>
  <c r="B66" i="6"/>
  <c r="C66" i="6" s="1"/>
  <c r="BW81" i="6" s="1"/>
  <c r="B65" i="6"/>
  <c r="C65" i="6" s="1"/>
  <c r="BW80" i="6" s="1"/>
  <c r="B64" i="6"/>
  <c r="C64" i="6" s="1"/>
  <c r="BW79" i="6" s="1"/>
  <c r="B63" i="6"/>
  <c r="C63" i="6" s="1"/>
  <c r="BW78" i="6" s="1"/>
  <c r="B62" i="6"/>
  <c r="C62" i="6" s="1"/>
  <c r="BW77" i="6" s="1"/>
  <c r="B61" i="6"/>
  <c r="C61" i="6" s="1"/>
  <c r="BW76" i="6" s="1"/>
  <c r="B60" i="6"/>
  <c r="C60" i="6" s="1"/>
  <c r="BW75" i="6" s="1"/>
  <c r="B59" i="6"/>
  <c r="C59" i="6" s="1"/>
  <c r="BW74" i="6" s="1"/>
  <c r="B58" i="6"/>
  <c r="C58" i="6" s="1"/>
  <c r="BW73" i="6" s="1"/>
  <c r="B57" i="6"/>
  <c r="C57" i="6" s="1"/>
  <c r="BW72" i="6" s="1"/>
  <c r="B56" i="6"/>
  <c r="C56" i="6" s="1"/>
  <c r="BW71" i="6" s="1"/>
  <c r="B55" i="6"/>
  <c r="C55" i="6" s="1"/>
  <c r="BW70" i="6" s="1"/>
  <c r="B54" i="6"/>
  <c r="C54" i="6" s="1"/>
  <c r="BW69" i="6" s="1"/>
  <c r="B53" i="6"/>
  <c r="C53" i="6" s="1"/>
  <c r="BW68" i="6" s="1"/>
  <c r="B52" i="6"/>
  <c r="C52" i="6" s="1"/>
  <c r="BW67" i="6" s="1"/>
  <c r="B51" i="6"/>
  <c r="C51" i="6" s="1"/>
  <c r="BW66" i="6" s="1"/>
  <c r="B50" i="6"/>
  <c r="C50" i="6" s="1"/>
  <c r="BW65" i="6" s="1"/>
  <c r="B49" i="6"/>
  <c r="C49" i="6" s="1"/>
  <c r="BW64" i="6" s="1"/>
  <c r="M18" i="6"/>
  <c r="M17" i="6"/>
  <c r="A26" i="6"/>
  <c r="C17" i="6"/>
  <c r="C13" i="6"/>
  <c r="M9" i="6" s="1"/>
  <c r="C11" i="6"/>
  <c r="C10" i="6"/>
  <c r="AS101" i="6" l="1"/>
  <c r="BW101" i="6"/>
  <c r="AS125" i="6"/>
  <c r="BP125" i="6"/>
  <c r="BQ125" i="6"/>
  <c r="S122" i="6"/>
  <c r="BQ122" i="6"/>
  <c r="BP122" i="6"/>
  <c r="BP64" i="6"/>
  <c r="AQ136" i="6"/>
  <c r="BQ136" i="6"/>
  <c r="BP136" i="6"/>
  <c r="AL65" i="6"/>
  <c r="AM65" i="6" s="1"/>
  <c r="AN65" i="6" s="1"/>
  <c r="BQ65" i="6"/>
  <c r="BP65" i="6"/>
  <c r="AR73" i="6"/>
  <c r="BQ73" i="6"/>
  <c r="BP73" i="6"/>
  <c r="AQ81" i="6"/>
  <c r="BQ81" i="6"/>
  <c r="BP81" i="6"/>
  <c r="AQ89" i="6"/>
  <c r="BP89" i="6"/>
  <c r="BQ89" i="6"/>
  <c r="BP96" i="6"/>
  <c r="BQ96" i="6"/>
  <c r="BP100" i="6"/>
  <c r="BQ100" i="6"/>
  <c r="AR104" i="6"/>
  <c r="BP104" i="6"/>
  <c r="BQ104" i="6"/>
  <c r="AQ108" i="6"/>
  <c r="BP108" i="6"/>
  <c r="BQ108" i="6"/>
  <c r="AJ112" i="6"/>
  <c r="BP112" i="6"/>
  <c r="BQ112" i="6"/>
  <c r="AQ116" i="6"/>
  <c r="BP116" i="6"/>
  <c r="BQ116" i="6"/>
  <c r="AR120" i="6"/>
  <c r="BP120" i="6"/>
  <c r="BQ120" i="6"/>
  <c r="BP123" i="6"/>
  <c r="BQ123" i="6"/>
  <c r="BP126" i="6"/>
  <c r="BQ126" i="6"/>
  <c r="BQ130" i="6"/>
  <c r="BP130" i="6"/>
  <c r="BP134" i="6"/>
  <c r="BQ134" i="6"/>
  <c r="AR137" i="6"/>
  <c r="BP137" i="6"/>
  <c r="BQ137" i="6"/>
  <c r="AR141" i="6"/>
  <c r="BQ141" i="6"/>
  <c r="BP141" i="6"/>
  <c r="AJ145" i="6"/>
  <c r="BP145" i="6"/>
  <c r="BQ145" i="6"/>
  <c r="BP149" i="6"/>
  <c r="BQ149" i="6"/>
  <c r="BQ153" i="6"/>
  <c r="BP153" i="6"/>
  <c r="AS157" i="6"/>
  <c r="BP157" i="6"/>
  <c r="BQ157" i="6"/>
  <c r="AL161" i="6"/>
  <c r="AM161" i="6" s="1"/>
  <c r="AN161" i="6" s="1"/>
  <c r="BP161" i="6"/>
  <c r="BQ161" i="6"/>
  <c r="BP165" i="6"/>
  <c r="BQ165" i="6"/>
  <c r="BP169" i="6"/>
  <c r="BQ169" i="6"/>
  <c r="BQ173" i="6"/>
  <c r="BP173" i="6"/>
  <c r="BP177" i="6"/>
  <c r="BQ177" i="6"/>
  <c r="AL181" i="6"/>
  <c r="AM181" i="6" s="1"/>
  <c r="AN181" i="6" s="1"/>
  <c r="BQ181" i="6"/>
  <c r="BP181" i="6"/>
  <c r="BQ185" i="6"/>
  <c r="BP185" i="6"/>
  <c r="BQ189" i="6"/>
  <c r="BP189" i="6"/>
  <c r="AQ193" i="6"/>
  <c r="BQ193" i="6"/>
  <c r="BP193" i="6"/>
  <c r="BQ197" i="6"/>
  <c r="BP197" i="6"/>
  <c r="BQ201" i="6"/>
  <c r="BP201" i="6"/>
  <c r="BQ205" i="6"/>
  <c r="BP205" i="6"/>
  <c r="BQ209" i="6"/>
  <c r="BP209" i="6"/>
  <c r="BQ213" i="6"/>
  <c r="BP213" i="6"/>
  <c r="S217" i="6"/>
  <c r="BQ217" i="6"/>
  <c r="BP217" i="6"/>
  <c r="BQ221" i="6"/>
  <c r="BP221" i="6"/>
  <c r="AL225" i="6"/>
  <c r="AM225" i="6" s="1"/>
  <c r="AN225" i="6" s="1"/>
  <c r="BQ225" i="6"/>
  <c r="BP225" i="6"/>
  <c r="BQ229" i="6"/>
  <c r="BP229" i="6"/>
  <c r="AL233" i="6"/>
  <c r="AM233" i="6" s="1"/>
  <c r="AN233" i="6" s="1"/>
  <c r="BQ233" i="6"/>
  <c r="BP233" i="6"/>
  <c r="BQ237" i="6"/>
  <c r="BP237" i="6"/>
  <c r="AL241" i="6"/>
  <c r="AM241" i="6" s="1"/>
  <c r="AN241" i="6" s="1"/>
  <c r="BQ241" i="6"/>
  <c r="BP241" i="6"/>
  <c r="BQ245" i="6"/>
  <c r="BP245" i="6"/>
  <c r="AS249" i="6"/>
  <c r="BQ249" i="6"/>
  <c r="BP249" i="6"/>
  <c r="BQ253" i="6"/>
  <c r="BP253" i="6"/>
  <c r="AJ257" i="6"/>
  <c r="BQ257" i="6"/>
  <c r="BP257" i="6"/>
  <c r="BQ261" i="6"/>
  <c r="BP261" i="6"/>
  <c r="BQ66" i="6"/>
  <c r="BP66" i="6"/>
  <c r="BQ70" i="6"/>
  <c r="BP70" i="6"/>
  <c r="BP74" i="6"/>
  <c r="BQ74" i="6"/>
  <c r="BP78" i="6"/>
  <c r="BQ78" i="6"/>
  <c r="BQ82" i="6"/>
  <c r="BP82" i="6"/>
  <c r="BQ86" i="6"/>
  <c r="BP86" i="6"/>
  <c r="BQ90" i="6"/>
  <c r="BP90" i="6"/>
  <c r="AL97" i="6"/>
  <c r="AM97" i="6" s="1"/>
  <c r="AN97" i="6" s="1"/>
  <c r="BQ97" i="6"/>
  <c r="BP97" i="6"/>
  <c r="BP101" i="6"/>
  <c r="BQ101" i="6"/>
  <c r="BQ105" i="6"/>
  <c r="BP105" i="6"/>
  <c r="AS109" i="6"/>
  <c r="BP109" i="6"/>
  <c r="BQ109" i="6"/>
  <c r="BQ113" i="6"/>
  <c r="BP113" i="6"/>
  <c r="BP117" i="6"/>
  <c r="BQ117" i="6"/>
  <c r="BP121" i="6"/>
  <c r="BQ121" i="6"/>
  <c r="AQ124" i="6"/>
  <c r="BP124" i="6"/>
  <c r="BQ124" i="6"/>
  <c r="AR127" i="6"/>
  <c r="BP127" i="6"/>
  <c r="BQ127" i="6"/>
  <c r="AS131" i="6"/>
  <c r="BP131" i="6"/>
  <c r="BQ131" i="6"/>
  <c r="BP135" i="6"/>
  <c r="BQ135" i="6"/>
  <c r="BP138" i="6"/>
  <c r="BQ138" i="6"/>
  <c r="BQ142" i="6"/>
  <c r="BP142" i="6"/>
  <c r="BP146" i="6"/>
  <c r="BQ146" i="6"/>
  <c r="BP150" i="6"/>
  <c r="BQ150" i="6"/>
  <c r="BP154" i="6"/>
  <c r="BQ154" i="6"/>
  <c r="BP158" i="6"/>
  <c r="BQ158" i="6"/>
  <c r="BQ162" i="6"/>
  <c r="BP162" i="6"/>
  <c r="BP166" i="6"/>
  <c r="BQ166" i="6"/>
  <c r="BP170" i="6"/>
  <c r="BQ170" i="6"/>
  <c r="AR174" i="6"/>
  <c r="BQ174" i="6"/>
  <c r="BP174" i="6"/>
  <c r="BP178" i="6"/>
  <c r="BQ178" i="6"/>
  <c r="BP182" i="6"/>
  <c r="BQ182" i="6"/>
  <c r="BP186" i="6"/>
  <c r="BQ186" i="6"/>
  <c r="BP190" i="6"/>
  <c r="BQ190" i="6"/>
  <c r="BQ194" i="6"/>
  <c r="BP194" i="6"/>
  <c r="BP198" i="6"/>
  <c r="BQ198" i="6"/>
  <c r="BP202" i="6"/>
  <c r="BQ202" i="6"/>
  <c r="BP206" i="6"/>
  <c r="BQ206" i="6"/>
  <c r="BP210" i="6"/>
  <c r="BQ210" i="6"/>
  <c r="BP214" i="6"/>
  <c r="BQ214" i="6"/>
  <c r="BP218" i="6"/>
  <c r="BQ218" i="6"/>
  <c r="BP222" i="6"/>
  <c r="BQ222" i="6"/>
  <c r="BQ226" i="6"/>
  <c r="BP226" i="6"/>
  <c r="BP230" i="6"/>
  <c r="BQ230" i="6"/>
  <c r="BP234" i="6"/>
  <c r="BQ234" i="6"/>
  <c r="BP238" i="6"/>
  <c r="BQ238" i="6"/>
  <c r="BP242" i="6"/>
  <c r="BQ242" i="6"/>
  <c r="BP246" i="6"/>
  <c r="BQ246" i="6"/>
  <c r="BP250" i="6"/>
  <c r="BQ250" i="6"/>
  <c r="BP254" i="6"/>
  <c r="BQ254" i="6"/>
  <c r="BQ258" i="6"/>
  <c r="BP258" i="6"/>
  <c r="BP262" i="6"/>
  <c r="BQ262" i="6"/>
  <c r="BP263" i="6"/>
  <c r="BQ263" i="6"/>
  <c r="AR69" i="6"/>
  <c r="BP69" i="6"/>
  <c r="BQ69" i="6"/>
  <c r="AJ77" i="6"/>
  <c r="BP77" i="6"/>
  <c r="BQ77" i="6"/>
  <c r="AS85" i="6"/>
  <c r="BP85" i="6"/>
  <c r="BQ85" i="6"/>
  <c r="AJ93" i="6"/>
  <c r="BP93" i="6"/>
  <c r="BQ93" i="6"/>
  <c r="AR67" i="6"/>
  <c r="BP67" i="6"/>
  <c r="BQ67" i="6"/>
  <c r="S71" i="6"/>
  <c r="BP71" i="6"/>
  <c r="BQ71" i="6"/>
  <c r="AS75" i="6"/>
  <c r="BP75" i="6"/>
  <c r="BQ75" i="6"/>
  <c r="AJ79" i="6"/>
  <c r="BP79" i="6"/>
  <c r="BQ79" i="6"/>
  <c r="AS83" i="6"/>
  <c r="BP83" i="6"/>
  <c r="BQ83" i="6"/>
  <c r="AQ87" i="6"/>
  <c r="BP87" i="6"/>
  <c r="BQ87" i="6"/>
  <c r="AL91" i="6"/>
  <c r="AM91" i="6" s="1"/>
  <c r="AN91" i="6" s="1"/>
  <c r="BP91" i="6"/>
  <c r="BQ91" i="6"/>
  <c r="BP94" i="6"/>
  <c r="BQ94" i="6"/>
  <c r="BQ98" i="6"/>
  <c r="BP98" i="6"/>
  <c r="BQ102" i="6"/>
  <c r="BP102" i="6"/>
  <c r="BP106" i="6"/>
  <c r="BQ106" i="6"/>
  <c r="BP110" i="6"/>
  <c r="BQ110" i="6"/>
  <c r="BQ114" i="6"/>
  <c r="BP114" i="6"/>
  <c r="BQ118" i="6"/>
  <c r="BP118" i="6"/>
  <c r="AJ128" i="6"/>
  <c r="BP128" i="6"/>
  <c r="BQ128" i="6"/>
  <c r="BQ132" i="6"/>
  <c r="BP132" i="6"/>
  <c r="S139" i="6"/>
  <c r="BP139" i="6"/>
  <c r="BQ139" i="6"/>
  <c r="AL143" i="6"/>
  <c r="AM143" i="6" s="1"/>
  <c r="AN143" i="6" s="1"/>
  <c r="BP143" i="6"/>
  <c r="BQ143" i="6"/>
  <c r="BP147" i="6"/>
  <c r="BQ147" i="6"/>
  <c r="AR151" i="6"/>
  <c r="BP151" i="6"/>
  <c r="BQ151" i="6"/>
  <c r="BP155" i="6"/>
  <c r="BQ155" i="6"/>
  <c r="BP159" i="6"/>
  <c r="BQ159" i="6"/>
  <c r="BP163" i="6"/>
  <c r="BQ163" i="6"/>
  <c r="BP167" i="6"/>
  <c r="BQ167" i="6"/>
  <c r="AQ171" i="6"/>
  <c r="BP171" i="6"/>
  <c r="BQ171" i="6"/>
  <c r="BP175" i="6"/>
  <c r="BQ175" i="6"/>
  <c r="BP179" i="6"/>
  <c r="BQ179" i="6"/>
  <c r="BP183" i="6"/>
  <c r="BQ183" i="6"/>
  <c r="AL187" i="6"/>
  <c r="BP187" i="6"/>
  <c r="BQ187" i="6"/>
  <c r="BP191" i="6"/>
  <c r="BQ191" i="6"/>
  <c r="BP195" i="6"/>
  <c r="BQ195" i="6"/>
  <c r="BP199" i="6"/>
  <c r="BQ199" i="6"/>
  <c r="AL203" i="6"/>
  <c r="BP203" i="6"/>
  <c r="BQ203" i="6"/>
  <c r="BP207" i="6"/>
  <c r="BQ207" i="6"/>
  <c r="BP211" i="6"/>
  <c r="BQ211" i="6"/>
  <c r="BP215" i="6"/>
  <c r="BQ215" i="6"/>
  <c r="BP219" i="6"/>
  <c r="BQ219" i="6"/>
  <c r="BP223" i="6"/>
  <c r="BQ223" i="6"/>
  <c r="BP227" i="6"/>
  <c r="BQ227" i="6"/>
  <c r="BP231" i="6"/>
  <c r="BQ231" i="6"/>
  <c r="BP235" i="6"/>
  <c r="BQ235" i="6"/>
  <c r="BP239" i="6"/>
  <c r="BQ239" i="6"/>
  <c r="BP243" i="6"/>
  <c r="BQ243" i="6"/>
  <c r="BP247" i="6"/>
  <c r="BQ247" i="6"/>
  <c r="BP251" i="6"/>
  <c r="BQ251" i="6"/>
  <c r="BP255" i="6"/>
  <c r="BQ255" i="6"/>
  <c r="BP259" i="6"/>
  <c r="BQ259" i="6"/>
  <c r="BP68" i="6"/>
  <c r="BQ68" i="6"/>
  <c r="AS72" i="6"/>
  <c r="BP72" i="6"/>
  <c r="BQ72" i="6"/>
  <c r="BP76" i="6"/>
  <c r="BQ76" i="6"/>
  <c r="AL80" i="6"/>
  <c r="AM80" i="6" s="1"/>
  <c r="AN80" i="6" s="1"/>
  <c r="BP80" i="6"/>
  <c r="BQ80" i="6"/>
  <c r="BP84" i="6"/>
  <c r="BQ84" i="6"/>
  <c r="AR88" i="6"/>
  <c r="BP88" i="6"/>
  <c r="BQ88" i="6"/>
  <c r="BP92" i="6"/>
  <c r="BQ92" i="6"/>
  <c r="AQ95" i="6"/>
  <c r="BP95" i="6"/>
  <c r="BQ95" i="6"/>
  <c r="AS99" i="6"/>
  <c r="BP99" i="6"/>
  <c r="BQ99" i="6"/>
  <c r="S103" i="6"/>
  <c r="BP103" i="6"/>
  <c r="BQ103" i="6"/>
  <c r="AL107" i="6"/>
  <c r="AM107" i="6" s="1"/>
  <c r="AN107" i="6" s="1"/>
  <c r="BP107" i="6"/>
  <c r="BQ107" i="6"/>
  <c r="AR111" i="6"/>
  <c r="BP111" i="6"/>
  <c r="BQ111" i="6"/>
  <c r="BP115" i="6"/>
  <c r="BQ115" i="6"/>
  <c r="S119" i="6"/>
  <c r="BP119" i="6"/>
  <c r="BQ119" i="6"/>
  <c r="AL129" i="6"/>
  <c r="AM129" i="6" s="1"/>
  <c r="AN129" i="6" s="1"/>
  <c r="BP129" i="6"/>
  <c r="BQ129" i="6"/>
  <c r="BP133" i="6"/>
  <c r="BQ133" i="6"/>
  <c r="BP140" i="6"/>
  <c r="BQ140" i="6"/>
  <c r="BP144" i="6"/>
  <c r="BQ144" i="6"/>
  <c r="BQ148" i="6"/>
  <c r="BP148" i="6"/>
  <c r="BQ152" i="6"/>
  <c r="BP152" i="6"/>
  <c r="BP156" i="6"/>
  <c r="BQ156" i="6"/>
  <c r="BP160" i="6"/>
  <c r="BQ160" i="6"/>
  <c r="BQ164" i="6"/>
  <c r="BP164" i="6"/>
  <c r="AQ168" i="6"/>
  <c r="BQ168" i="6"/>
  <c r="BP168" i="6"/>
  <c r="BP172" i="6"/>
  <c r="BQ172" i="6"/>
  <c r="BP176" i="6"/>
  <c r="BQ176" i="6"/>
  <c r="AS180" i="6"/>
  <c r="BQ180" i="6"/>
  <c r="BP180" i="6"/>
  <c r="BP184" i="6"/>
  <c r="BQ184" i="6"/>
  <c r="BP188" i="6"/>
  <c r="BQ188" i="6"/>
  <c r="BP192" i="6"/>
  <c r="BQ192" i="6"/>
  <c r="BP196" i="6"/>
  <c r="BQ196" i="6"/>
  <c r="S200" i="6"/>
  <c r="BP200" i="6"/>
  <c r="BQ200" i="6"/>
  <c r="BP204" i="6"/>
  <c r="BQ204" i="6"/>
  <c r="BP208" i="6"/>
  <c r="BQ208" i="6"/>
  <c r="BP212" i="6"/>
  <c r="BQ212" i="6"/>
  <c r="AJ216" i="6"/>
  <c r="BP216" i="6"/>
  <c r="BQ216" i="6"/>
  <c r="AJ220" i="6"/>
  <c r="BP220" i="6"/>
  <c r="BQ220" i="6"/>
  <c r="BP224" i="6"/>
  <c r="BQ224" i="6"/>
  <c r="AL228" i="6"/>
  <c r="AM228" i="6" s="1"/>
  <c r="AN228" i="6" s="1"/>
  <c r="BP228" i="6"/>
  <c r="BQ228" i="6"/>
  <c r="BP232" i="6"/>
  <c r="BQ232" i="6"/>
  <c r="AQ236" i="6"/>
  <c r="BP236" i="6"/>
  <c r="BQ236" i="6"/>
  <c r="BP240" i="6"/>
  <c r="BQ240" i="6"/>
  <c r="AQ244" i="6"/>
  <c r="BP244" i="6"/>
  <c r="BQ244" i="6"/>
  <c r="AS248" i="6"/>
  <c r="BP248" i="6"/>
  <c r="BQ248" i="6"/>
  <c r="BP252" i="6"/>
  <c r="BQ252" i="6"/>
  <c r="BP256" i="6"/>
  <c r="BQ256" i="6"/>
  <c r="BP260" i="6"/>
  <c r="BQ260" i="6"/>
  <c r="BP264" i="6"/>
  <c r="BQ264" i="6"/>
  <c r="AK255" i="6"/>
  <c r="AS69" i="6"/>
  <c r="AS64" i="6"/>
  <c r="BQ64" i="6"/>
  <c r="S106" i="6"/>
  <c r="AS106" i="6"/>
  <c r="AR106" i="6"/>
  <c r="AJ119" i="6"/>
  <c r="AL131" i="6"/>
  <c r="AM131" i="6" s="1"/>
  <c r="AN131" i="6" s="1"/>
  <c r="AS91" i="6"/>
  <c r="AR122" i="6"/>
  <c r="S64" i="6"/>
  <c r="AQ111" i="6"/>
  <c r="AS122" i="6"/>
  <c r="AL151" i="6"/>
  <c r="AM151" i="6" s="1"/>
  <c r="AN151" i="6" s="1"/>
  <c r="AJ64" i="6"/>
  <c r="S75" i="6"/>
  <c r="AQ127" i="6"/>
  <c r="AS168" i="6"/>
  <c r="AR114" i="6"/>
  <c r="AJ114" i="6"/>
  <c r="S114" i="6"/>
  <c r="AJ96" i="6"/>
  <c r="AS96" i="6"/>
  <c r="AR96" i="6"/>
  <c r="AJ117" i="6"/>
  <c r="AS117" i="6"/>
  <c r="AR79" i="6"/>
  <c r="AL72" i="6"/>
  <c r="AM72" i="6" s="1"/>
  <c r="AN72" i="6" s="1"/>
  <c r="AL77" i="6"/>
  <c r="AM77" i="6" s="1"/>
  <c r="AN77" i="6" s="1"/>
  <c r="AJ88" i="6"/>
  <c r="AL93" i="6"/>
  <c r="AM93" i="6" s="1"/>
  <c r="AN93" i="6" s="1"/>
  <c r="AL99" i="6"/>
  <c r="AM99" i="6" s="1"/>
  <c r="AN99" i="6" s="1"/>
  <c r="AL104" i="6"/>
  <c r="AM104" i="6" s="1"/>
  <c r="AN104" i="6" s="1"/>
  <c r="AL109" i="6"/>
  <c r="AM109" i="6" s="1"/>
  <c r="AN109" i="6" s="1"/>
  <c r="AS112" i="6"/>
  <c r="AL120" i="6"/>
  <c r="AM120" i="6" s="1"/>
  <c r="AN120" i="6" s="1"/>
  <c r="AL125" i="6"/>
  <c r="AM125" i="6" s="1"/>
  <c r="AN125" i="6" s="1"/>
  <c r="AS128" i="6"/>
  <c r="AJ139" i="6"/>
  <c r="AL88" i="6"/>
  <c r="AM88" i="6" s="1"/>
  <c r="AN88" i="6" s="1"/>
  <c r="AQ64" i="6"/>
  <c r="AL67" i="6"/>
  <c r="AM67" i="6" s="1"/>
  <c r="AN67" i="6" s="1"/>
  <c r="AJ72" i="6"/>
  <c r="S87" i="6"/>
  <c r="AJ104" i="6"/>
  <c r="AJ109" i="6"/>
  <c r="AR112" i="6"/>
  <c r="AJ120" i="6"/>
  <c r="AJ125" i="6"/>
  <c r="AR128" i="6"/>
  <c r="AT128" i="6" s="1"/>
  <c r="AR82" i="6"/>
  <c r="S82" i="6"/>
  <c r="AQ82" i="6"/>
  <c r="AL82" i="6"/>
  <c r="AM82" i="6" s="1"/>
  <c r="AN82" i="6" s="1"/>
  <c r="AS82" i="6"/>
  <c r="AJ82" i="6"/>
  <c r="AL92" i="6"/>
  <c r="AM92" i="6" s="1"/>
  <c r="AN92" i="6" s="1"/>
  <c r="AS92" i="6"/>
  <c r="AJ92" i="6"/>
  <c r="AR92" i="6"/>
  <c r="AQ92" i="6"/>
  <c r="S92" i="6"/>
  <c r="AS110" i="6"/>
  <c r="AL110" i="6"/>
  <c r="AM110" i="6" s="1"/>
  <c r="AN110" i="6" s="1"/>
  <c r="AR110" i="6"/>
  <c r="AJ110" i="6"/>
  <c r="S110" i="6"/>
  <c r="AQ110" i="6"/>
  <c r="AS126" i="6"/>
  <c r="AL126" i="6"/>
  <c r="AM126" i="6" s="1"/>
  <c r="AN126" i="6" s="1"/>
  <c r="AR126" i="6"/>
  <c r="AJ126" i="6"/>
  <c r="S126" i="6"/>
  <c r="AQ126" i="6"/>
  <c r="AQ130" i="6"/>
  <c r="AL130" i="6"/>
  <c r="AM130" i="6" s="1"/>
  <c r="AN130" i="6" s="1"/>
  <c r="AS130" i="6"/>
  <c r="AJ130" i="6"/>
  <c r="AR130" i="6"/>
  <c r="S130" i="6"/>
  <c r="AR140" i="6"/>
  <c r="S140" i="6"/>
  <c r="AQ140" i="6"/>
  <c r="AS140" i="6"/>
  <c r="AL140" i="6"/>
  <c r="AM140" i="6" s="1"/>
  <c r="AN140" i="6" s="1"/>
  <c r="AJ140" i="6"/>
  <c r="AL194" i="6"/>
  <c r="AM194" i="6" s="1"/>
  <c r="AN194" i="6" s="1"/>
  <c r="AJ194" i="6"/>
  <c r="AR194" i="6"/>
  <c r="AS194" i="6"/>
  <c r="AQ194" i="6"/>
  <c r="S194" i="6"/>
  <c r="AS105" i="6"/>
  <c r="AJ105" i="6"/>
  <c r="AR105" i="6"/>
  <c r="S105" i="6"/>
  <c r="AQ105" i="6"/>
  <c r="AL105" i="6"/>
  <c r="AM105" i="6" s="1"/>
  <c r="AN105" i="6" s="1"/>
  <c r="AS121" i="6"/>
  <c r="AJ121" i="6"/>
  <c r="AR121" i="6"/>
  <c r="S121" i="6"/>
  <c r="AL121" i="6"/>
  <c r="AM121" i="6" s="1"/>
  <c r="AN121" i="6" s="1"/>
  <c r="AQ121" i="6"/>
  <c r="AS170" i="6"/>
  <c r="AJ170" i="6"/>
  <c r="AR170" i="6"/>
  <c r="AL170" i="6"/>
  <c r="AM170" i="6" s="1"/>
  <c r="AN170" i="6" s="1"/>
  <c r="AQ170" i="6"/>
  <c r="S170" i="6"/>
  <c r="AS188" i="6"/>
  <c r="AJ188" i="6"/>
  <c r="AQ188" i="6"/>
  <c r="S188" i="6"/>
  <c r="AL188" i="6"/>
  <c r="AM188" i="6" s="1"/>
  <c r="AN188" i="6" s="1"/>
  <c r="AR188" i="6"/>
  <c r="S202" i="6"/>
  <c r="AR202" i="6"/>
  <c r="AJ202" i="6"/>
  <c r="AQ202" i="6"/>
  <c r="AL202" i="6"/>
  <c r="AM202" i="6" s="1"/>
  <c r="AN202" i="6" s="1"/>
  <c r="AS202" i="6"/>
  <c r="AS224" i="6"/>
  <c r="AJ224" i="6"/>
  <c r="AR224" i="6"/>
  <c r="S224" i="6"/>
  <c r="AQ224" i="6"/>
  <c r="AL224" i="6"/>
  <c r="AM224" i="6" s="1"/>
  <c r="AN224" i="6" s="1"/>
  <c r="AS264" i="6"/>
  <c r="AJ264" i="6"/>
  <c r="S264" i="6"/>
  <c r="AR264" i="6"/>
  <c r="AQ264" i="6"/>
  <c r="AL264" i="6"/>
  <c r="AM264" i="6" s="1"/>
  <c r="AN264" i="6" s="1"/>
  <c r="AS113" i="6"/>
  <c r="AJ113" i="6"/>
  <c r="AR113" i="6"/>
  <c r="S113" i="6"/>
  <c r="AQ113" i="6"/>
  <c r="AL113" i="6"/>
  <c r="AM113" i="6" s="1"/>
  <c r="AN113" i="6" s="1"/>
  <c r="AS232" i="6"/>
  <c r="AR232" i="6"/>
  <c r="S232" i="6"/>
  <c r="AJ232" i="6"/>
  <c r="AQ232" i="6"/>
  <c r="AL232" i="6"/>
  <c r="AM232" i="6" s="1"/>
  <c r="AN232" i="6" s="1"/>
  <c r="AS256" i="6"/>
  <c r="AJ256" i="6"/>
  <c r="AQ256" i="6"/>
  <c r="AR256" i="6"/>
  <c r="AL256" i="6"/>
  <c r="AM256" i="6" s="1"/>
  <c r="AN256" i="6" s="1"/>
  <c r="S256" i="6"/>
  <c r="AQ66" i="6"/>
  <c r="AL66" i="6"/>
  <c r="AM66" i="6" s="1"/>
  <c r="AN66" i="6" s="1"/>
  <c r="AS66" i="6"/>
  <c r="AJ66" i="6"/>
  <c r="S66" i="6"/>
  <c r="AR66" i="6"/>
  <c r="AL76" i="6"/>
  <c r="AM76" i="6" s="1"/>
  <c r="AN76" i="6" s="1"/>
  <c r="AS76" i="6"/>
  <c r="AJ76" i="6"/>
  <c r="AR76" i="6"/>
  <c r="AQ76" i="6"/>
  <c r="S76" i="6"/>
  <c r="AQ98" i="6"/>
  <c r="AL98" i="6"/>
  <c r="AM98" i="6" s="1"/>
  <c r="AN98" i="6" s="1"/>
  <c r="AS98" i="6"/>
  <c r="AJ98" i="6"/>
  <c r="S98" i="6"/>
  <c r="AR98" i="6"/>
  <c r="AR146" i="6"/>
  <c r="AJ146" i="6"/>
  <c r="AL146" i="6"/>
  <c r="AM146" i="6" s="1"/>
  <c r="AN146" i="6" s="1"/>
  <c r="S146" i="6"/>
  <c r="AS146" i="6"/>
  <c r="AQ146" i="6"/>
  <c r="AS156" i="6"/>
  <c r="AJ156" i="6"/>
  <c r="AR156" i="6"/>
  <c r="S156" i="6"/>
  <c r="AQ156" i="6"/>
  <c r="AL156" i="6"/>
  <c r="AM156" i="6" s="1"/>
  <c r="AN156" i="6" s="1"/>
  <c r="AQ162" i="6"/>
  <c r="AR162" i="6"/>
  <c r="AL162" i="6"/>
  <c r="AM162" i="6" s="1"/>
  <c r="AN162" i="6" s="1"/>
  <c r="AJ162" i="6"/>
  <c r="S162" i="6"/>
  <c r="AS162" i="6"/>
  <c r="AS68" i="6"/>
  <c r="AJ68" i="6"/>
  <c r="AR68" i="6"/>
  <c r="S68" i="6"/>
  <c r="AQ68" i="6"/>
  <c r="AL68" i="6"/>
  <c r="AM68" i="6" s="1"/>
  <c r="AN68" i="6" s="1"/>
  <c r="AR74" i="6"/>
  <c r="S74" i="6"/>
  <c r="AQ74" i="6"/>
  <c r="AL74" i="6"/>
  <c r="AM74" i="6" s="1"/>
  <c r="AN74" i="6" s="1"/>
  <c r="AS74" i="6"/>
  <c r="AJ74" i="6"/>
  <c r="AL84" i="6"/>
  <c r="AM84" i="6" s="1"/>
  <c r="AN84" i="6" s="1"/>
  <c r="AS84" i="6"/>
  <c r="AJ84" i="6"/>
  <c r="S84" i="6"/>
  <c r="AR84" i="6"/>
  <c r="AQ84" i="6"/>
  <c r="AQ90" i="6"/>
  <c r="AL90" i="6"/>
  <c r="AM90" i="6" s="1"/>
  <c r="AN90" i="6" s="1"/>
  <c r="AJ90" i="6"/>
  <c r="AR90" i="6"/>
  <c r="S90" i="6"/>
  <c r="AS90" i="6"/>
  <c r="AL100" i="6"/>
  <c r="AM100" i="6" s="1"/>
  <c r="AN100" i="6" s="1"/>
  <c r="AS100" i="6"/>
  <c r="AJ100" i="6"/>
  <c r="S100" i="6"/>
  <c r="AR100" i="6"/>
  <c r="AQ100" i="6"/>
  <c r="AS118" i="6"/>
  <c r="AL118" i="6"/>
  <c r="AM118" i="6" s="1"/>
  <c r="AN118" i="6" s="1"/>
  <c r="AR118" i="6"/>
  <c r="AJ118" i="6"/>
  <c r="AQ118" i="6"/>
  <c r="S118" i="6"/>
  <c r="AL132" i="6"/>
  <c r="AM132" i="6" s="1"/>
  <c r="AN132" i="6" s="1"/>
  <c r="AS132" i="6"/>
  <c r="AJ132" i="6"/>
  <c r="S132" i="6"/>
  <c r="AQ132" i="6"/>
  <c r="AR132" i="6"/>
  <c r="AS138" i="6"/>
  <c r="AJ138" i="6"/>
  <c r="AR138" i="6"/>
  <c r="S138" i="6"/>
  <c r="AQ138" i="6"/>
  <c r="AL138" i="6"/>
  <c r="AM138" i="6" s="1"/>
  <c r="AN138" i="6" s="1"/>
  <c r="AQ148" i="6"/>
  <c r="S148" i="6"/>
  <c r="AS148" i="6"/>
  <c r="AJ148" i="6"/>
  <c r="AR148" i="6"/>
  <c r="AL148" i="6"/>
  <c r="AM148" i="6" s="1"/>
  <c r="AN148" i="6" s="1"/>
  <c r="AQ154" i="6"/>
  <c r="S154" i="6"/>
  <c r="AL154" i="6"/>
  <c r="AM154" i="6" s="1"/>
  <c r="AN154" i="6" s="1"/>
  <c r="AJ154" i="6"/>
  <c r="AS154" i="6"/>
  <c r="AR154" i="6"/>
  <c r="AR164" i="6"/>
  <c r="AJ164" i="6"/>
  <c r="AQ164" i="6"/>
  <c r="S164" i="6"/>
  <c r="AS164" i="6"/>
  <c r="AL164" i="6"/>
  <c r="AM164" i="6" s="1"/>
  <c r="AN164" i="6" s="1"/>
  <c r="AS196" i="6"/>
  <c r="AJ196" i="6"/>
  <c r="AR196" i="6"/>
  <c r="AL196" i="6"/>
  <c r="AM196" i="6" s="1"/>
  <c r="AN196" i="6" s="1"/>
  <c r="AQ196" i="6"/>
  <c r="S196" i="6"/>
  <c r="AS70" i="6"/>
  <c r="AJ70" i="6"/>
  <c r="AR70" i="6"/>
  <c r="S70" i="6"/>
  <c r="AL78" i="6"/>
  <c r="AM78" i="6" s="1"/>
  <c r="AN78" i="6" s="1"/>
  <c r="AS78" i="6"/>
  <c r="AJ78" i="6"/>
  <c r="AS86" i="6"/>
  <c r="AL86" i="6"/>
  <c r="AM86" i="6" s="1"/>
  <c r="AN86" i="6" s="1"/>
  <c r="AR86" i="6"/>
  <c r="AJ86" i="6"/>
  <c r="AS94" i="6"/>
  <c r="AL94" i="6"/>
  <c r="AM94" i="6" s="1"/>
  <c r="AN94" i="6" s="1"/>
  <c r="AR94" i="6"/>
  <c r="AJ94" i="6"/>
  <c r="AS102" i="6"/>
  <c r="AL102" i="6"/>
  <c r="AM102" i="6" s="1"/>
  <c r="AN102" i="6" s="1"/>
  <c r="AR102" i="6"/>
  <c r="AJ102" i="6"/>
  <c r="AR115" i="6"/>
  <c r="AJ115" i="6"/>
  <c r="AQ115" i="6"/>
  <c r="S115" i="6"/>
  <c r="AR123" i="6"/>
  <c r="AJ123" i="6"/>
  <c r="AQ123" i="6"/>
  <c r="S123" i="6"/>
  <c r="AQ134" i="6"/>
  <c r="S134" i="6"/>
  <c r="AS134" i="6"/>
  <c r="AR134" i="6"/>
  <c r="AL142" i="6"/>
  <c r="AM142" i="6" s="1"/>
  <c r="AN142" i="6" s="1"/>
  <c r="AS142" i="6"/>
  <c r="AJ142" i="6"/>
  <c r="AR142" i="6"/>
  <c r="AQ142" i="6"/>
  <c r="AL153" i="6"/>
  <c r="AM153" i="6" s="1"/>
  <c r="AN153" i="6" s="1"/>
  <c r="AR153" i="6"/>
  <c r="AQ153" i="6"/>
  <c r="AS153" i="6"/>
  <c r="AR158" i="6"/>
  <c r="AJ158" i="6"/>
  <c r="AL158" i="6"/>
  <c r="AM158" i="6" s="1"/>
  <c r="AN158" i="6" s="1"/>
  <c r="AS158" i="6"/>
  <c r="AQ158" i="6"/>
  <c r="AQ166" i="6"/>
  <c r="S166" i="6"/>
  <c r="AL166" i="6"/>
  <c r="AM166" i="6" s="1"/>
  <c r="AN166" i="6" s="1"/>
  <c r="AJ166" i="6"/>
  <c r="AS166" i="6"/>
  <c r="AL175" i="6"/>
  <c r="AM175" i="6" s="1"/>
  <c r="AN175" i="6" s="1"/>
  <c r="AR175" i="6"/>
  <c r="S175" i="6"/>
  <c r="AS175" i="6"/>
  <c r="AQ175" i="6"/>
  <c r="AQ178" i="6"/>
  <c r="AS178" i="6"/>
  <c r="AJ178" i="6"/>
  <c r="AR178" i="6"/>
  <c r="AS184" i="6"/>
  <c r="AJ184" i="6"/>
  <c r="AR184" i="6"/>
  <c r="AL184" i="6"/>
  <c r="AM184" i="6" s="1"/>
  <c r="AN184" i="6" s="1"/>
  <c r="AR198" i="6"/>
  <c r="S198" i="6"/>
  <c r="AL198" i="6"/>
  <c r="AM198" i="6" s="1"/>
  <c r="AN198" i="6" s="1"/>
  <c r="AS198" i="6"/>
  <c r="AJ198" i="6"/>
  <c r="AQ198" i="6"/>
  <c r="AQ204" i="6"/>
  <c r="AL204" i="6"/>
  <c r="AM204" i="6" s="1"/>
  <c r="AN204" i="6" s="1"/>
  <c r="AR204" i="6"/>
  <c r="S204" i="6"/>
  <c r="AJ204" i="6"/>
  <c r="AS204" i="6"/>
  <c r="AS207" i="6"/>
  <c r="AQ207" i="6"/>
  <c r="AJ207" i="6"/>
  <c r="AR207" i="6"/>
  <c r="AS211" i="6"/>
  <c r="AL211" i="6"/>
  <c r="AM211" i="6" s="1"/>
  <c r="AN211" i="6" s="1"/>
  <c r="AQ211" i="6"/>
  <c r="AJ211" i="6"/>
  <c r="AR211" i="6"/>
  <c r="AR214" i="6"/>
  <c r="AJ214" i="6"/>
  <c r="AL214" i="6"/>
  <c r="AM214" i="6" s="1"/>
  <c r="AN214" i="6" s="1"/>
  <c r="S214" i="6"/>
  <c r="AS214" i="6"/>
  <c r="AQ214" i="6"/>
  <c r="AS234" i="6"/>
  <c r="AJ234" i="6"/>
  <c r="S234" i="6"/>
  <c r="AL234" i="6"/>
  <c r="AM234" i="6" s="1"/>
  <c r="AN234" i="6" s="1"/>
  <c r="AR234" i="6"/>
  <c r="AQ234" i="6"/>
  <c r="AS240" i="6"/>
  <c r="AR240" i="6"/>
  <c r="AJ240" i="6"/>
  <c r="S240" i="6"/>
  <c r="AL240" i="6"/>
  <c r="AM240" i="6" s="1"/>
  <c r="AN240" i="6" s="1"/>
  <c r="AQ240" i="6"/>
  <c r="AQ78" i="6"/>
  <c r="S81" i="6"/>
  <c r="AS123" i="6"/>
  <c r="AS71" i="6"/>
  <c r="AL71" i="6"/>
  <c r="AM71" i="6" s="1"/>
  <c r="AN71" i="6" s="1"/>
  <c r="AS95" i="6"/>
  <c r="AL95" i="6"/>
  <c r="AM95" i="6" s="1"/>
  <c r="AN95" i="6" s="1"/>
  <c r="AS103" i="6"/>
  <c r="AL103" i="6"/>
  <c r="AM103" i="6" s="1"/>
  <c r="AN103" i="6" s="1"/>
  <c r="AL116" i="6"/>
  <c r="AM116" i="6" s="1"/>
  <c r="AN116" i="6" s="1"/>
  <c r="AS116" i="6"/>
  <c r="AJ116" i="6"/>
  <c r="AR135" i="6"/>
  <c r="AJ135" i="6"/>
  <c r="AQ135" i="6"/>
  <c r="S135" i="6"/>
  <c r="AS135" i="6"/>
  <c r="AL159" i="6"/>
  <c r="AM159" i="6" s="1"/>
  <c r="AN159" i="6" s="1"/>
  <c r="AJ159" i="6"/>
  <c r="AS159" i="6"/>
  <c r="S159" i="6"/>
  <c r="AR176" i="6"/>
  <c r="S176" i="6"/>
  <c r="AJ176" i="6"/>
  <c r="AQ176" i="6"/>
  <c r="AS176" i="6"/>
  <c r="AL176" i="6"/>
  <c r="AM176" i="6" s="1"/>
  <c r="AN176" i="6" s="1"/>
  <c r="AS190" i="6"/>
  <c r="AJ190" i="6"/>
  <c r="AL190" i="6"/>
  <c r="AM190" i="6" s="1"/>
  <c r="AN190" i="6" s="1"/>
  <c r="AR190" i="6"/>
  <c r="S190" i="6"/>
  <c r="AR235" i="6"/>
  <c r="S235" i="6"/>
  <c r="AJ235" i="6"/>
  <c r="AL235" i="6"/>
  <c r="AM235" i="6" s="1"/>
  <c r="AN235" i="6" s="1"/>
  <c r="AS235" i="6"/>
  <c r="AQ235" i="6"/>
  <c r="AR95" i="6"/>
  <c r="S108" i="6"/>
  <c r="S124" i="6"/>
  <c r="AL134" i="6"/>
  <c r="AM134" i="6" s="1"/>
  <c r="AN134" i="6" s="1"/>
  <c r="S142" i="6"/>
  <c r="S158" i="6"/>
  <c r="AJ175" i="6"/>
  <c r="AL207" i="6"/>
  <c r="AM207" i="6" s="1"/>
  <c r="AN207" i="6" s="1"/>
  <c r="AL64" i="6"/>
  <c r="AM64" i="6" s="1"/>
  <c r="AN64" i="6" s="1"/>
  <c r="AR64" i="6"/>
  <c r="AQ69" i="6"/>
  <c r="AL69" i="6"/>
  <c r="AM69" i="6" s="1"/>
  <c r="AN69" i="6" s="1"/>
  <c r="AR77" i="6"/>
  <c r="S77" i="6"/>
  <c r="AQ77" i="6"/>
  <c r="AR85" i="6"/>
  <c r="S85" i="6"/>
  <c r="AQ85" i="6"/>
  <c r="AR93" i="6"/>
  <c r="S93" i="6"/>
  <c r="AQ93" i="6"/>
  <c r="AR101" i="6"/>
  <c r="AT101" i="6" s="1"/>
  <c r="S101" i="6"/>
  <c r="AQ101" i="6"/>
  <c r="AS111" i="6"/>
  <c r="AL111" i="6"/>
  <c r="AM111" i="6" s="1"/>
  <c r="AN111" i="6" s="1"/>
  <c r="AS119" i="6"/>
  <c r="AL119" i="6"/>
  <c r="AM119" i="6" s="1"/>
  <c r="AN119" i="6" s="1"/>
  <c r="AS127" i="6"/>
  <c r="AL127" i="6"/>
  <c r="AM127" i="6" s="1"/>
  <c r="AN127" i="6" s="1"/>
  <c r="AS133" i="6"/>
  <c r="AR133" i="6"/>
  <c r="S133" i="6"/>
  <c r="AQ133" i="6"/>
  <c r="AS141" i="6"/>
  <c r="AJ141" i="6"/>
  <c r="AQ141" i="6"/>
  <c r="AL141" i="6"/>
  <c r="AM141" i="6" s="1"/>
  <c r="AN141" i="6" s="1"/>
  <c r="S141" i="6"/>
  <c r="AR149" i="6"/>
  <c r="AJ149" i="6"/>
  <c r="AQ149" i="6"/>
  <c r="AL149" i="6"/>
  <c r="AM149" i="6" s="1"/>
  <c r="AN149" i="6" s="1"/>
  <c r="S149" i="6"/>
  <c r="AQ157" i="6"/>
  <c r="S157" i="6"/>
  <c r="AR157" i="6"/>
  <c r="AL157" i="6"/>
  <c r="AM157" i="6" s="1"/>
  <c r="AN157" i="6" s="1"/>
  <c r="AJ157" i="6"/>
  <c r="AL165" i="6"/>
  <c r="AM165" i="6" s="1"/>
  <c r="AN165" i="6" s="1"/>
  <c r="AQ165" i="6"/>
  <c r="S165" i="6"/>
  <c r="AS165" i="6"/>
  <c r="AR165" i="6"/>
  <c r="AJ165" i="6"/>
  <c r="AL168" i="6"/>
  <c r="AM168" i="6" s="1"/>
  <c r="AN168" i="6" s="1"/>
  <c r="AR168" i="6"/>
  <c r="AJ168" i="6"/>
  <c r="S168" i="6"/>
  <c r="AS177" i="6"/>
  <c r="AL177" i="6"/>
  <c r="AM177" i="6" s="1"/>
  <c r="AN177" i="6" s="1"/>
  <c r="AR177" i="6"/>
  <c r="S177" i="6"/>
  <c r="AQ177" i="6"/>
  <c r="AJ177" i="6"/>
  <c r="AL182" i="6"/>
  <c r="AM182" i="6" s="1"/>
  <c r="AN182" i="6" s="1"/>
  <c r="AR182" i="6"/>
  <c r="S182" i="6"/>
  <c r="AJ182" i="6"/>
  <c r="AS182" i="6"/>
  <c r="AQ182" i="6"/>
  <c r="AS191" i="6"/>
  <c r="AR191" i="6"/>
  <c r="AJ191" i="6"/>
  <c r="AQ191" i="6"/>
  <c r="AL191" i="6"/>
  <c r="AM191" i="6" s="1"/>
  <c r="AN191" i="6" s="1"/>
  <c r="AQ197" i="6"/>
  <c r="AS197" i="6"/>
  <c r="AJ197" i="6"/>
  <c r="AR197" i="6"/>
  <c r="AS200" i="6"/>
  <c r="AL200" i="6"/>
  <c r="AM200" i="6" s="1"/>
  <c r="AN200" i="6" s="1"/>
  <c r="AQ200" i="6"/>
  <c r="AJ200" i="6"/>
  <c r="AR200" i="6"/>
  <c r="AQ218" i="6"/>
  <c r="AR218" i="6"/>
  <c r="AL218" i="6"/>
  <c r="AM218" i="6" s="1"/>
  <c r="AN218" i="6" s="1"/>
  <c r="AS218" i="6"/>
  <c r="AJ218" i="6"/>
  <c r="S218" i="6"/>
  <c r="AS221" i="6"/>
  <c r="AQ221" i="6"/>
  <c r="S221" i="6"/>
  <c r="AR221" i="6"/>
  <c r="AL221" i="6"/>
  <c r="AM221" i="6" s="1"/>
  <c r="AN221" i="6" s="1"/>
  <c r="AJ221" i="6"/>
  <c r="AS227" i="6"/>
  <c r="AL227" i="6"/>
  <c r="AM227" i="6" s="1"/>
  <c r="AN227" i="6" s="1"/>
  <c r="AJ227" i="6"/>
  <c r="AR227" i="6"/>
  <c r="S227" i="6"/>
  <c r="AQ227" i="6"/>
  <c r="AQ230" i="6"/>
  <c r="S230" i="6"/>
  <c r="AS230" i="6"/>
  <c r="AJ230" i="6"/>
  <c r="AR230" i="6"/>
  <c r="AL230" i="6"/>
  <c r="AM230" i="6" s="1"/>
  <c r="AN230" i="6" s="1"/>
  <c r="AL250" i="6"/>
  <c r="AM250" i="6" s="1"/>
  <c r="AN250" i="6" s="1"/>
  <c r="AJ250" i="6"/>
  <c r="AQ250" i="6"/>
  <c r="AR250" i="6"/>
  <c r="S250" i="6"/>
  <c r="AS250" i="6"/>
  <c r="AS253" i="6"/>
  <c r="AL253" i="6"/>
  <c r="AM253" i="6" s="1"/>
  <c r="AN253" i="6" s="1"/>
  <c r="AQ253" i="6"/>
  <c r="AR253" i="6"/>
  <c r="AJ253" i="6"/>
  <c r="S253" i="6"/>
  <c r="AQ259" i="6"/>
  <c r="AL259" i="6"/>
  <c r="AM259" i="6" s="1"/>
  <c r="AN259" i="6" s="1"/>
  <c r="AR259" i="6"/>
  <c r="AS259" i="6"/>
  <c r="AJ259" i="6"/>
  <c r="S259" i="6"/>
  <c r="AS262" i="6"/>
  <c r="AQ262" i="6"/>
  <c r="AR262" i="6"/>
  <c r="S262" i="6"/>
  <c r="AL262" i="6"/>
  <c r="AM262" i="6" s="1"/>
  <c r="AN262" i="6" s="1"/>
  <c r="AJ262" i="6"/>
  <c r="S69" i="6"/>
  <c r="AL70" i="6"/>
  <c r="AM70" i="6" s="1"/>
  <c r="AN70" i="6" s="1"/>
  <c r="AQ71" i="6"/>
  <c r="AS77" i="6"/>
  <c r="AJ85" i="6"/>
  <c r="AS93" i="6"/>
  <c r="S95" i="6"/>
  <c r="AJ101" i="6"/>
  <c r="AQ103" i="6"/>
  <c r="S111" i="6"/>
  <c r="AS115" i="6"/>
  <c r="AQ119" i="6"/>
  <c r="AL123" i="6"/>
  <c r="AM123" i="6" s="1"/>
  <c r="AN123" i="6" s="1"/>
  <c r="S127" i="6"/>
  <c r="AJ133" i="6"/>
  <c r="AL135" i="6"/>
  <c r="AM135" i="6" s="1"/>
  <c r="AN135" i="6" s="1"/>
  <c r="AS149" i="6"/>
  <c r="S153" i="6"/>
  <c r="AQ159" i="6"/>
  <c r="S178" i="6"/>
  <c r="S184" i="6"/>
  <c r="AQ190" i="6"/>
  <c r="S197" i="6"/>
  <c r="S211" i="6"/>
  <c r="AS65" i="6"/>
  <c r="AJ65" i="6"/>
  <c r="AR65" i="6"/>
  <c r="S65" i="6"/>
  <c r="AL73" i="6"/>
  <c r="AM73" i="6" s="1"/>
  <c r="AN73" i="6" s="1"/>
  <c r="AS73" i="6"/>
  <c r="AJ73" i="6"/>
  <c r="AS81" i="6"/>
  <c r="AL81" i="6"/>
  <c r="AM81" i="6" s="1"/>
  <c r="AN81" i="6" s="1"/>
  <c r="AS89" i="6"/>
  <c r="AJ89" i="6"/>
  <c r="AR89" i="6"/>
  <c r="S89" i="6"/>
  <c r="AS97" i="6"/>
  <c r="AJ97" i="6"/>
  <c r="AR97" i="6"/>
  <c r="S97" i="6"/>
  <c r="AR107" i="6"/>
  <c r="AJ107" i="6"/>
  <c r="AQ107" i="6"/>
  <c r="S107" i="6"/>
  <c r="AS129" i="6"/>
  <c r="AJ129" i="6"/>
  <c r="AR129" i="6"/>
  <c r="S129" i="6"/>
  <c r="AQ137" i="6"/>
  <c r="AL137" i="6"/>
  <c r="AM137" i="6" s="1"/>
  <c r="AN137" i="6" s="1"/>
  <c r="AJ137" i="6"/>
  <c r="S137" i="6"/>
  <c r="AQ145" i="6"/>
  <c r="AR145" i="6"/>
  <c r="AL145" i="6"/>
  <c r="AM145" i="6" s="1"/>
  <c r="AN145" i="6" s="1"/>
  <c r="AS145" i="6"/>
  <c r="AS150" i="6"/>
  <c r="AL150" i="6"/>
  <c r="AM150" i="6" s="1"/>
  <c r="AN150" i="6" s="1"/>
  <c r="AJ150" i="6"/>
  <c r="AR150" i="6"/>
  <c r="AQ150" i="6"/>
  <c r="AS161" i="6"/>
  <c r="AJ161" i="6"/>
  <c r="AR161" i="6"/>
  <c r="AQ161" i="6"/>
  <c r="AS172" i="6"/>
  <c r="AJ172" i="6"/>
  <c r="AQ172" i="6"/>
  <c r="AR172" i="6"/>
  <c r="AL172" i="6"/>
  <c r="AM172" i="6" s="1"/>
  <c r="AN172" i="6" s="1"/>
  <c r="AS181" i="6"/>
  <c r="AJ181" i="6"/>
  <c r="AQ181" i="6"/>
  <c r="S181" i="6"/>
  <c r="AR181" i="6"/>
  <c r="AR193" i="6"/>
  <c r="S193" i="6"/>
  <c r="AL193" i="6"/>
  <c r="AM193" i="6" s="1"/>
  <c r="AN193" i="6" s="1"/>
  <c r="AS193" i="6"/>
  <c r="AJ193" i="6"/>
  <c r="AR237" i="6"/>
  <c r="S237" i="6"/>
  <c r="AJ237" i="6"/>
  <c r="AL237" i="6"/>
  <c r="AM237" i="6" s="1"/>
  <c r="AN237" i="6" s="1"/>
  <c r="AS237" i="6"/>
  <c r="AQ237" i="6"/>
  <c r="AS243" i="6"/>
  <c r="AL243" i="6"/>
  <c r="AM243" i="6" s="1"/>
  <c r="AN243" i="6" s="1"/>
  <c r="AJ243" i="6"/>
  <c r="S243" i="6"/>
  <c r="AR243" i="6"/>
  <c r="AQ243" i="6"/>
  <c r="AS246" i="6"/>
  <c r="AJ246" i="6"/>
  <c r="AL246" i="6"/>
  <c r="AM246" i="6" s="1"/>
  <c r="AN246" i="6" s="1"/>
  <c r="S246" i="6"/>
  <c r="AQ246" i="6"/>
  <c r="AR246" i="6"/>
  <c r="AQ73" i="6"/>
  <c r="AL89" i="6"/>
  <c r="AM89" i="6" s="1"/>
  <c r="AN89" i="6" s="1"/>
  <c r="AS107" i="6"/>
  <c r="AL115" i="6"/>
  <c r="AM115" i="6" s="1"/>
  <c r="AN115" i="6" s="1"/>
  <c r="AJ134" i="6"/>
  <c r="S145" i="6"/>
  <c r="S161" i="6"/>
  <c r="S207" i="6"/>
  <c r="AQ79" i="6"/>
  <c r="S79" i="6"/>
  <c r="AS87" i="6"/>
  <c r="AL87" i="6"/>
  <c r="AM87" i="6" s="1"/>
  <c r="AN87" i="6" s="1"/>
  <c r="AL108" i="6"/>
  <c r="AM108" i="6" s="1"/>
  <c r="AN108" i="6" s="1"/>
  <c r="AS108" i="6"/>
  <c r="AJ108" i="6"/>
  <c r="AL124" i="6"/>
  <c r="AM124" i="6" s="1"/>
  <c r="AN124" i="6" s="1"/>
  <c r="AS124" i="6"/>
  <c r="AJ124" i="6"/>
  <c r="AR143" i="6"/>
  <c r="S143" i="6"/>
  <c r="AJ143" i="6"/>
  <c r="AS143" i="6"/>
  <c r="AQ151" i="6"/>
  <c r="AJ151" i="6"/>
  <c r="AS151" i="6"/>
  <c r="S151" i="6"/>
  <c r="AR167" i="6"/>
  <c r="AJ167" i="6"/>
  <c r="AS167" i="6"/>
  <c r="S167" i="6"/>
  <c r="AL167" i="6"/>
  <c r="AM167" i="6" s="1"/>
  <c r="AN167" i="6" s="1"/>
  <c r="AQ167" i="6"/>
  <c r="AR173" i="6"/>
  <c r="S173" i="6"/>
  <c r="AS173" i="6"/>
  <c r="AL173" i="6"/>
  <c r="AM173" i="6" s="1"/>
  <c r="AN173" i="6" s="1"/>
  <c r="AQ173" i="6"/>
  <c r="AJ173" i="6"/>
  <c r="AQ185" i="6"/>
  <c r="AS185" i="6"/>
  <c r="AJ185" i="6"/>
  <c r="AL185" i="6"/>
  <c r="AM185" i="6" s="1"/>
  <c r="AN185" i="6" s="1"/>
  <c r="S185" i="6"/>
  <c r="AR185" i="6"/>
  <c r="AR199" i="6"/>
  <c r="AL199" i="6"/>
  <c r="AM199" i="6" s="1"/>
  <c r="AN199" i="6" s="1"/>
  <c r="AS199" i="6"/>
  <c r="AJ199" i="6"/>
  <c r="AQ199" i="6"/>
  <c r="S199" i="6"/>
  <c r="AS205" i="6"/>
  <c r="AJ205" i="6"/>
  <c r="AL205" i="6"/>
  <c r="AM205" i="6" s="1"/>
  <c r="AN205" i="6" s="1"/>
  <c r="AR205" i="6"/>
  <c r="S205" i="6"/>
  <c r="AQ205" i="6"/>
  <c r="AQ208" i="6"/>
  <c r="AJ208" i="6"/>
  <c r="AR208" i="6"/>
  <c r="S208" i="6"/>
  <c r="AL208" i="6"/>
  <c r="AM208" i="6" s="1"/>
  <c r="AN208" i="6" s="1"/>
  <c r="AS208" i="6"/>
  <c r="AR226" i="6"/>
  <c r="S226" i="6"/>
  <c r="AL226" i="6"/>
  <c r="AM226" i="6" s="1"/>
  <c r="AN226" i="6" s="1"/>
  <c r="AS226" i="6"/>
  <c r="AQ226" i="6"/>
  <c r="AJ226" i="6"/>
  <c r="AL229" i="6"/>
  <c r="AM229" i="6" s="1"/>
  <c r="AN229" i="6" s="1"/>
  <c r="AR229" i="6"/>
  <c r="AS229" i="6"/>
  <c r="S229" i="6"/>
  <c r="AQ229" i="6"/>
  <c r="AJ229" i="6"/>
  <c r="AS238" i="6"/>
  <c r="AL238" i="6"/>
  <c r="AM238" i="6" s="1"/>
  <c r="AN238" i="6" s="1"/>
  <c r="AR238" i="6"/>
  <c r="S238" i="6"/>
  <c r="AJ238" i="6"/>
  <c r="AQ238" i="6"/>
  <c r="AS258" i="6"/>
  <c r="AQ258" i="6"/>
  <c r="S258" i="6"/>
  <c r="AR258" i="6"/>
  <c r="AL258" i="6"/>
  <c r="AM258" i="6" s="1"/>
  <c r="AN258" i="6" s="1"/>
  <c r="AS261" i="6"/>
  <c r="AL261" i="6"/>
  <c r="AM261" i="6" s="1"/>
  <c r="AN261" i="6" s="1"/>
  <c r="AR261" i="6"/>
  <c r="S261" i="6"/>
  <c r="AQ261" i="6"/>
  <c r="AJ261" i="6"/>
  <c r="AJ71" i="6"/>
  <c r="AR78" i="6"/>
  <c r="AS79" i="6"/>
  <c r="AJ81" i="6"/>
  <c r="S86" i="6"/>
  <c r="AJ87" i="6"/>
  <c r="AQ94" i="6"/>
  <c r="S102" i="6"/>
  <c r="AJ103" i="6"/>
  <c r="AR116" i="6"/>
  <c r="A25" i="6"/>
  <c r="E63" i="6" s="1"/>
  <c r="M8" i="6"/>
  <c r="A28" i="6" s="1"/>
  <c r="M13" i="6"/>
  <c r="K14" i="6" s="1"/>
  <c r="K15" i="6" s="1"/>
  <c r="K17" i="6" s="1"/>
  <c r="AQ67" i="6"/>
  <c r="AJ67" i="6"/>
  <c r="S67" i="6"/>
  <c r="AR72" i="6"/>
  <c r="S72" i="6"/>
  <c r="AQ72" i="6"/>
  <c r="AR75" i="6"/>
  <c r="AL75" i="6"/>
  <c r="AM75" i="6" s="1"/>
  <c r="AN75" i="6" s="1"/>
  <c r="AQ75" i="6"/>
  <c r="AJ75" i="6"/>
  <c r="AS80" i="6"/>
  <c r="AJ80" i="6"/>
  <c r="AR80" i="6"/>
  <c r="S80" i="6"/>
  <c r="AR83" i="6"/>
  <c r="AL83" i="6"/>
  <c r="AM83" i="6" s="1"/>
  <c r="AN83" i="6" s="1"/>
  <c r="AQ83" i="6"/>
  <c r="AJ83" i="6"/>
  <c r="AQ88" i="6"/>
  <c r="S88" i="6"/>
  <c r="AR91" i="6"/>
  <c r="AJ91" i="6"/>
  <c r="AQ91" i="6"/>
  <c r="S91" i="6"/>
  <c r="AQ96" i="6"/>
  <c r="S96" i="6"/>
  <c r="AR99" i="6"/>
  <c r="AT99" i="6" s="1"/>
  <c r="AJ99" i="6"/>
  <c r="AQ99" i="6"/>
  <c r="S99" i="6"/>
  <c r="AQ104" i="6"/>
  <c r="S104" i="6"/>
  <c r="AQ106" i="6"/>
  <c r="AL106" i="6"/>
  <c r="AM106" i="6" s="1"/>
  <c r="AN106" i="6" s="1"/>
  <c r="AR109" i="6"/>
  <c r="S109" i="6"/>
  <c r="AQ109" i="6"/>
  <c r="AQ112" i="6"/>
  <c r="S112" i="6"/>
  <c r="AQ114" i="6"/>
  <c r="AL114" i="6"/>
  <c r="AM114" i="6" s="1"/>
  <c r="AN114" i="6" s="1"/>
  <c r="AR117" i="6"/>
  <c r="S117" i="6"/>
  <c r="AQ117" i="6"/>
  <c r="AQ120" i="6"/>
  <c r="S120" i="6"/>
  <c r="AQ122" i="6"/>
  <c r="AL122" i="6"/>
  <c r="AM122" i="6" s="1"/>
  <c r="AN122" i="6" s="1"/>
  <c r="AR125" i="6"/>
  <c r="S125" i="6"/>
  <c r="AQ125" i="6"/>
  <c r="AQ128" i="6"/>
  <c r="S128" i="6"/>
  <c r="AR131" i="6"/>
  <c r="AT131" i="6" s="1"/>
  <c r="AJ131" i="6"/>
  <c r="AQ131" i="6"/>
  <c r="S131" i="6"/>
  <c r="AS136" i="6"/>
  <c r="AL136" i="6"/>
  <c r="AM136" i="6" s="1"/>
  <c r="AN136" i="6" s="1"/>
  <c r="AR136" i="6"/>
  <c r="AJ136" i="6"/>
  <c r="S136" i="6"/>
  <c r="AS139" i="6"/>
  <c r="AL139" i="6"/>
  <c r="AM139" i="6" s="1"/>
  <c r="AN139" i="6" s="1"/>
  <c r="AR139" i="6"/>
  <c r="AQ139" i="6"/>
  <c r="AS144" i="6"/>
  <c r="AL144" i="6"/>
  <c r="AM144" i="6" s="1"/>
  <c r="AN144" i="6" s="1"/>
  <c r="AR144" i="6"/>
  <c r="S144" i="6"/>
  <c r="AQ144" i="6"/>
  <c r="AJ144" i="6"/>
  <c r="AL147" i="6"/>
  <c r="AM147" i="6" s="1"/>
  <c r="AN147" i="6" s="1"/>
  <c r="AJ147" i="6"/>
  <c r="AS147" i="6"/>
  <c r="S147" i="6"/>
  <c r="AR147" i="6"/>
  <c r="AQ147" i="6"/>
  <c r="AR152" i="6"/>
  <c r="AJ152" i="6"/>
  <c r="AS152" i="6"/>
  <c r="S152" i="6"/>
  <c r="AQ152" i="6"/>
  <c r="AL152" i="6"/>
  <c r="AM152" i="6" s="1"/>
  <c r="AN152" i="6" s="1"/>
  <c r="AS155" i="6"/>
  <c r="AJ155" i="6"/>
  <c r="AL155" i="6"/>
  <c r="AM155" i="6" s="1"/>
  <c r="AN155" i="6" s="1"/>
  <c r="S155" i="6"/>
  <c r="AR155" i="6"/>
  <c r="AQ155" i="6"/>
  <c r="AQ160" i="6"/>
  <c r="S160" i="6"/>
  <c r="AS160" i="6"/>
  <c r="AJ160" i="6"/>
  <c r="AR160" i="6"/>
  <c r="AL160" i="6"/>
  <c r="AM160" i="6" s="1"/>
  <c r="AN160" i="6" s="1"/>
  <c r="AQ163" i="6"/>
  <c r="AJ163" i="6"/>
  <c r="AS163" i="6"/>
  <c r="AL163" i="6"/>
  <c r="AM163" i="6" s="1"/>
  <c r="AN163" i="6" s="1"/>
  <c r="AR163" i="6"/>
  <c r="AQ169" i="6"/>
  <c r="S169" i="6"/>
  <c r="AS169" i="6"/>
  <c r="AJ169" i="6"/>
  <c r="AR169" i="6"/>
  <c r="AL169" i="6"/>
  <c r="AM169" i="6" s="1"/>
  <c r="AN169" i="6" s="1"/>
  <c r="AS174" i="6"/>
  <c r="AL174" i="6"/>
  <c r="AM174" i="6" s="1"/>
  <c r="AN174" i="6" s="1"/>
  <c r="AQ174" i="6"/>
  <c r="AJ174" i="6"/>
  <c r="S174" i="6"/>
  <c r="AQ180" i="6"/>
  <c r="S180" i="6"/>
  <c r="AR180" i="6"/>
  <c r="AL180" i="6"/>
  <c r="AM180" i="6" s="1"/>
  <c r="AN180" i="6" s="1"/>
  <c r="AJ180" i="6"/>
  <c r="AQ183" i="6"/>
  <c r="S183" i="6"/>
  <c r="AS183" i="6"/>
  <c r="AJ183" i="6"/>
  <c r="AR183" i="6"/>
  <c r="AL183" i="6"/>
  <c r="AM183" i="6" s="1"/>
  <c r="AN183" i="6" s="1"/>
  <c r="AQ186" i="6"/>
  <c r="S186" i="6"/>
  <c r="AL186" i="6"/>
  <c r="AM186" i="6" s="1"/>
  <c r="AN186" i="6" s="1"/>
  <c r="AR186" i="6"/>
  <c r="AS186" i="6"/>
  <c r="AJ186" i="6"/>
  <c r="AQ189" i="6"/>
  <c r="AL189" i="6"/>
  <c r="AM189" i="6" s="1"/>
  <c r="AN189" i="6" s="1"/>
  <c r="AS189" i="6"/>
  <c r="S189" i="6"/>
  <c r="AR189" i="6"/>
  <c r="AJ189" i="6"/>
  <c r="AQ192" i="6"/>
  <c r="AS192" i="6"/>
  <c r="AJ192" i="6"/>
  <c r="AR192" i="6"/>
  <c r="AL192" i="6"/>
  <c r="AM192" i="6" s="1"/>
  <c r="AN192" i="6" s="1"/>
  <c r="S192" i="6"/>
  <c r="AL201" i="6"/>
  <c r="AM201" i="6" s="1"/>
  <c r="AN201" i="6" s="1"/>
  <c r="AR201" i="6"/>
  <c r="S201" i="6"/>
  <c r="AJ201" i="6"/>
  <c r="AS201" i="6"/>
  <c r="AQ201" i="6"/>
  <c r="AS210" i="6"/>
  <c r="AL210" i="6"/>
  <c r="AM210" i="6" s="1"/>
  <c r="AN210" i="6" s="1"/>
  <c r="AQ210" i="6"/>
  <c r="AR210" i="6"/>
  <c r="AJ210" i="6"/>
  <c r="S210" i="6"/>
  <c r="AQ213" i="6"/>
  <c r="AJ213" i="6"/>
  <c r="AR213" i="6"/>
  <c r="S213" i="6"/>
  <c r="AS213" i="6"/>
  <c r="AL213" i="6"/>
  <c r="AM213" i="6" s="1"/>
  <c r="AN213" i="6" s="1"/>
  <c r="AS216" i="6"/>
  <c r="AQ216" i="6"/>
  <c r="AR216" i="6"/>
  <c r="S216" i="6"/>
  <c r="AL216" i="6"/>
  <c r="AM216" i="6" s="1"/>
  <c r="AN216" i="6" s="1"/>
  <c r="AS219" i="6"/>
  <c r="AJ219" i="6"/>
  <c r="AQ219" i="6"/>
  <c r="AR219" i="6"/>
  <c r="AL219" i="6"/>
  <c r="AM219" i="6" s="1"/>
  <c r="AN219" i="6" s="1"/>
  <c r="S219" i="6"/>
  <c r="AQ222" i="6"/>
  <c r="AL222" i="6"/>
  <c r="AM222" i="6" s="1"/>
  <c r="AN222" i="6" s="1"/>
  <c r="AR222" i="6"/>
  <c r="AS222" i="6"/>
  <c r="AJ222" i="6"/>
  <c r="S222" i="6"/>
  <c r="AR242" i="6"/>
  <c r="AJ242" i="6"/>
  <c r="S242" i="6"/>
  <c r="AL242" i="6"/>
  <c r="AM242" i="6" s="1"/>
  <c r="AN242" i="6" s="1"/>
  <c r="AS242" i="6"/>
  <c r="AQ242" i="6"/>
  <c r="AQ245" i="6"/>
  <c r="S245" i="6"/>
  <c r="AJ245" i="6"/>
  <c r="AL245" i="6"/>
  <c r="AM245" i="6" s="1"/>
  <c r="AN245" i="6" s="1"/>
  <c r="AS245" i="6"/>
  <c r="AR245" i="6"/>
  <c r="AQ248" i="6"/>
  <c r="S248" i="6"/>
  <c r="AR248" i="6"/>
  <c r="AT248" i="6" s="1"/>
  <c r="AL248" i="6"/>
  <c r="AM248" i="6" s="1"/>
  <c r="AN248" i="6" s="1"/>
  <c r="AJ248" i="6"/>
  <c r="AQ251" i="6"/>
  <c r="S251" i="6"/>
  <c r="AS251" i="6"/>
  <c r="AJ251" i="6"/>
  <c r="AR251" i="6"/>
  <c r="AL251" i="6"/>
  <c r="AM251" i="6" s="1"/>
  <c r="AN251" i="6" s="1"/>
  <c r="AS254" i="6"/>
  <c r="AR254" i="6"/>
  <c r="AJ254" i="6"/>
  <c r="AQ254" i="6"/>
  <c r="AL254" i="6"/>
  <c r="AM254" i="6" s="1"/>
  <c r="AN254" i="6" s="1"/>
  <c r="S254" i="6"/>
  <c r="AQ65" i="6"/>
  <c r="AS67" i="6"/>
  <c r="AJ69" i="6"/>
  <c r="AQ70" i="6"/>
  <c r="AR71" i="6"/>
  <c r="S73" i="6"/>
  <c r="S78" i="6"/>
  <c r="AL79" i="6"/>
  <c r="AM79" i="6" s="1"/>
  <c r="AN79" i="6" s="1"/>
  <c r="AQ80" i="6"/>
  <c r="AR81" i="6"/>
  <c r="S83" i="6"/>
  <c r="AL85" i="6"/>
  <c r="AM85" i="6" s="1"/>
  <c r="AN85" i="6" s="1"/>
  <c r="AQ86" i="6"/>
  <c r="AR87" i="6"/>
  <c r="AS88" i="6"/>
  <c r="S94" i="6"/>
  <c r="AJ95" i="6"/>
  <c r="AL96" i="6"/>
  <c r="AM96" i="6" s="1"/>
  <c r="AN96" i="6" s="1"/>
  <c r="AQ97" i="6"/>
  <c r="AL101" i="6"/>
  <c r="AM101" i="6" s="1"/>
  <c r="AN101" i="6" s="1"/>
  <c r="AQ102" i="6"/>
  <c r="AR103" i="6"/>
  <c r="AS104" i="6"/>
  <c r="AJ106" i="6"/>
  <c r="AR108" i="6"/>
  <c r="AJ111" i="6"/>
  <c r="AL112" i="6"/>
  <c r="AM112" i="6" s="1"/>
  <c r="AN112" i="6" s="1"/>
  <c r="AS114" i="6"/>
  <c r="S116" i="6"/>
  <c r="AL117" i="6"/>
  <c r="AM117" i="6" s="1"/>
  <c r="AN117" i="6" s="1"/>
  <c r="AR119" i="6"/>
  <c r="AS120" i="6"/>
  <c r="AJ122" i="6"/>
  <c r="AR124" i="6"/>
  <c r="AJ127" i="6"/>
  <c r="AL128" i="6"/>
  <c r="AM128" i="6" s="1"/>
  <c r="AN128" i="6" s="1"/>
  <c r="AQ129" i="6"/>
  <c r="AL133" i="6"/>
  <c r="AM133" i="6" s="1"/>
  <c r="AN133" i="6" s="1"/>
  <c r="AS137" i="6"/>
  <c r="AQ143" i="6"/>
  <c r="S150" i="6"/>
  <c r="AJ153" i="6"/>
  <c r="AR159" i="6"/>
  <c r="S163" i="6"/>
  <c r="AR166" i="6"/>
  <c r="S172" i="6"/>
  <c r="AL178" i="6"/>
  <c r="AM178" i="6" s="1"/>
  <c r="AN178" i="6" s="1"/>
  <c r="AQ184" i="6"/>
  <c r="S191" i="6"/>
  <c r="AL197" i="6"/>
  <c r="AM197" i="6" s="1"/>
  <c r="AN197" i="6" s="1"/>
  <c r="AJ258" i="6"/>
  <c r="AS171" i="6"/>
  <c r="AR171" i="6"/>
  <c r="AJ171" i="6"/>
  <c r="AL171" i="6"/>
  <c r="AM171" i="6" s="1"/>
  <c r="AN171" i="6" s="1"/>
  <c r="S171" i="6"/>
  <c r="S179" i="6"/>
  <c r="AS179" i="6"/>
  <c r="AL179" i="6"/>
  <c r="AM179" i="6" s="1"/>
  <c r="AN179" i="6" s="1"/>
  <c r="AQ179" i="6"/>
  <c r="AJ179" i="6"/>
  <c r="AQ187" i="6"/>
  <c r="AJ187" i="6"/>
  <c r="AR187" i="6"/>
  <c r="S187" i="6"/>
  <c r="AM187" i="6"/>
  <c r="AN187" i="6" s="1"/>
  <c r="AS187" i="6"/>
  <c r="AQ195" i="6"/>
  <c r="S195" i="6"/>
  <c r="AS195" i="6"/>
  <c r="AJ195" i="6"/>
  <c r="AS203" i="6"/>
  <c r="AQ203" i="6"/>
  <c r="S203" i="6"/>
  <c r="AM203" i="6"/>
  <c r="AN203" i="6" s="1"/>
  <c r="AJ203" i="6"/>
  <c r="AR203" i="6"/>
  <c r="AS217" i="6"/>
  <c r="AR217" i="6"/>
  <c r="AJ217" i="6"/>
  <c r="AQ217" i="6"/>
  <c r="AL217" i="6"/>
  <c r="AM217" i="6" s="1"/>
  <c r="AN217" i="6" s="1"/>
  <c r="S225" i="6"/>
  <c r="AQ225" i="6"/>
  <c r="AR225" i="6"/>
  <c r="AS225" i="6"/>
  <c r="AJ225" i="6"/>
  <c r="AQ233" i="6"/>
  <c r="AJ233" i="6"/>
  <c r="AS233" i="6"/>
  <c r="S233" i="6"/>
  <c r="AR233" i="6"/>
  <c r="AQ241" i="6"/>
  <c r="AR241" i="6"/>
  <c r="S241" i="6"/>
  <c r="AJ241" i="6"/>
  <c r="AS241" i="6"/>
  <c r="AR249" i="6"/>
  <c r="AJ249" i="6"/>
  <c r="AL249" i="6"/>
  <c r="AM249" i="6" s="1"/>
  <c r="AN249" i="6" s="1"/>
  <c r="AQ249" i="6"/>
  <c r="S249" i="6"/>
  <c r="AS257" i="6"/>
  <c r="AL257" i="6"/>
  <c r="AM257" i="6" s="1"/>
  <c r="AN257" i="6" s="1"/>
  <c r="AQ257" i="6"/>
  <c r="AR257" i="6"/>
  <c r="S257" i="6"/>
  <c r="AL195" i="6"/>
  <c r="AM195" i="6" s="1"/>
  <c r="AN195" i="6" s="1"/>
  <c r="AS206" i="6"/>
  <c r="AR206" i="6"/>
  <c r="AJ206" i="6"/>
  <c r="AQ206" i="6"/>
  <c r="AL206" i="6"/>
  <c r="AM206" i="6" s="1"/>
  <c r="AN206" i="6" s="1"/>
  <c r="S206" i="6"/>
  <c r="AR209" i="6"/>
  <c r="AJ209" i="6"/>
  <c r="AS209" i="6"/>
  <c r="S209" i="6"/>
  <c r="AQ209" i="6"/>
  <c r="AL209" i="6"/>
  <c r="AM209" i="6" s="1"/>
  <c r="AN209" i="6" s="1"/>
  <c r="AQ212" i="6"/>
  <c r="AS212" i="6"/>
  <c r="S212" i="6"/>
  <c r="AR212" i="6"/>
  <c r="AJ212" i="6"/>
  <c r="AL212" i="6"/>
  <c r="AM212" i="6" s="1"/>
  <c r="AN212" i="6" s="1"/>
  <c r="AS215" i="6"/>
  <c r="AL215" i="6"/>
  <c r="AM215" i="6" s="1"/>
  <c r="AN215" i="6" s="1"/>
  <c r="AR215" i="6"/>
  <c r="S215" i="6"/>
  <c r="AJ215" i="6"/>
  <c r="AQ215" i="6"/>
  <c r="AS220" i="6"/>
  <c r="AL220" i="6"/>
  <c r="AM220" i="6" s="1"/>
  <c r="AN220" i="6" s="1"/>
  <c r="AQ220" i="6"/>
  <c r="AR220" i="6"/>
  <c r="S220" i="6"/>
  <c r="AS223" i="6"/>
  <c r="AJ223" i="6"/>
  <c r="AL223" i="6"/>
  <c r="AM223" i="6" s="1"/>
  <c r="AN223" i="6" s="1"/>
  <c r="AR223" i="6"/>
  <c r="AQ223" i="6"/>
  <c r="S223" i="6"/>
  <c r="AS228" i="6"/>
  <c r="AQ228" i="6"/>
  <c r="S228" i="6"/>
  <c r="AR228" i="6"/>
  <c r="AJ228" i="6"/>
  <c r="AS231" i="6"/>
  <c r="AJ231" i="6"/>
  <c r="AR231" i="6"/>
  <c r="S231" i="6"/>
  <c r="AQ231" i="6"/>
  <c r="AL231" i="6"/>
  <c r="AM231" i="6" s="1"/>
  <c r="AN231" i="6" s="1"/>
  <c r="S236" i="6"/>
  <c r="AS236" i="6"/>
  <c r="AJ236" i="6"/>
  <c r="AL236" i="6"/>
  <c r="AM236" i="6" s="1"/>
  <c r="AN236" i="6" s="1"/>
  <c r="AR236" i="6"/>
  <c r="AS239" i="6"/>
  <c r="AJ239" i="6"/>
  <c r="AL239" i="6"/>
  <c r="AM239" i="6" s="1"/>
  <c r="AN239" i="6" s="1"/>
  <c r="AR239" i="6"/>
  <c r="S239" i="6"/>
  <c r="AQ239" i="6"/>
  <c r="AR244" i="6"/>
  <c r="S244" i="6"/>
  <c r="AJ244" i="6"/>
  <c r="AL244" i="6"/>
  <c r="AM244" i="6" s="1"/>
  <c r="AN244" i="6" s="1"/>
  <c r="AS244" i="6"/>
  <c r="AS247" i="6"/>
  <c r="AJ247" i="6"/>
  <c r="AL247" i="6"/>
  <c r="AM247" i="6" s="1"/>
  <c r="AN247" i="6" s="1"/>
  <c r="AQ247" i="6"/>
  <c r="S247" i="6"/>
  <c r="AR247" i="6"/>
  <c r="AR252" i="6"/>
  <c r="AJ252" i="6"/>
  <c r="AQ252" i="6"/>
  <c r="AS252" i="6"/>
  <c r="AL252" i="6"/>
  <c r="AM252" i="6" s="1"/>
  <c r="AN252" i="6" s="1"/>
  <c r="S252" i="6"/>
  <c r="AQ255" i="6"/>
  <c r="AR255" i="6"/>
  <c r="AL255" i="6"/>
  <c r="AM255" i="6" s="1"/>
  <c r="AN255" i="6" s="1"/>
  <c r="AS255" i="6"/>
  <c r="AJ255" i="6"/>
  <c r="S255" i="6"/>
  <c r="AR260" i="6"/>
  <c r="AJ260" i="6"/>
  <c r="AL260" i="6"/>
  <c r="AM260" i="6" s="1"/>
  <c r="AN260" i="6" s="1"/>
  <c r="AQ260" i="6"/>
  <c r="AS260" i="6"/>
  <c r="S260" i="6"/>
  <c r="AQ263" i="6"/>
  <c r="AJ263" i="6"/>
  <c r="AR263" i="6"/>
  <c r="AS263" i="6"/>
  <c r="AL263" i="6"/>
  <c r="AM263" i="6" s="1"/>
  <c r="AN263" i="6" s="1"/>
  <c r="S263" i="6"/>
  <c r="AR179" i="6"/>
  <c r="AR195" i="6"/>
  <c r="AK76" i="6"/>
  <c r="AK82" i="6"/>
  <c r="AK85" i="6"/>
  <c r="AK86" i="6"/>
  <c r="AK87" i="6"/>
  <c r="AK115" i="6"/>
  <c r="AK130" i="6"/>
  <c r="AK68" i="6"/>
  <c r="AK73" i="6"/>
  <c r="AK75" i="6"/>
  <c r="AK78" i="6"/>
  <c r="AK108" i="6"/>
  <c r="AK137" i="6"/>
  <c r="AK150" i="6"/>
  <c r="AK171" i="6"/>
  <c r="AK172" i="6"/>
  <c r="AK262" i="6"/>
  <c r="AK263" i="6"/>
  <c r="AK72" i="6"/>
  <c r="AK77" i="6"/>
  <c r="AK89" i="6"/>
  <c r="AK90" i="6"/>
  <c r="AK91" i="6"/>
  <c r="AK92" i="6"/>
  <c r="AK94" i="6"/>
  <c r="AK95" i="6"/>
  <c r="AK96" i="6"/>
  <c r="AK121" i="6"/>
  <c r="AK122" i="6"/>
  <c r="AK123" i="6"/>
  <c r="AK124" i="6"/>
  <c r="AK126" i="6"/>
  <c r="AK127" i="6"/>
  <c r="AK128" i="6"/>
  <c r="AK133" i="6"/>
  <c r="AK146" i="6"/>
  <c r="AK148" i="6"/>
  <c r="AK159" i="6"/>
  <c r="AK176" i="6"/>
  <c r="AK196" i="6"/>
  <c r="AK240" i="6"/>
  <c r="AK254" i="6"/>
  <c r="AK253" i="6"/>
  <c r="AK247" i="6"/>
  <c r="AK239" i="6"/>
  <c r="AK238" i="6"/>
  <c r="AK226" i="6"/>
  <c r="AK224" i="6"/>
  <c r="AK212" i="6"/>
  <c r="AK211" i="6"/>
  <c r="AK210" i="6"/>
  <c r="AK209" i="6"/>
  <c r="AK206" i="6"/>
  <c r="AK205" i="6"/>
  <c r="AK200" i="6"/>
  <c r="AK199" i="6"/>
  <c r="AK194" i="6"/>
  <c r="AK192" i="6"/>
  <c r="AK191" i="6"/>
  <c r="AK188" i="6"/>
  <c r="AK187" i="6"/>
  <c r="AK261" i="6"/>
  <c r="AK260" i="6"/>
  <c r="AK259" i="6"/>
  <c r="AK258" i="6"/>
  <c r="AK256" i="6"/>
  <c r="AK249" i="6"/>
  <c r="AK246" i="6"/>
  <c r="AK245" i="6"/>
  <c r="AK244" i="6"/>
  <c r="AK243" i="6"/>
  <c r="AK242" i="6"/>
  <c r="AK241" i="6"/>
  <c r="AK233" i="6"/>
  <c r="AK232" i="6"/>
  <c r="AK231" i="6"/>
  <c r="AK229" i="6"/>
  <c r="AK228" i="6"/>
  <c r="AK227" i="6"/>
  <c r="AK222" i="6"/>
  <c r="AK221" i="6"/>
  <c r="AK220" i="6"/>
  <c r="AK219" i="6"/>
  <c r="AK218" i="6"/>
  <c r="AK217" i="6"/>
  <c r="AK215" i="6"/>
  <c r="AK203" i="6"/>
  <c r="AK202" i="6"/>
  <c r="AK190" i="6"/>
  <c r="AK189" i="6"/>
  <c r="AK182" i="6"/>
  <c r="AK175" i="6"/>
  <c r="AK174" i="6"/>
  <c r="AK170" i="6"/>
  <c r="AK169" i="6"/>
  <c r="AK165" i="6"/>
  <c r="AK164" i="6"/>
  <c r="AK163" i="6"/>
  <c r="AK161" i="6"/>
  <c r="AK156" i="6"/>
  <c r="AK153" i="6"/>
  <c r="AK147" i="6"/>
  <c r="AK143" i="6"/>
  <c r="AK138" i="6"/>
  <c r="AK252" i="6"/>
  <c r="AK251" i="6"/>
  <c r="AK250" i="6"/>
  <c r="AK230" i="6"/>
  <c r="AK214" i="6"/>
  <c r="AK213" i="6"/>
  <c r="AK195" i="6"/>
  <c r="AK173" i="6"/>
  <c r="AK158" i="6"/>
  <c r="AK157" i="6"/>
  <c r="AK154" i="6"/>
  <c r="AK152" i="6"/>
  <c r="AK151" i="6"/>
  <c r="AK149" i="6"/>
  <c r="AK139" i="6"/>
  <c r="AK136" i="6"/>
  <c r="AK135" i="6"/>
  <c r="AK134" i="6"/>
  <c r="AK131" i="6"/>
  <c r="AK125" i="6"/>
  <c r="AK116" i="6"/>
  <c r="AK114" i="6"/>
  <c r="AK113" i="6"/>
  <c r="AK107" i="6"/>
  <c r="AK101" i="6"/>
  <c r="AK88" i="6"/>
  <c r="AK84" i="6"/>
  <c r="AK83" i="6"/>
  <c r="AK80" i="6"/>
  <c r="AK257" i="6"/>
  <c r="AK225" i="6"/>
  <c r="AK208" i="6"/>
  <c r="AK207" i="6"/>
  <c r="AK186" i="6"/>
  <c r="AK185" i="6"/>
  <c r="AK184" i="6"/>
  <c r="AK183" i="6"/>
  <c r="AK181" i="6"/>
  <c r="AK180" i="6"/>
  <c r="AK179" i="6"/>
  <c r="AK178" i="6"/>
  <c r="AK177" i="6"/>
  <c r="AK168" i="6"/>
  <c r="AK162" i="6"/>
  <c r="AK160" i="6"/>
  <c r="AK145" i="6"/>
  <c r="AK144" i="6"/>
  <c r="AK142" i="6"/>
  <c r="AK141" i="6"/>
  <c r="AK129" i="6"/>
  <c r="AK120" i="6"/>
  <c r="AK119" i="6"/>
  <c r="AK117" i="6"/>
  <c r="AK105" i="6"/>
  <c r="AK104" i="6"/>
  <c r="AK103" i="6"/>
  <c r="AK102" i="6"/>
  <c r="AK100" i="6"/>
  <c r="AK99" i="6"/>
  <c r="AK98" i="6"/>
  <c r="AK97" i="6"/>
  <c r="AK64" i="6"/>
  <c r="AK66" i="6"/>
  <c r="AK67" i="6"/>
  <c r="AK70" i="6"/>
  <c r="AK71" i="6"/>
  <c r="AK109" i="6"/>
  <c r="AK110" i="6"/>
  <c r="AK111" i="6"/>
  <c r="AK112" i="6"/>
  <c r="AK193" i="6"/>
  <c r="AK264" i="6"/>
  <c r="AK65" i="6"/>
  <c r="AK69" i="6"/>
  <c r="AK74" i="6"/>
  <c r="AK79" i="6"/>
  <c r="AK81" i="6"/>
  <c r="AK93" i="6"/>
  <c r="AK106" i="6"/>
  <c r="AK118" i="6"/>
  <c r="AK132" i="6"/>
  <c r="AK140" i="6"/>
  <c r="AK155" i="6"/>
  <c r="AK166" i="6"/>
  <c r="AK167" i="6"/>
  <c r="AK197" i="6"/>
  <c r="AK198" i="6"/>
  <c r="AK201" i="6"/>
  <c r="AK204" i="6"/>
  <c r="AK216" i="6"/>
  <c r="AK223" i="6"/>
  <c r="AK234" i="6"/>
  <c r="AK235" i="6"/>
  <c r="AK236" i="6"/>
  <c r="AK237" i="6"/>
  <c r="AK248" i="6"/>
  <c r="AT112" i="6" l="1"/>
  <c r="AT132" i="6"/>
  <c r="AT200" i="6"/>
  <c r="AT185" i="6"/>
  <c r="AT234" i="6"/>
  <c r="AT155" i="6"/>
  <c r="AU155" i="6" s="1"/>
  <c r="AZ155" i="6" s="1"/>
  <c r="AT181" i="6"/>
  <c r="AT211" i="6"/>
  <c r="AU211" i="6" s="1"/>
  <c r="AT73" i="6"/>
  <c r="BS164" i="6"/>
  <c r="BS148" i="6"/>
  <c r="BS132" i="6"/>
  <c r="BS258" i="6"/>
  <c r="BS264" i="6"/>
  <c r="BS256" i="6"/>
  <c r="BS248" i="6"/>
  <c r="BS236" i="6"/>
  <c r="BS224" i="6"/>
  <c r="BS212" i="6"/>
  <c r="BS204" i="6"/>
  <c r="BS176" i="6"/>
  <c r="BS99" i="6"/>
  <c r="BS88" i="6"/>
  <c r="BS76" i="6"/>
  <c r="BS195" i="6"/>
  <c r="BS187" i="6"/>
  <c r="BS167" i="6"/>
  <c r="BS159" i="6"/>
  <c r="BS151" i="6"/>
  <c r="BS139" i="6"/>
  <c r="BS110" i="6"/>
  <c r="BS94" i="6"/>
  <c r="BS83" i="6"/>
  <c r="BS67" i="6"/>
  <c r="BS69" i="6"/>
  <c r="BS141" i="6"/>
  <c r="BS130" i="6"/>
  <c r="BS81" i="6"/>
  <c r="BS199" i="6"/>
  <c r="BS191" i="6"/>
  <c r="BS163" i="6"/>
  <c r="BS155" i="6"/>
  <c r="BS106" i="6"/>
  <c r="BS91" i="6"/>
  <c r="BS75" i="6"/>
  <c r="BS85" i="6"/>
  <c r="BS226" i="6"/>
  <c r="BS194" i="6"/>
  <c r="BS166" i="6"/>
  <c r="BS158" i="6"/>
  <c r="BS150" i="6"/>
  <c r="BS135" i="6"/>
  <c r="BS124" i="6"/>
  <c r="BS86" i="6"/>
  <c r="BS70" i="6"/>
  <c r="BS261" i="6"/>
  <c r="BS241" i="6"/>
  <c r="BS229" i="6"/>
  <c r="BS209" i="6"/>
  <c r="BS201" i="6"/>
  <c r="BS193" i="6"/>
  <c r="BS173" i="6"/>
  <c r="BS153" i="6"/>
  <c r="BS107" i="6"/>
  <c r="BS260" i="6"/>
  <c r="BS252" i="6"/>
  <c r="BS240" i="6"/>
  <c r="BS220" i="6"/>
  <c r="BS208" i="6"/>
  <c r="BS200" i="6"/>
  <c r="BS172" i="6"/>
  <c r="BS119" i="6"/>
  <c r="BS92" i="6"/>
  <c r="BS72" i="6"/>
  <c r="BS180" i="6"/>
  <c r="BS152" i="6"/>
  <c r="BS174" i="6"/>
  <c r="BS170" i="6"/>
  <c r="BS154" i="6"/>
  <c r="BS146" i="6"/>
  <c r="BS138" i="6"/>
  <c r="BS131" i="6"/>
  <c r="BS113" i="6"/>
  <c r="BS101" i="6"/>
  <c r="BS90" i="6"/>
  <c r="BS82" i="6"/>
  <c r="BS66" i="6"/>
  <c r="BS257" i="6"/>
  <c r="BS245" i="6"/>
  <c r="BS225" i="6"/>
  <c r="BS213" i="6"/>
  <c r="BS205" i="6"/>
  <c r="BS197" i="6"/>
  <c r="BS157" i="6"/>
  <c r="BS134" i="6"/>
  <c r="BS126" i="6"/>
  <c r="BS120" i="6"/>
  <c r="BS104" i="6"/>
  <c r="BS73" i="6"/>
  <c r="AT228" i="6"/>
  <c r="AU228" i="6" s="1"/>
  <c r="AZ228" i="6" s="1"/>
  <c r="AT245" i="6"/>
  <c r="AU245" i="6" s="1"/>
  <c r="BS123" i="6"/>
  <c r="BS112" i="6"/>
  <c r="BS136" i="6"/>
  <c r="BS122" i="6"/>
  <c r="BS125" i="6"/>
  <c r="BS244" i="6"/>
  <c r="BS232" i="6"/>
  <c r="BS192" i="6"/>
  <c r="BS184" i="6"/>
  <c r="BS168" i="6"/>
  <c r="BS156" i="6"/>
  <c r="BS140" i="6"/>
  <c r="BS129" i="6"/>
  <c r="BS111" i="6"/>
  <c r="BS95" i="6"/>
  <c r="BS84" i="6"/>
  <c r="BS259" i="6"/>
  <c r="BS251" i="6"/>
  <c r="BS243" i="6"/>
  <c r="BS235" i="6"/>
  <c r="BS227" i="6"/>
  <c r="BS219" i="6"/>
  <c r="BS211" i="6"/>
  <c r="BS203" i="6"/>
  <c r="BS183" i="6"/>
  <c r="BS175" i="6"/>
  <c r="BS147" i="6"/>
  <c r="BS118" i="6"/>
  <c r="BS102" i="6"/>
  <c r="BS79" i="6"/>
  <c r="BS93" i="6"/>
  <c r="BS263" i="6"/>
  <c r="BS250" i="6"/>
  <c r="BS242" i="6"/>
  <c r="BS234" i="6"/>
  <c r="BS218" i="6"/>
  <c r="BS210" i="6"/>
  <c r="BS202" i="6"/>
  <c r="BS186" i="6"/>
  <c r="BS178" i="6"/>
  <c r="BS162" i="6"/>
  <c r="BS127" i="6"/>
  <c r="BS117" i="6"/>
  <c r="BS109" i="6"/>
  <c r="BS78" i="6"/>
  <c r="BS253" i="6"/>
  <c r="BS233" i="6"/>
  <c r="BS221" i="6"/>
  <c r="BS185" i="6"/>
  <c r="BS165" i="6"/>
  <c r="BS145" i="6"/>
  <c r="BS116" i="6"/>
  <c r="BS100" i="6"/>
  <c r="BS89" i="6"/>
  <c r="BS65" i="6"/>
  <c r="BS228" i="6"/>
  <c r="BS216" i="6"/>
  <c r="BS196" i="6"/>
  <c r="BS188" i="6"/>
  <c r="BS160" i="6"/>
  <c r="BS144" i="6"/>
  <c r="BS133" i="6"/>
  <c r="BS115" i="6"/>
  <c r="BS103" i="6"/>
  <c r="BS80" i="6"/>
  <c r="BS68" i="6"/>
  <c r="BS255" i="6"/>
  <c r="BS247" i="6"/>
  <c r="BS239" i="6"/>
  <c r="BS231" i="6"/>
  <c r="BS223" i="6"/>
  <c r="BS215" i="6"/>
  <c r="BS207" i="6"/>
  <c r="BS179" i="6"/>
  <c r="BS171" i="6"/>
  <c r="BS143" i="6"/>
  <c r="BS128" i="6"/>
  <c r="BS114" i="6"/>
  <c r="BS98" i="6"/>
  <c r="BS87" i="6"/>
  <c r="BS71" i="6"/>
  <c r="BS77" i="6"/>
  <c r="BS262" i="6"/>
  <c r="BS254" i="6"/>
  <c r="BS246" i="6"/>
  <c r="BS238" i="6"/>
  <c r="BS230" i="6"/>
  <c r="BS222" i="6"/>
  <c r="BS214" i="6"/>
  <c r="BS206" i="6"/>
  <c r="BS198" i="6"/>
  <c r="BS190" i="6"/>
  <c r="BS182" i="6"/>
  <c r="BS142" i="6"/>
  <c r="BS121" i="6"/>
  <c r="BS105" i="6"/>
  <c r="BS97" i="6"/>
  <c r="BS74" i="6"/>
  <c r="BS249" i="6"/>
  <c r="BS237" i="6"/>
  <c r="BS217" i="6"/>
  <c r="BS189" i="6"/>
  <c r="BS181" i="6"/>
  <c r="BS177" i="6"/>
  <c r="BS169" i="6"/>
  <c r="BS161" i="6"/>
  <c r="BS149" i="6"/>
  <c r="BS137" i="6"/>
  <c r="BS108" i="6"/>
  <c r="BS96" i="6"/>
  <c r="BS64" i="6"/>
  <c r="BR256" i="6"/>
  <c r="BU256" i="6"/>
  <c r="BR236" i="6"/>
  <c r="BU236" i="6"/>
  <c r="BR204" i="6"/>
  <c r="BU204" i="6"/>
  <c r="BR180" i="6"/>
  <c r="BU180" i="6"/>
  <c r="BR152" i="6"/>
  <c r="BU152" i="6"/>
  <c r="BR107" i="6"/>
  <c r="BU107" i="6"/>
  <c r="BR99" i="6"/>
  <c r="BU99" i="6"/>
  <c r="BR92" i="6"/>
  <c r="BU92" i="6"/>
  <c r="BR259" i="6"/>
  <c r="BU259" i="6"/>
  <c r="BR227" i="6"/>
  <c r="BU227" i="6"/>
  <c r="BR191" i="6"/>
  <c r="BU191" i="6"/>
  <c r="BR167" i="6"/>
  <c r="BU167" i="6"/>
  <c r="BR147" i="6"/>
  <c r="BU147" i="6"/>
  <c r="BR110" i="6"/>
  <c r="BU110" i="6"/>
  <c r="BR254" i="6"/>
  <c r="BT254" i="6" s="1"/>
  <c r="BU254" i="6"/>
  <c r="BR222" i="6"/>
  <c r="BU222" i="6"/>
  <c r="BR190" i="6"/>
  <c r="BU190" i="6"/>
  <c r="BU154" i="6"/>
  <c r="BR154" i="6"/>
  <c r="BR105" i="6"/>
  <c r="BU105" i="6"/>
  <c r="BU66" i="6"/>
  <c r="BR66" i="6"/>
  <c r="BU233" i="6"/>
  <c r="BR233" i="6"/>
  <c r="BU185" i="6"/>
  <c r="BR185" i="6"/>
  <c r="BR141" i="6"/>
  <c r="BU141" i="6"/>
  <c r="BR120" i="6"/>
  <c r="BU120" i="6"/>
  <c r="BR104" i="6"/>
  <c r="BU104" i="6"/>
  <c r="BU64" i="6"/>
  <c r="BR64" i="6"/>
  <c r="BR232" i="6"/>
  <c r="BU232" i="6"/>
  <c r="BR184" i="6"/>
  <c r="BU184" i="6"/>
  <c r="BR144" i="6"/>
  <c r="BU144" i="6"/>
  <c r="BR119" i="6"/>
  <c r="BU119" i="6"/>
  <c r="BR68" i="6"/>
  <c r="BU68" i="6"/>
  <c r="BR231" i="6"/>
  <c r="BU231" i="6"/>
  <c r="BR195" i="6"/>
  <c r="BU195" i="6"/>
  <c r="BR155" i="6"/>
  <c r="BU155" i="6"/>
  <c r="BR210" i="6"/>
  <c r="BU210" i="6"/>
  <c r="BR174" i="6"/>
  <c r="BU174" i="6"/>
  <c r="BR113" i="6"/>
  <c r="BU113" i="6"/>
  <c r="BU74" i="6"/>
  <c r="BR74" i="6"/>
  <c r="BU245" i="6"/>
  <c r="BR245" i="6"/>
  <c r="BU213" i="6"/>
  <c r="BR213" i="6"/>
  <c r="BU197" i="6"/>
  <c r="BR197" i="6"/>
  <c r="BU173" i="6"/>
  <c r="BR173" i="6"/>
  <c r="BR157" i="6"/>
  <c r="BU157" i="6"/>
  <c r="BR89" i="6"/>
  <c r="BU89" i="6"/>
  <c r="BR228" i="6"/>
  <c r="BT228" i="6" s="1"/>
  <c r="BU228" i="6"/>
  <c r="BR216" i="6"/>
  <c r="BU216" i="6"/>
  <c r="BR196" i="6"/>
  <c r="BU196" i="6"/>
  <c r="BR192" i="6"/>
  <c r="BU192" i="6"/>
  <c r="BR168" i="6"/>
  <c r="BU168" i="6"/>
  <c r="BR156" i="6"/>
  <c r="BU156" i="6"/>
  <c r="BR140" i="6"/>
  <c r="BU140" i="6"/>
  <c r="BR84" i="6"/>
  <c r="BU84" i="6"/>
  <c r="BR80" i="6"/>
  <c r="BU80" i="6"/>
  <c r="BR255" i="6"/>
  <c r="BU255" i="6"/>
  <c r="BR239" i="6"/>
  <c r="BU239" i="6"/>
  <c r="BR223" i="6"/>
  <c r="BU223" i="6"/>
  <c r="BR207" i="6"/>
  <c r="BU207" i="6"/>
  <c r="BR187" i="6"/>
  <c r="BU187" i="6"/>
  <c r="BR183" i="6"/>
  <c r="BU183" i="6"/>
  <c r="BR163" i="6"/>
  <c r="BU163" i="6"/>
  <c r="BR143" i="6"/>
  <c r="BU143" i="6"/>
  <c r="BR139" i="6"/>
  <c r="BU139" i="6"/>
  <c r="BR128" i="6"/>
  <c r="BU128" i="6"/>
  <c r="BR118" i="6"/>
  <c r="BU118" i="6"/>
  <c r="BU106" i="6"/>
  <c r="BR106" i="6"/>
  <c r="BR102" i="6"/>
  <c r="BU102" i="6"/>
  <c r="BR91" i="6"/>
  <c r="BU91" i="6"/>
  <c r="BR87" i="6"/>
  <c r="BU87" i="6"/>
  <c r="BR83" i="6"/>
  <c r="BT83" i="6" s="1"/>
  <c r="BU83" i="6"/>
  <c r="BR79" i="6"/>
  <c r="BU79" i="6"/>
  <c r="BR75" i="6"/>
  <c r="BU75" i="6"/>
  <c r="BR71" i="6"/>
  <c r="BU71" i="6"/>
  <c r="BR67" i="6"/>
  <c r="BU67" i="6"/>
  <c r="BR93" i="6"/>
  <c r="BU93" i="6"/>
  <c r="BR85" i="6"/>
  <c r="BU85" i="6"/>
  <c r="BR77" i="6"/>
  <c r="BU77" i="6"/>
  <c r="BR69" i="6"/>
  <c r="BU69" i="6"/>
  <c r="BR263" i="6"/>
  <c r="BU263" i="6"/>
  <c r="BR250" i="6"/>
  <c r="BU250" i="6"/>
  <c r="BR234" i="6"/>
  <c r="BU234" i="6"/>
  <c r="BR218" i="6"/>
  <c r="BT218" i="6" s="1"/>
  <c r="BU218" i="6"/>
  <c r="BR202" i="6"/>
  <c r="BU202" i="6"/>
  <c r="BR186" i="6"/>
  <c r="BU186" i="6"/>
  <c r="BR166" i="6"/>
  <c r="BU166" i="6"/>
  <c r="BR162" i="6"/>
  <c r="BU162" i="6"/>
  <c r="BR150" i="6"/>
  <c r="BU150" i="6"/>
  <c r="BR135" i="6"/>
  <c r="BU135" i="6"/>
  <c r="BR109" i="6"/>
  <c r="BU109" i="6"/>
  <c r="BU261" i="6"/>
  <c r="BR261" i="6"/>
  <c r="BU257" i="6"/>
  <c r="BR257" i="6"/>
  <c r="BU229" i="6"/>
  <c r="BR229" i="6"/>
  <c r="BU225" i="6"/>
  <c r="BR225" i="6"/>
  <c r="BU205" i="6"/>
  <c r="BR205" i="6"/>
  <c r="BU201" i="6"/>
  <c r="BR201" i="6"/>
  <c r="BU169" i="6"/>
  <c r="BR169" i="6"/>
  <c r="BU153" i="6"/>
  <c r="BR153" i="6"/>
  <c r="BU145" i="6"/>
  <c r="BR145" i="6"/>
  <c r="BU137" i="6"/>
  <c r="BR137" i="6"/>
  <c r="BR134" i="6"/>
  <c r="BU134" i="6"/>
  <c r="BR130" i="6"/>
  <c r="BU130" i="6"/>
  <c r="BR116" i="6"/>
  <c r="BT116" i="6" s="1"/>
  <c r="BU116" i="6"/>
  <c r="BR108" i="6"/>
  <c r="BU108" i="6"/>
  <c r="BR100" i="6"/>
  <c r="BU100" i="6"/>
  <c r="BR96" i="6"/>
  <c r="BU96" i="6"/>
  <c r="BR136" i="6"/>
  <c r="BU136" i="6"/>
  <c r="BR125" i="6"/>
  <c r="BU125" i="6"/>
  <c r="BR260" i="6"/>
  <c r="BT260" i="6" s="1"/>
  <c r="BU260" i="6"/>
  <c r="BR224" i="6"/>
  <c r="BU224" i="6"/>
  <c r="BR200" i="6"/>
  <c r="BU200" i="6"/>
  <c r="BR176" i="6"/>
  <c r="BU176" i="6"/>
  <c r="BR111" i="6"/>
  <c r="BU111" i="6"/>
  <c r="BR103" i="6"/>
  <c r="BU103" i="6"/>
  <c r="BR95" i="6"/>
  <c r="BU95" i="6"/>
  <c r="BR88" i="6"/>
  <c r="BU88" i="6"/>
  <c r="BR243" i="6"/>
  <c r="BU243" i="6"/>
  <c r="BR211" i="6"/>
  <c r="BU211" i="6"/>
  <c r="BR171" i="6"/>
  <c r="BU171" i="6"/>
  <c r="BR151" i="6"/>
  <c r="BU151" i="6"/>
  <c r="BR132" i="6"/>
  <c r="BU132" i="6"/>
  <c r="BR94" i="6"/>
  <c r="BU94" i="6"/>
  <c r="BR238" i="6"/>
  <c r="BU238" i="6"/>
  <c r="BR206" i="6"/>
  <c r="BU206" i="6"/>
  <c r="BR170" i="6"/>
  <c r="BU170" i="6"/>
  <c r="BU138" i="6"/>
  <c r="BR138" i="6"/>
  <c r="BU82" i="6"/>
  <c r="BR82" i="6"/>
  <c r="BU237" i="6"/>
  <c r="BR237" i="6"/>
  <c r="BU189" i="6"/>
  <c r="BR189" i="6"/>
  <c r="BR149" i="6"/>
  <c r="BU149" i="6"/>
  <c r="BR123" i="6"/>
  <c r="BU123" i="6"/>
  <c r="BR112" i="6"/>
  <c r="BU112" i="6"/>
  <c r="BR122" i="6"/>
  <c r="BT122" i="6" s="1"/>
  <c r="BU122" i="6"/>
  <c r="BR244" i="6"/>
  <c r="BU244" i="6"/>
  <c r="BR188" i="6"/>
  <c r="BU188" i="6"/>
  <c r="BR160" i="6"/>
  <c r="BU160" i="6"/>
  <c r="BU129" i="6"/>
  <c r="BR129" i="6"/>
  <c r="BR115" i="6"/>
  <c r="BU115" i="6"/>
  <c r="BR247" i="6"/>
  <c r="BT247" i="6" s="1"/>
  <c r="BU247" i="6"/>
  <c r="BR215" i="6"/>
  <c r="BU215" i="6"/>
  <c r="BR175" i="6"/>
  <c r="BU175" i="6"/>
  <c r="BU242" i="6"/>
  <c r="BR242" i="6"/>
  <c r="BR178" i="6"/>
  <c r="BT178" i="6" s="1"/>
  <c r="BU178" i="6"/>
  <c r="BR158" i="6"/>
  <c r="BU158" i="6"/>
  <c r="BR117" i="6"/>
  <c r="BU117" i="6"/>
  <c r="BR86" i="6"/>
  <c r="BU86" i="6"/>
  <c r="BR70" i="6"/>
  <c r="BU70" i="6"/>
  <c r="BU241" i="6"/>
  <c r="BR241" i="6"/>
  <c r="BU209" i="6"/>
  <c r="BR209" i="6"/>
  <c r="BU193" i="6"/>
  <c r="BR193" i="6"/>
  <c r="BU161" i="6"/>
  <c r="BR161" i="6"/>
  <c r="BR126" i="6"/>
  <c r="BU126" i="6"/>
  <c r="AT127" i="6"/>
  <c r="AU127" i="6" s="1"/>
  <c r="AZ127" i="6" s="1"/>
  <c r="BR264" i="6"/>
  <c r="BU264" i="6"/>
  <c r="BR252" i="6"/>
  <c r="BU252" i="6"/>
  <c r="BR248" i="6"/>
  <c r="BU248" i="6"/>
  <c r="BR240" i="6"/>
  <c r="BU240" i="6"/>
  <c r="BR220" i="6"/>
  <c r="BU220" i="6"/>
  <c r="BR212" i="6"/>
  <c r="BU212" i="6"/>
  <c r="BR208" i="6"/>
  <c r="BU208" i="6"/>
  <c r="BR172" i="6"/>
  <c r="BU172" i="6"/>
  <c r="BR164" i="6"/>
  <c r="BU164" i="6"/>
  <c r="BR148" i="6"/>
  <c r="BU148" i="6"/>
  <c r="BR133" i="6"/>
  <c r="BU133" i="6"/>
  <c r="BR76" i="6"/>
  <c r="BT76" i="6" s="1"/>
  <c r="BU76" i="6"/>
  <c r="BR72" i="6"/>
  <c r="BU72" i="6"/>
  <c r="BR251" i="6"/>
  <c r="BU251" i="6"/>
  <c r="BR235" i="6"/>
  <c r="BU235" i="6"/>
  <c r="BR219" i="6"/>
  <c r="BU219" i="6"/>
  <c r="BR203" i="6"/>
  <c r="BU203" i="6"/>
  <c r="BR199" i="6"/>
  <c r="BU199" i="6"/>
  <c r="BR179" i="6"/>
  <c r="BU179" i="6"/>
  <c r="BR159" i="6"/>
  <c r="BU159" i="6"/>
  <c r="BR114" i="6"/>
  <c r="BU114" i="6"/>
  <c r="BU98" i="6"/>
  <c r="BR98" i="6"/>
  <c r="BR262" i="6"/>
  <c r="BU262" i="6"/>
  <c r="BU258" i="6"/>
  <c r="BR258" i="6"/>
  <c r="BR246" i="6"/>
  <c r="BU246" i="6"/>
  <c r="BR230" i="6"/>
  <c r="BT230" i="6" s="1"/>
  <c r="BU230" i="6"/>
  <c r="BR226" i="6"/>
  <c r="BU226" i="6"/>
  <c r="BR214" i="6"/>
  <c r="BU214" i="6"/>
  <c r="BR198" i="6"/>
  <c r="BU198" i="6"/>
  <c r="BR194" i="6"/>
  <c r="BU194" i="6"/>
  <c r="BR182" i="6"/>
  <c r="BU182" i="6"/>
  <c r="BR146" i="6"/>
  <c r="BU146" i="6"/>
  <c r="BR142" i="6"/>
  <c r="BU142" i="6"/>
  <c r="BR131" i="6"/>
  <c r="BU131" i="6"/>
  <c r="BR127" i="6"/>
  <c r="BU127" i="6"/>
  <c r="BR124" i="6"/>
  <c r="BU124" i="6"/>
  <c r="BR121" i="6"/>
  <c r="BU121" i="6"/>
  <c r="BR101" i="6"/>
  <c r="BU101" i="6"/>
  <c r="BR97" i="6"/>
  <c r="BU97" i="6"/>
  <c r="BU90" i="6"/>
  <c r="BR90" i="6"/>
  <c r="BR78" i="6"/>
  <c r="BU78" i="6"/>
  <c r="BU253" i="6"/>
  <c r="BR253" i="6"/>
  <c r="BU249" i="6"/>
  <c r="BR249" i="6"/>
  <c r="BU221" i="6"/>
  <c r="BR221" i="6"/>
  <c r="BU217" i="6"/>
  <c r="BR217" i="6"/>
  <c r="BU181" i="6"/>
  <c r="BR181" i="6"/>
  <c r="BU177" i="6"/>
  <c r="BR177" i="6"/>
  <c r="BU165" i="6"/>
  <c r="BR165" i="6"/>
  <c r="BR81" i="6"/>
  <c r="BU81" i="6"/>
  <c r="BR73" i="6"/>
  <c r="BU73" i="6"/>
  <c r="BR65" i="6"/>
  <c r="BU65" i="6"/>
  <c r="BX252" i="6"/>
  <c r="BX216" i="6"/>
  <c r="BX192" i="6"/>
  <c r="BX80" i="6"/>
  <c r="BX255" i="6"/>
  <c r="BX223" i="6"/>
  <c r="BX187" i="6"/>
  <c r="BX163" i="6"/>
  <c r="BX139" i="6"/>
  <c r="BX106" i="6"/>
  <c r="BX87" i="6"/>
  <c r="BX79" i="6"/>
  <c r="BX71" i="6"/>
  <c r="BX93" i="6"/>
  <c r="BX77" i="6"/>
  <c r="BX263" i="6"/>
  <c r="BX234" i="6"/>
  <c r="BX202" i="6"/>
  <c r="BX174" i="6"/>
  <c r="BX150" i="6"/>
  <c r="BX124" i="6"/>
  <c r="BX113" i="6"/>
  <c r="BX86" i="6"/>
  <c r="BX245" i="6"/>
  <c r="BX213" i="6"/>
  <c r="BX137" i="6"/>
  <c r="BX96" i="6"/>
  <c r="BX228" i="6"/>
  <c r="BX200" i="6"/>
  <c r="BX176" i="6"/>
  <c r="BX168" i="6"/>
  <c r="BX148" i="6"/>
  <c r="BX111" i="6"/>
  <c r="BX107" i="6"/>
  <c r="BX99" i="6"/>
  <c r="BX88" i="6"/>
  <c r="BX243" i="6"/>
  <c r="BX227" i="6"/>
  <c r="BX191" i="6"/>
  <c r="BX167" i="6"/>
  <c r="BX147" i="6"/>
  <c r="BX114" i="6"/>
  <c r="BX98" i="6"/>
  <c r="BX258" i="6"/>
  <c r="BX238" i="6"/>
  <c r="BX222" i="6"/>
  <c r="BX194" i="6"/>
  <c r="BX170" i="6"/>
  <c r="BX142" i="6"/>
  <c r="BX97" i="6"/>
  <c r="BX257" i="6"/>
  <c r="BX225" i="6"/>
  <c r="BX201" i="6"/>
  <c r="BX169" i="6"/>
  <c r="BX145" i="6"/>
  <c r="BX120" i="6"/>
  <c r="BX112" i="6"/>
  <c r="BX104" i="6"/>
  <c r="BX81" i="6"/>
  <c r="BX264" i="6"/>
  <c r="BX248" i="6"/>
  <c r="BX244" i="6"/>
  <c r="BX240" i="6"/>
  <c r="BX208" i="6"/>
  <c r="BX188" i="6"/>
  <c r="BX180" i="6"/>
  <c r="BX133" i="6"/>
  <c r="BX129" i="6"/>
  <c r="BX72" i="6"/>
  <c r="BX68" i="6"/>
  <c r="BX251" i="6"/>
  <c r="BX235" i="6"/>
  <c r="BX219" i="6"/>
  <c r="BX203" i="6"/>
  <c r="BX199" i="6"/>
  <c r="BX179" i="6"/>
  <c r="BX159" i="6"/>
  <c r="BX132" i="6"/>
  <c r="BX262" i="6"/>
  <c r="BX246" i="6"/>
  <c r="BX230" i="6"/>
  <c r="BX214" i="6"/>
  <c r="BX198" i="6"/>
  <c r="BX182" i="6"/>
  <c r="BX146" i="6"/>
  <c r="BX131" i="6"/>
  <c r="BX127" i="6"/>
  <c r="BX105" i="6"/>
  <c r="BX101" i="6"/>
  <c r="BX82" i="6"/>
  <c r="BX78" i="6"/>
  <c r="BX66" i="6"/>
  <c r="BX241" i="6"/>
  <c r="BX237" i="6"/>
  <c r="BX209" i="6"/>
  <c r="BX193" i="6"/>
  <c r="BX189" i="6"/>
  <c r="BX177" i="6"/>
  <c r="BX165" i="6"/>
  <c r="BX161" i="6"/>
  <c r="BX141" i="6"/>
  <c r="BX89" i="6"/>
  <c r="BX122" i="6"/>
  <c r="BX220" i="6"/>
  <c r="BX212" i="6"/>
  <c r="BX172" i="6"/>
  <c r="BX76" i="6"/>
  <c r="BX239" i="6"/>
  <c r="BX207" i="6"/>
  <c r="BX183" i="6"/>
  <c r="BX143" i="6"/>
  <c r="BX128" i="6"/>
  <c r="BX91" i="6"/>
  <c r="BX83" i="6"/>
  <c r="BX75" i="6"/>
  <c r="BX67" i="6"/>
  <c r="BX85" i="6"/>
  <c r="BX69" i="6"/>
  <c r="BX250" i="6"/>
  <c r="BX218" i="6"/>
  <c r="BX186" i="6"/>
  <c r="BX166" i="6"/>
  <c r="BX135" i="6"/>
  <c r="BX121" i="6"/>
  <c r="BX109" i="6"/>
  <c r="BX70" i="6"/>
  <c r="BX249" i="6"/>
  <c r="BX217" i="6"/>
  <c r="BX197" i="6"/>
  <c r="BX173" i="6"/>
  <c r="BX134" i="6"/>
  <c r="BX125" i="6"/>
  <c r="BX256" i="6"/>
  <c r="BX224" i="6"/>
  <c r="BX196" i="6"/>
  <c r="BX164" i="6"/>
  <c r="BX156" i="6"/>
  <c r="BX140" i="6"/>
  <c r="BX103" i="6"/>
  <c r="BX95" i="6"/>
  <c r="BX84" i="6"/>
  <c r="BX259" i="6"/>
  <c r="BX211" i="6"/>
  <c r="BX171" i="6"/>
  <c r="BX151" i="6"/>
  <c r="BX110" i="6"/>
  <c r="BX94" i="6"/>
  <c r="BX254" i="6"/>
  <c r="BX226" i="6"/>
  <c r="BX206" i="6"/>
  <c r="BX190" i="6"/>
  <c r="BX154" i="6"/>
  <c r="BX138" i="6"/>
  <c r="BX90" i="6"/>
  <c r="BX253" i="6"/>
  <c r="BX221" i="6"/>
  <c r="BX181" i="6"/>
  <c r="BX149" i="6"/>
  <c r="BX123" i="6"/>
  <c r="BX116" i="6"/>
  <c r="BX108" i="6"/>
  <c r="BX100" i="6"/>
  <c r="BX73" i="6"/>
  <c r="BX65" i="6"/>
  <c r="BX136" i="6"/>
  <c r="BX260" i="6"/>
  <c r="BX236" i="6"/>
  <c r="BX232" i="6"/>
  <c r="BX204" i="6"/>
  <c r="BX184" i="6"/>
  <c r="BX160" i="6"/>
  <c r="BX152" i="6"/>
  <c r="BX144" i="6"/>
  <c r="BX119" i="6"/>
  <c r="BX115" i="6"/>
  <c r="BX92" i="6"/>
  <c r="BX247" i="6"/>
  <c r="BX231" i="6"/>
  <c r="BX215" i="6"/>
  <c r="BX195" i="6"/>
  <c r="BX175" i="6"/>
  <c r="BX155" i="6"/>
  <c r="BX118" i="6"/>
  <c r="BX102" i="6"/>
  <c r="BX242" i="6"/>
  <c r="BX210" i="6"/>
  <c r="BX178" i="6"/>
  <c r="BX162" i="6"/>
  <c r="BX158" i="6"/>
  <c r="BX117" i="6"/>
  <c r="BX74" i="6"/>
  <c r="BX261" i="6"/>
  <c r="BX233" i="6"/>
  <c r="BX229" i="6"/>
  <c r="BX205" i="6"/>
  <c r="BX185" i="6"/>
  <c r="BX157" i="6"/>
  <c r="BX153" i="6"/>
  <c r="BX130" i="6"/>
  <c r="BX126" i="6"/>
  <c r="BX64" i="6"/>
  <c r="AO255" i="6"/>
  <c r="AT104" i="6"/>
  <c r="AU104" i="6" s="1"/>
  <c r="AZ104" i="6" s="1"/>
  <c r="AT68" i="6"/>
  <c r="AU68" i="6" s="1"/>
  <c r="AZ68" i="6" s="1"/>
  <c r="AV255" i="6"/>
  <c r="AX255" i="6" s="1"/>
  <c r="AT150" i="6"/>
  <c r="AU150" i="6" s="1"/>
  <c r="AZ150" i="6" s="1"/>
  <c r="AT111" i="6"/>
  <c r="AU111" i="6" s="1"/>
  <c r="AZ111" i="6" s="1"/>
  <c r="AT122" i="6"/>
  <c r="AU122" i="6" s="1"/>
  <c r="AZ122" i="6" s="1"/>
  <c r="AO86" i="6"/>
  <c r="AT157" i="6"/>
  <c r="AU157" i="6" s="1"/>
  <c r="AZ157" i="6" s="1"/>
  <c r="AT72" i="6"/>
  <c r="AU72" i="6" s="1"/>
  <c r="AZ72" i="6" s="1"/>
  <c r="AT239" i="6"/>
  <c r="AU239" i="6" s="1"/>
  <c r="AZ239" i="6" s="1"/>
  <c r="AT88" i="6"/>
  <c r="AU88" i="6" s="1"/>
  <c r="AZ88" i="6" s="1"/>
  <c r="AT109" i="6"/>
  <c r="AU109" i="6" s="1"/>
  <c r="AZ109" i="6" s="1"/>
  <c r="AT168" i="6"/>
  <c r="AU168" i="6" s="1"/>
  <c r="AZ168" i="6" s="1"/>
  <c r="AT194" i="6"/>
  <c r="AU194" i="6" s="1"/>
  <c r="AZ194" i="6" s="1"/>
  <c r="AT69" i="6"/>
  <c r="AU69" i="6" s="1"/>
  <c r="AZ69" i="6" s="1"/>
  <c r="AT195" i="6"/>
  <c r="AU195" i="6" s="1"/>
  <c r="AZ195" i="6" s="1"/>
  <c r="AT120" i="6"/>
  <c r="AU120" i="6" s="1"/>
  <c r="AZ120" i="6" s="1"/>
  <c r="AT67" i="6"/>
  <c r="AU67" i="6" s="1"/>
  <c r="AZ67" i="6" s="1"/>
  <c r="AT174" i="6"/>
  <c r="AU174" i="6" s="1"/>
  <c r="AZ174" i="6" s="1"/>
  <c r="AT117" i="6"/>
  <c r="AU117" i="6" s="1"/>
  <c r="AZ117" i="6" s="1"/>
  <c r="AT129" i="6"/>
  <c r="AU129" i="6" s="1"/>
  <c r="AZ129" i="6" s="1"/>
  <c r="AT89" i="6"/>
  <c r="AU89" i="6" s="1"/>
  <c r="AZ89" i="6" s="1"/>
  <c r="AT133" i="6"/>
  <c r="AU133" i="6" s="1"/>
  <c r="AZ133" i="6" s="1"/>
  <c r="AT95" i="6"/>
  <c r="AU95" i="6" s="1"/>
  <c r="AZ95" i="6" s="1"/>
  <c r="AT83" i="6"/>
  <c r="AU83" i="6" s="1"/>
  <c r="AZ83" i="6" s="1"/>
  <c r="AT75" i="6"/>
  <c r="AU75" i="6" s="1"/>
  <c r="AZ75" i="6" s="1"/>
  <c r="AT64" i="6"/>
  <c r="AU64" i="6" s="1"/>
  <c r="AZ64" i="6" s="1"/>
  <c r="AT249" i="6"/>
  <c r="AU249" i="6" s="1"/>
  <c r="AZ249" i="6" s="1"/>
  <c r="AT137" i="6"/>
  <c r="AU137" i="6" s="1"/>
  <c r="AZ137" i="6" s="1"/>
  <c r="AT180" i="6"/>
  <c r="AU180" i="6" s="1"/>
  <c r="AZ180" i="6" s="1"/>
  <c r="AT125" i="6"/>
  <c r="AU125" i="6" s="1"/>
  <c r="AZ125" i="6" s="1"/>
  <c r="AT151" i="6"/>
  <c r="AU151" i="6" s="1"/>
  <c r="AZ151" i="6" s="1"/>
  <c r="AT141" i="6"/>
  <c r="AU141" i="6" s="1"/>
  <c r="AZ141" i="6" s="1"/>
  <c r="AT85" i="6"/>
  <c r="AU85" i="6" s="1"/>
  <c r="AZ85" i="6" s="1"/>
  <c r="AT91" i="6"/>
  <c r="AU91" i="6" s="1"/>
  <c r="AZ91" i="6" s="1"/>
  <c r="AT114" i="6"/>
  <c r="AU114" i="6" s="1"/>
  <c r="AZ114" i="6" s="1"/>
  <c r="AT106" i="6"/>
  <c r="AU106" i="6" s="1"/>
  <c r="AZ106" i="6" s="1"/>
  <c r="AT220" i="6"/>
  <c r="AU220" i="6" s="1"/>
  <c r="AZ220" i="6" s="1"/>
  <c r="AT237" i="6"/>
  <c r="AU237" i="6" s="1"/>
  <c r="AZ237" i="6" s="1"/>
  <c r="AT79" i="6"/>
  <c r="AU79" i="6" s="1"/>
  <c r="AZ79" i="6" s="1"/>
  <c r="AT190" i="6"/>
  <c r="AU190" i="6" s="1"/>
  <c r="AZ190" i="6" s="1"/>
  <c r="AT71" i="6"/>
  <c r="AU71" i="6" s="1"/>
  <c r="AZ71" i="6" s="1"/>
  <c r="AV211" i="6"/>
  <c r="AX211" i="6" s="1"/>
  <c r="AV174" i="6"/>
  <c r="AX174" i="6" s="1"/>
  <c r="AV245" i="6"/>
  <c r="AX245" i="6" s="1"/>
  <c r="E51" i="6"/>
  <c r="AT164" i="6"/>
  <c r="AU164" i="6" s="1"/>
  <c r="AZ164" i="6" s="1"/>
  <c r="AT191" i="6"/>
  <c r="AU191" i="6" s="1"/>
  <c r="AZ191" i="6" s="1"/>
  <c r="AT116" i="6"/>
  <c r="AU116" i="6" s="1"/>
  <c r="AZ116" i="6" s="1"/>
  <c r="AT202" i="6"/>
  <c r="AU202" i="6" s="1"/>
  <c r="AZ202" i="6" s="1"/>
  <c r="AU128" i="6"/>
  <c r="AZ128" i="6" s="1"/>
  <c r="AU234" i="6"/>
  <c r="AZ234" i="6" s="1"/>
  <c r="AT247" i="6"/>
  <c r="AU247" i="6" s="1"/>
  <c r="AZ247" i="6" s="1"/>
  <c r="AT257" i="6"/>
  <c r="AU257" i="6" s="1"/>
  <c r="AZ257" i="6" s="1"/>
  <c r="AT261" i="6"/>
  <c r="AU261" i="6" s="1"/>
  <c r="AZ261" i="6" s="1"/>
  <c r="AT258" i="6"/>
  <c r="AU258" i="6" s="1"/>
  <c r="AZ258" i="6" s="1"/>
  <c r="AT182" i="6"/>
  <c r="AU182" i="6" s="1"/>
  <c r="AZ182" i="6" s="1"/>
  <c r="AT96" i="6"/>
  <c r="AU96" i="6" s="1"/>
  <c r="AZ96" i="6" s="1"/>
  <c r="AT124" i="6"/>
  <c r="AU124" i="6" s="1"/>
  <c r="AZ124" i="6" s="1"/>
  <c r="AT152" i="6"/>
  <c r="AU152" i="6" s="1"/>
  <c r="AZ152" i="6" s="1"/>
  <c r="AT147" i="6"/>
  <c r="AU147" i="6" s="1"/>
  <c r="AZ147" i="6" s="1"/>
  <c r="AU99" i="6"/>
  <c r="AZ99" i="6" s="1"/>
  <c r="AT80" i="6"/>
  <c r="AU80" i="6" s="1"/>
  <c r="AZ80" i="6" s="1"/>
  <c r="AU181" i="6"/>
  <c r="AZ181" i="6" s="1"/>
  <c r="AT65" i="6"/>
  <c r="AU65" i="6" s="1"/>
  <c r="AZ65" i="6" s="1"/>
  <c r="AT250" i="6"/>
  <c r="AU250" i="6" s="1"/>
  <c r="AZ250" i="6" s="1"/>
  <c r="AT70" i="6"/>
  <c r="AU70" i="6" s="1"/>
  <c r="AZ70" i="6" s="1"/>
  <c r="AT196" i="6"/>
  <c r="AU196" i="6" s="1"/>
  <c r="AZ196" i="6" s="1"/>
  <c r="AT118" i="6"/>
  <c r="AU118" i="6" s="1"/>
  <c r="AZ118" i="6" s="1"/>
  <c r="AT156" i="6"/>
  <c r="AU156" i="6" s="1"/>
  <c r="AT113" i="6"/>
  <c r="AU113" i="6" s="1"/>
  <c r="AZ113" i="6" s="1"/>
  <c r="AT224" i="6"/>
  <c r="AU224" i="6" s="1"/>
  <c r="AZ224" i="6" s="1"/>
  <c r="AT189" i="6"/>
  <c r="AU189" i="6" s="1"/>
  <c r="AZ189" i="6" s="1"/>
  <c r="AT163" i="6"/>
  <c r="AU163" i="6" s="1"/>
  <c r="AZ163" i="6" s="1"/>
  <c r="AT93" i="6"/>
  <c r="AU93" i="6" s="1"/>
  <c r="AZ93" i="6" s="1"/>
  <c r="AT184" i="6"/>
  <c r="AU184" i="6" s="1"/>
  <c r="AZ184" i="6" s="1"/>
  <c r="AT175" i="6"/>
  <c r="AU175" i="6" s="1"/>
  <c r="AT153" i="6"/>
  <c r="AU153" i="6" s="1"/>
  <c r="AZ153" i="6" s="1"/>
  <c r="AT252" i="6"/>
  <c r="AU252" i="6" s="1"/>
  <c r="AZ252" i="6" s="1"/>
  <c r="AT171" i="6"/>
  <c r="AU171" i="6" s="1"/>
  <c r="AZ171" i="6" s="1"/>
  <c r="AT199" i="6"/>
  <c r="AU199" i="6" s="1"/>
  <c r="AZ199" i="6" s="1"/>
  <c r="AT221" i="6"/>
  <c r="AU221" i="6" s="1"/>
  <c r="AT218" i="6"/>
  <c r="AU218" i="6" s="1"/>
  <c r="AZ218" i="6" s="1"/>
  <c r="AT170" i="6"/>
  <c r="AU170" i="6" s="1"/>
  <c r="AZ170" i="6" s="1"/>
  <c r="AT121" i="6"/>
  <c r="AU121" i="6" s="1"/>
  <c r="AZ121" i="6" s="1"/>
  <c r="AT105" i="6"/>
  <c r="AU105" i="6" s="1"/>
  <c r="AZ105" i="6" s="1"/>
  <c r="AT130" i="6"/>
  <c r="AU130" i="6" s="1"/>
  <c r="AZ130" i="6" s="1"/>
  <c r="AT110" i="6"/>
  <c r="AU110" i="6" s="1"/>
  <c r="AZ110" i="6" s="1"/>
  <c r="AT201" i="6"/>
  <c r="AU201" i="6" s="1"/>
  <c r="AZ201" i="6" s="1"/>
  <c r="AT186" i="6"/>
  <c r="AU186" i="6" s="1"/>
  <c r="AZ186" i="6" s="1"/>
  <c r="AU185" i="6"/>
  <c r="AZ185" i="6" s="1"/>
  <c r="AT246" i="6"/>
  <c r="AU246" i="6" s="1"/>
  <c r="AZ246" i="6" s="1"/>
  <c r="AT193" i="6"/>
  <c r="AU193" i="6" s="1"/>
  <c r="AZ193" i="6" s="1"/>
  <c r="AT165" i="6"/>
  <c r="AU165" i="6" s="1"/>
  <c r="AZ165" i="6" s="1"/>
  <c r="AT207" i="6"/>
  <c r="AU207" i="6" s="1"/>
  <c r="AZ207" i="6" s="1"/>
  <c r="AT204" i="6"/>
  <c r="AU204" i="6" s="1"/>
  <c r="AZ204" i="6" s="1"/>
  <c r="AT198" i="6"/>
  <c r="AU198" i="6" s="1"/>
  <c r="AT100" i="6"/>
  <c r="AU100" i="6" s="1"/>
  <c r="AZ100" i="6" s="1"/>
  <c r="AV264" i="6"/>
  <c r="AX264" i="6" s="1"/>
  <c r="AV156" i="6"/>
  <c r="AX156" i="6" s="1"/>
  <c r="AV175" i="6"/>
  <c r="AX175" i="6" s="1"/>
  <c r="E176" i="6"/>
  <c r="E150" i="6"/>
  <c r="D231" i="6"/>
  <c r="E163" i="6"/>
  <c r="AV212" i="6"/>
  <c r="AX212" i="6" s="1"/>
  <c r="D232" i="6"/>
  <c r="D141" i="6"/>
  <c r="D130" i="6"/>
  <c r="E245" i="6"/>
  <c r="AV103" i="6"/>
  <c r="AX103" i="6" s="1"/>
  <c r="AV219" i="6"/>
  <c r="AX219" i="6" s="1"/>
  <c r="AV73" i="6"/>
  <c r="AX73" i="6" s="1"/>
  <c r="D236" i="6"/>
  <c r="E177" i="6"/>
  <c r="D95" i="6"/>
  <c r="E75" i="6"/>
  <c r="D185" i="6"/>
  <c r="D106" i="6"/>
  <c r="D136" i="6"/>
  <c r="D53" i="6"/>
  <c r="E58" i="6"/>
  <c r="E183" i="6"/>
  <c r="E173" i="6"/>
  <c r="D140" i="6"/>
  <c r="D85" i="6"/>
  <c r="D201" i="6"/>
  <c r="D193" i="6"/>
  <c r="D162" i="6"/>
  <c r="D70" i="6"/>
  <c r="D173" i="6"/>
  <c r="E111" i="6"/>
  <c r="D92" i="6"/>
  <c r="E123" i="6"/>
  <c r="D248" i="6"/>
  <c r="D246" i="6"/>
  <c r="D176" i="6"/>
  <c r="E162" i="6"/>
  <c r="E170" i="6"/>
  <c r="D68" i="6"/>
  <c r="D75" i="6"/>
  <c r="F75" i="6" s="1"/>
  <c r="D163" i="6"/>
  <c r="E80" i="6"/>
  <c r="E92" i="6"/>
  <c r="E53" i="6"/>
  <c r="E209" i="6"/>
  <c r="E235" i="6"/>
  <c r="E161" i="6"/>
  <c r="E248" i="6"/>
  <c r="D244" i="6"/>
  <c r="E192" i="6"/>
  <c r="E242" i="6"/>
  <c r="E181" i="6"/>
  <c r="D156" i="6"/>
  <c r="D124" i="6"/>
  <c r="D94" i="6"/>
  <c r="D146" i="6"/>
  <c r="D114" i="6"/>
  <c r="D168" i="6"/>
  <c r="D86" i="6"/>
  <c r="D54" i="6"/>
  <c r="E118" i="6"/>
  <c r="D247" i="6"/>
  <c r="D199" i="6"/>
  <c r="D69" i="6"/>
  <c r="D219" i="6"/>
  <c r="D157" i="6"/>
  <c r="D125" i="6"/>
  <c r="E74" i="6"/>
  <c r="D208" i="6"/>
  <c r="E214" i="6"/>
  <c r="E125" i="6"/>
  <c r="E93" i="6"/>
  <c r="D222" i="6"/>
  <c r="D202" i="6"/>
  <c r="D220" i="6"/>
  <c r="D108" i="6"/>
  <c r="E151" i="6"/>
  <c r="E81" i="6"/>
  <c r="E232" i="6"/>
  <c r="D178" i="6"/>
  <c r="E238" i="6"/>
  <c r="E140" i="6"/>
  <c r="E106" i="6"/>
  <c r="E130" i="6"/>
  <c r="D110" i="6"/>
  <c r="D118" i="6"/>
  <c r="E212" i="6"/>
  <c r="E218" i="6"/>
  <c r="D131" i="6"/>
  <c r="D228" i="6"/>
  <c r="E139" i="6"/>
  <c r="D186" i="6"/>
  <c r="E182" i="6"/>
  <c r="E89" i="6"/>
  <c r="E240" i="6"/>
  <c r="E244" i="6"/>
  <c r="D190" i="6"/>
  <c r="E193" i="6"/>
  <c r="D181" i="6"/>
  <c r="E156" i="6"/>
  <c r="E124" i="6"/>
  <c r="E94" i="6"/>
  <c r="E146" i="6"/>
  <c r="E114" i="6"/>
  <c r="E144" i="6"/>
  <c r="D84" i="6"/>
  <c r="D150" i="6"/>
  <c r="D237" i="6"/>
  <c r="D97" i="6"/>
  <c r="D59" i="6"/>
  <c r="E200" i="6"/>
  <c r="D147" i="6"/>
  <c r="D115" i="6"/>
  <c r="E64" i="6"/>
  <c r="E190" i="6"/>
  <c r="E191" i="6"/>
  <c r="D91" i="6"/>
  <c r="E112" i="6"/>
  <c r="D224" i="6"/>
  <c r="E221" i="6"/>
  <c r="E207" i="6"/>
  <c r="E186" i="6"/>
  <c r="E133" i="6"/>
  <c r="AV160" i="6"/>
  <c r="AX160" i="6" s="1"/>
  <c r="AV101" i="6"/>
  <c r="AX101" i="6" s="1"/>
  <c r="AV162" i="6"/>
  <c r="AX162" i="6" s="1"/>
  <c r="AV193" i="6"/>
  <c r="AX193" i="6" s="1"/>
  <c r="AV133" i="6"/>
  <c r="AX133" i="6" s="1"/>
  <c r="AV251" i="6"/>
  <c r="AX251" i="6" s="1"/>
  <c r="AV110" i="6"/>
  <c r="AX110" i="6" s="1"/>
  <c r="AV179" i="6"/>
  <c r="AX179" i="6" s="1"/>
  <c r="AV208" i="6"/>
  <c r="AX208" i="6" s="1"/>
  <c r="AV230" i="6"/>
  <c r="AX230" i="6" s="1"/>
  <c r="AV188" i="6"/>
  <c r="AX188" i="6" s="1"/>
  <c r="AV121" i="6"/>
  <c r="AX121" i="6" s="1"/>
  <c r="AT77" i="6"/>
  <c r="AU77" i="6" s="1"/>
  <c r="AZ77" i="6" s="1"/>
  <c r="AV197" i="6"/>
  <c r="AX197" i="6" s="1"/>
  <c r="AV135" i="6"/>
  <c r="AX135" i="6" s="1"/>
  <c r="AV206" i="6"/>
  <c r="AX206" i="6" s="1"/>
  <c r="AV127" i="6"/>
  <c r="AX127" i="6" s="1"/>
  <c r="AV75" i="6"/>
  <c r="AX75" i="6" s="1"/>
  <c r="AT179" i="6"/>
  <c r="AU179" i="6" s="1"/>
  <c r="AT119" i="6"/>
  <c r="AU119" i="6" s="1"/>
  <c r="AZ119" i="6" s="1"/>
  <c r="AU200" i="6"/>
  <c r="AZ200" i="6" s="1"/>
  <c r="AT231" i="6"/>
  <c r="AU231" i="6" s="1"/>
  <c r="AZ231" i="6" s="1"/>
  <c r="AT215" i="6"/>
  <c r="AU215" i="6" s="1"/>
  <c r="AZ215" i="6" s="1"/>
  <c r="AT209" i="6"/>
  <c r="AU209" i="6" s="1"/>
  <c r="AZ209" i="6" s="1"/>
  <c r="AT187" i="6"/>
  <c r="AU187" i="6" s="1"/>
  <c r="AZ187" i="6" s="1"/>
  <c r="AT166" i="6"/>
  <c r="AU166" i="6" s="1"/>
  <c r="AZ166" i="6" s="1"/>
  <c r="AT254" i="6"/>
  <c r="AU254" i="6" s="1"/>
  <c r="AZ254" i="6" s="1"/>
  <c r="AU248" i="6"/>
  <c r="AZ248" i="6" s="1"/>
  <c r="AT216" i="6"/>
  <c r="AU216" i="6" s="1"/>
  <c r="AZ216" i="6" s="1"/>
  <c r="AT139" i="6"/>
  <c r="AU139" i="6" s="1"/>
  <c r="AZ139" i="6" s="1"/>
  <c r="AT136" i="6"/>
  <c r="AU136" i="6" s="1"/>
  <c r="AZ136" i="6" s="1"/>
  <c r="AT97" i="6"/>
  <c r="AU97" i="6" s="1"/>
  <c r="AZ97" i="6" s="1"/>
  <c r="AT197" i="6"/>
  <c r="AU197" i="6" s="1"/>
  <c r="AZ197" i="6" s="1"/>
  <c r="AU101" i="6"/>
  <c r="AZ101" i="6" s="1"/>
  <c r="AT159" i="6"/>
  <c r="AU159" i="6" s="1"/>
  <c r="AZ159" i="6" s="1"/>
  <c r="AT103" i="6"/>
  <c r="AU103" i="6" s="1"/>
  <c r="AZ103" i="6" s="1"/>
  <c r="AT178" i="6"/>
  <c r="AU178" i="6" s="1"/>
  <c r="AZ178" i="6" s="1"/>
  <c r="AT142" i="6"/>
  <c r="AU142" i="6" s="1"/>
  <c r="AZ142" i="6" s="1"/>
  <c r="AT123" i="6"/>
  <c r="AU123" i="6" s="1"/>
  <c r="AZ123" i="6" s="1"/>
  <c r="AT86" i="6"/>
  <c r="AU86" i="6" s="1"/>
  <c r="AZ86" i="6" s="1"/>
  <c r="AT148" i="6"/>
  <c r="AU148" i="6" s="1"/>
  <c r="AZ148" i="6" s="1"/>
  <c r="AT138" i="6"/>
  <c r="AU138" i="6" s="1"/>
  <c r="AZ138" i="6" s="1"/>
  <c r="AT90" i="6"/>
  <c r="AU90" i="6" s="1"/>
  <c r="AZ90" i="6" s="1"/>
  <c r="AT188" i="6"/>
  <c r="AU188" i="6" s="1"/>
  <c r="AZ188" i="6" s="1"/>
  <c r="AT126" i="6"/>
  <c r="AU126" i="6" s="1"/>
  <c r="AZ126" i="6" s="1"/>
  <c r="AT92" i="6"/>
  <c r="AU92" i="6" s="1"/>
  <c r="AZ92" i="6" s="1"/>
  <c r="E55" i="6"/>
  <c r="E69" i="6"/>
  <c r="E83" i="6"/>
  <c r="D113" i="6"/>
  <c r="E127" i="6"/>
  <c r="E141" i="6"/>
  <c r="E155" i="6"/>
  <c r="E167" i="6"/>
  <c r="D93" i="6"/>
  <c r="E222" i="6"/>
  <c r="D112" i="6"/>
  <c r="E195" i="6"/>
  <c r="E203" i="6"/>
  <c r="E211" i="6"/>
  <c r="E231" i="6"/>
  <c r="E239" i="6"/>
  <c r="E229" i="6"/>
  <c r="E213" i="6"/>
  <c r="E197" i="6"/>
  <c r="D179" i="6"/>
  <c r="E49" i="6"/>
  <c r="D216" i="6"/>
  <c r="E217" i="6"/>
  <c r="E201" i="6"/>
  <c r="D182" i="6"/>
  <c r="E104" i="6"/>
  <c r="E91" i="6"/>
  <c r="E61" i="6"/>
  <c r="E79" i="6"/>
  <c r="D109" i="6"/>
  <c r="E131" i="6"/>
  <c r="E149" i="6"/>
  <c r="D175" i="6"/>
  <c r="E202" i="6"/>
  <c r="D225" i="6"/>
  <c r="D101" i="6"/>
  <c r="E178" i="6"/>
  <c r="D196" i="6"/>
  <c r="D212" i="6"/>
  <c r="E52" i="6"/>
  <c r="E60" i="6"/>
  <c r="E68" i="6"/>
  <c r="E76" i="6"/>
  <c r="E84" i="6"/>
  <c r="E108" i="6"/>
  <c r="D119" i="6"/>
  <c r="D127" i="6"/>
  <c r="D135" i="6"/>
  <c r="D143" i="6"/>
  <c r="D151" i="6"/>
  <c r="D159" i="6"/>
  <c r="D167" i="6"/>
  <c r="E187" i="6"/>
  <c r="E208" i="6"/>
  <c r="E224" i="6"/>
  <c r="E226" i="6"/>
  <c r="D55" i="6"/>
  <c r="F55" i="6" s="1"/>
  <c r="H55" i="6" s="1"/>
  <c r="D63" i="6"/>
  <c r="F63" i="6" s="1"/>
  <c r="D71" i="6"/>
  <c r="D79" i="6"/>
  <c r="D87" i="6"/>
  <c r="D107" i="6"/>
  <c r="E204" i="6"/>
  <c r="E220" i="6"/>
  <c r="D233" i="6"/>
  <c r="D241" i="6"/>
  <c r="D249" i="6"/>
  <c r="E102" i="6"/>
  <c r="E126" i="6"/>
  <c r="E142" i="6"/>
  <c r="E158" i="6"/>
  <c r="D50" i="6"/>
  <c r="D56" i="6"/>
  <c r="D64" i="6"/>
  <c r="D72" i="6"/>
  <c r="D80" i="6"/>
  <c r="D88" i="6"/>
  <c r="E103" i="6"/>
  <c r="E113" i="6"/>
  <c r="D128" i="6"/>
  <c r="D144" i="6"/>
  <c r="D160" i="6"/>
  <c r="D170" i="6"/>
  <c r="D174" i="6"/>
  <c r="D188" i="6"/>
  <c r="E247" i="6"/>
  <c r="E59" i="6"/>
  <c r="E73" i="6"/>
  <c r="E87" i="6"/>
  <c r="E117" i="6"/>
  <c r="E129" i="6"/>
  <c r="E145" i="6"/>
  <c r="E159" i="6"/>
  <c r="E169" i="6"/>
  <c r="D183" i="6"/>
  <c r="E95" i="6"/>
  <c r="E179" i="6"/>
  <c r="D197" i="6"/>
  <c r="D205" i="6"/>
  <c r="D213" i="6"/>
  <c r="E233" i="6"/>
  <c r="E241" i="6"/>
  <c r="D226" i="6"/>
  <c r="D210" i="6"/>
  <c r="D194" i="6"/>
  <c r="E175" i="6"/>
  <c r="E227" i="6"/>
  <c r="D230" i="6"/>
  <c r="D214" i="6"/>
  <c r="D198" i="6"/>
  <c r="E180" i="6"/>
  <c r="D100" i="6"/>
  <c r="E249" i="6"/>
  <c r="E67" i="6"/>
  <c r="E85" i="6"/>
  <c r="E115" i="6"/>
  <c r="E135" i="6"/>
  <c r="E153" i="6"/>
  <c r="D180" i="6"/>
  <c r="F180" i="6" s="1"/>
  <c r="G180" i="6" s="1"/>
  <c r="E206" i="6"/>
  <c r="E230" i="6"/>
  <c r="D103" i="6"/>
  <c r="D187" i="6"/>
  <c r="D200" i="6"/>
  <c r="E223" i="6"/>
  <c r="E54" i="6"/>
  <c r="E62" i="6"/>
  <c r="E70" i="6"/>
  <c r="E78" i="6"/>
  <c r="E86" i="6"/>
  <c r="D111" i="6"/>
  <c r="D121" i="6"/>
  <c r="D129" i="6"/>
  <c r="D137" i="6"/>
  <c r="D145" i="6"/>
  <c r="D153" i="6"/>
  <c r="D161" i="6"/>
  <c r="D169" i="6"/>
  <c r="D195" i="6"/>
  <c r="D211" i="6"/>
  <c r="D227" i="6"/>
  <c r="D229" i="6"/>
  <c r="D57" i="6"/>
  <c r="D65" i="6"/>
  <c r="D73" i="6"/>
  <c r="D81" i="6"/>
  <c r="D89" i="6"/>
  <c r="D192" i="6"/>
  <c r="D207" i="6"/>
  <c r="D223" i="6"/>
  <c r="D235" i="6"/>
  <c r="D243" i="6"/>
  <c r="D102" i="6"/>
  <c r="D126" i="6"/>
  <c r="D142" i="6"/>
  <c r="D158" i="6"/>
  <c r="D52" i="6"/>
  <c r="D58" i="6"/>
  <c r="D66" i="6"/>
  <c r="D74" i="6"/>
  <c r="D82" i="6"/>
  <c r="E90" i="6"/>
  <c r="E110" i="6"/>
  <c r="E120" i="6"/>
  <c r="E136" i="6"/>
  <c r="E152" i="6"/>
  <c r="E168" i="6"/>
  <c r="E172" i="6"/>
  <c r="D177" i="6"/>
  <c r="E188" i="6"/>
  <c r="D240" i="6"/>
  <c r="E236" i="6"/>
  <c r="E246" i="6"/>
  <c r="E185" i="6"/>
  <c r="D242" i="6"/>
  <c r="D238" i="6"/>
  <c r="D234" i="6"/>
  <c r="D164" i="6"/>
  <c r="D148" i="6"/>
  <c r="D132" i="6"/>
  <c r="D116" i="6"/>
  <c r="E99" i="6"/>
  <c r="E189" i="6"/>
  <c r="D154" i="6"/>
  <c r="D138" i="6"/>
  <c r="D122" i="6"/>
  <c r="D98" i="6"/>
  <c r="E174" i="6"/>
  <c r="E160" i="6"/>
  <c r="E128" i="6"/>
  <c r="E101" i="6"/>
  <c r="D78" i="6"/>
  <c r="D62" i="6"/>
  <c r="D166" i="6"/>
  <c r="D134" i="6"/>
  <c r="D245" i="6"/>
  <c r="E228" i="6"/>
  <c r="E196" i="6"/>
  <c r="D83" i="6"/>
  <c r="D67" i="6"/>
  <c r="D51" i="6"/>
  <c r="E216" i="6"/>
  <c r="D171" i="6"/>
  <c r="D155" i="6"/>
  <c r="D139" i="6"/>
  <c r="D123" i="6"/>
  <c r="E88" i="6"/>
  <c r="E72" i="6"/>
  <c r="E56" i="6"/>
  <c r="D204" i="6"/>
  <c r="E107" i="6"/>
  <c r="E210" i="6"/>
  <c r="E157" i="6"/>
  <c r="E121" i="6"/>
  <c r="E71" i="6"/>
  <c r="E96" i="6"/>
  <c r="D191" i="6"/>
  <c r="E225" i="6"/>
  <c r="E105" i="6"/>
  <c r="E205" i="6"/>
  <c r="E243" i="6"/>
  <c r="E215" i="6"/>
  <c r="E199" i="6"/>
  <c r="D104" i="6"/>
  <c r="E171" i="6"/>
  <c r="E147" i="6"/>
  <c r="E119" i="6"/>
  <c r="E77" i="6"/>
  <c r="D49" i="6"/>
  <c r="E234" i="6"/>
  <c r="E164" i="6"/>
  <c r="E148" i="6"/>
  <c r="E132" i="6"/>
  <c r="E116" i="6"/>
  <c r="E97" i="6"/>
  <c r="D189" i="6"/>
  <c r="E154" i="6"/>
  <c r="E138" i="6"/>
  <c r="E122" i="6"/>
  <c r="E98" i="6"/>
  <c r="D172" i="6"/>
  <c r="D152" i="6"/>
  <c r="D120" i="6"/>
  <c r="D90" i="6"/>
  <c r="D76" i="6"/>
  <c r="D60" i="6"/>
  <c r="E166" i="6"/>
  <c r="E134" i="6"/>
  <c r="D239" i="6"/>
  <c r="D215" i="6"/>
  <c r="D99" i="6"/>
  <c r="D77" i="6"/>
  <c r="D61" i="6"/>
  <c r="D221" i="6"/>
  <c r="D203" i="6"/>
  <c r="D165" i="6"/>
  <c r="D149" i="6"/>
  <c r="D133" i="6"/>
  <c r="D117" i="6"/>
  <c r="E82" i="6"/>
  <c r="E66" i="6"/>
  <c r="E50" i="6"/>
  <c r="E194" i="6"/>
  <c r="D96" i="6"/>
  <c r="E198" i="6"/>
  <c r="E143" i="6"/>
  <c r="E100" i="6"/>
  <c r="E57" i="6"/>
  <c r="E109" i="6"/>
  <c r="D206" i="6"/>
  <c r="E219" i="6"/>
  <c r="E184" i="6"/>
  <c r="D218" i="6"/>
  <c r="E237" i="6"/>
  <c r="D209" i="6"/>
  <c r="D184" i="6"/>
  <c r="D217" i="6"/>
  <c r="E165" i="6"/>
  <c r="E137" i="6"/>
  <c r="D105" i="6"/>
  <c r="E65" i="6"/>
  <c r="AV252" i="6"/>
  <c r="AX252" i="6" s="1"/>
  <c r="AV153" i="6"/>
  <c r="AX153" i="6" s="1"/>
  <c r="AV190" i="6"/>
  <c r="AX190" i="6" s="1"/>
  <c r="AV217" i="6"/>
  <c r="AX217" i="6" s="1"/>
  <c r="AV221" i="6"/>
  <c r="AX221" i="6" s="1"/>
  <c r="AV89" i="6"/>
  <c r="AX89" i="6" s="1"/>
  <c r="AV115" i="6"/>
  <c r="AX115" i="6" s="1"/>
  <c r="AV242" i="6"/>
  <c r="AX242" i="6" s="1"/>
  <c r="AV235" i="6"/>
  <c r="AX235" i="6" s="1"/>
  <c r="AV204" i="6"/>
  <c r="AX204" i="6" s="1"/>
  <c r="AV81" i="6"/>
  <c r="AX81" i="6" s="1"/>
  <c r="AV102" i="6"/>
  <c r="AX102" i="6" s="1"/>
  <c r="AV141" i="6"/>
  <c r="AX141" i="6" s="1"/>
  <c r="AV207" i="6"/>
  <c r="AX207" i="6" s="1"/>
  <c r="AV158" i="6"/>
  <c r="AX158" i="6" s="1"/>
  <c r="AV122" i="6"/>
  <c r="AX122" i="6" s="1"/>
  <c r="AV94" i="6"/>
  <c r="AX94" i="6" s="1"/>
  <c r="AV201" i="6"/>
  <c r="AX201" i="6" s="1"/>
  <c r="AV173" i="6"/>
  <c r="AX173" i="6" s="1"/>
  <c r="AV138" i="6"/>
  <c r="AX138" i="6" s="1"/>
  <c r="AV202" i="6"/>
  <c r="AX202" i="6" s="1"/>
  <c r="AV231" i="6"/>
  <c r="AX231" i="6" s="1"/>
  <c r="AV209" i="6"/>
  <c r="AX209" i="6" s="1"/>
  <c r="AV172" i="6"/>
  <c r="AX172" i="6" s="1"/>
  <c r="AV108" i="6"/>
  <c r="AX108" i="6" s="1"/>
  <c r="AV76" i="6"/>
  <c r="AX76" i="6" s="1"/>
  <c r="AV178" i="6"/>
  <c r="AX178" i="6" s="1"/>
  <c r="AV187" i="6"/>
  <c r="AX187" i="6" s="1"/>
  <c r="AV148" i="6"/>
  <c r="AX148" i="6" s="1"/>
  <c r="AV262" i="6"/>
  <c r="AX262" i="6" s="1"/>
  <c r="AV142" i="6"/>
  <c r="AX142" i="6" s="1"/>
  <c r="AV237" i="6"/>
  <c r="AX237" i="6" s="1"/>
  <c r="AV223" i="6"/>
  <c r="AX223" i="6" s="1"/>
  <c r="AV131" i="6"/>
  <c r="AX131" i="6" s="1"/>
  <c r="AV195" i="6"/>
  <c r="AX195" i="6" s="1"/>
  <c r="AV86" i="6"/>
  <c r="AX86" i="6" s="1"/>
  <c r="AV263" i="6"/>
  <c r="AX263" i="6" s="1"/>
  <c r="AV166" i="6"/>
  <c r="AX166" i="6" s="1"/>
  <c r="AV98" i="6"/>
  <c r="AX98" i="6" s="1"/>
  <c r="AV184" i="6"/>
  <c r="AX184" i="6" s="1"/>
  <c r="AV198" i="6"/>
  <c r="AX198" i="6" s="1"/>
  <c r="AV106" i="6"/>
  <c r="AX106" i="6" s="1"/>
  <c r="AV74" i="6"/>
  <c r="AX74" i="6" s="1"/>
  <c r="AV154" i="6"/>
  <c r="AX154" i="6" s="1"/>
  <c r="AV250" i="6"/>
  <c r="AX250" i="6" s="1"/>
  <c r="AV143" i="6"/>
  <c r="AX143" i="6" s="1"/>
  <c r="AV169" i="6"/>
  <c r="AX169" i="6" s="1"/>
  <c r="AV182" i="6"/>
  <c r="AX182" i="6" s="1"/>
  <c r="AV203" i="6"/>
  <c r="AX203" i="6" s="1"/>
  <c r="AV232" i="6"/>
  <c r="AX232" i="6" s="1"/>
  <c r="AV243" i="6"/>
  <c r="AX243" i="6" s="1"/>
  <c r="AV249" i="6"/>
  <c r="AX249" i="6" s="1"/>
  <c r="AV260" i="6"/>
  <c r="AX260" i="6" s="1"/>
  <c r="AV191" i="6"/>
  <c r="AX191" i="6" s="1"/>
  <c r="AV210" i="6"/>
  <c r="AX210" i="6" s="1"/>
  <c r="AV253" i="6"/>
  <c r="AX253" i="6" s="1"/>
  <c r="AV124" i="6"/>
  <c r="AX124" i="6" s="1"/>
  <c r="AV91" i="6"/>
  <c r="AX91" i="6" s="1"/>
  <c r="AV171" i="6"/>
  <c r="AX171" i="6" s="1"/>
  <c r="AV83" i="6"/>
  <c r="AX83" i="6" s="1"/>
  <c r="AV152" i="6"/>
  <c r="AX152" i="6" s="1"/>
  <c r="AV165" i="6"/>
  <c r="AX165" i="6" s="1"/>
  <c r="AV224" i="6"/>
  <c r="AX224" i="6" s="1"/>
  <c r="AV146" i="6"/>
  <c r="AX146" i="6" s="1"/>
  <c r="AV66" i="6"/>
  <c r="AX66" i="6" s="1"/>
  <c r="AV168" i="6"/>
  <c r="AX168" i="6" s="1"/>
  <c r="AV180" i="6"/>
  <c r="AX180" i="6" s="1"/>
  <c r="AV185" i="6"/>
  <c r="AX185" i="6" s="1"/>
  <c r="AV84" i="6"/>
  <c r="AX84" i="6" s="1"/>
  <c r="AV113" i="6"/>
  <c r="AX113" i="6" s="1"/>
  <c r="AV236" i="6"/>
  <c r="AX236" i="6" s="1"/>
  <c r="AV140" i="6"/>
  <c r="AX140" i="6" s="1"/>
  <c r="AV186" i="6"/>
  <c r="AX186" i="6" s="1"/>
  <c r="AV213" i="6"/>
  <c r="AX213" i="6" s="1"/>
  <c r="AV170" i="6"/>
  <c r="AX170" i="6" s="1"/>
  <c r="AV215" i="6"/>
  <c r="AX215" i="6" s="1"/>
  <c r="AV228" i="6"/>
  <c r="AX228" i="6" s="1"/>
  <c r="AV244" i="6"/>
  <c r="AX244" i="6" s="1"/>
  <c r="AV205" i="6"/>
  <c r="AX205" i="6" s="1"/>
  <c r="AV238" i="6"/>
  <c r="AX238" i="6" s="1"/>
  <c r="AV254" i="6"/>
  <c r="AX254" i="6" s="1"/>
  <c r="AV123" i="6"/>
  <c r="AX123" i="6" s="1"/>
  <c r="AV95" i="6"/>
  <c r="AX95" i="6" s="1"/>
  <c r="AV130" i="6"/>
  <c r="AX130" i="6" s="1"/>
  <c r="AO167" i="6"/>
  <c r="AV167" i="6"/>
  <c r="AX167" i="6" s="1"/>
  <c r="AO132" i="6"/>
  <c r="AV132" i="6"/>
  <c r="AX132" i="6" s="1"/>
  <c r="AO65" i="6"/>
  <c r="AV65" i="6"/>
  <c r="AX65" i="6" s="1"/>
  <c r="AP70" i="6"/>
  <c r="AV70" i="6"/>
  <c r="AX70" i="6" s="1"/>
  <c r="AO97" i="6"/>
  <c r="AV97" i="6"/>
  <c r="AX97" i="6" s="1"/>
  <c r="AP155" i="6"/>
  <c r="AV155" i="6"/>
  <c r="AX155" i="6" s="1"/>
  <c r="AP109" i="6"/>
  <c r="AV109" i="6"/>
  <c r="AX109" i="6" s="1"/>
  <c r="AP99" i="6"/>
  <c r="AV99" i="6"/>
  <c r="AX99" i="6" s="1"/>
  <c r="AP104" i="6"/>
  <c r="AV104" i="6"/>
  <c r="AX104" i="6" s="1"/>
  <c r="AP120" i="6"/>
  <c r="AV120" i="6"/>
  <c r="AX120" i="6" s="1"/>
  <c r="AO144" i="6"/>
  <c r="AV144" i="6"/>
  <c r="AX144" i="6" s="1"/>
  <c r="AO225" i="6"/>
  <c r="AV225" i="6"/>
  <c r="AX225" i="6" s="1"/>
  <c r="AP139" i="6"/>
  <c r="AV139" i="6"/>
  <c r="AX139" i="6" s="1"/>
  <c r="AO161" i="6"/>
  <c r="AV161" i="6"/>
  <c r="AX161" i="6" s="1"/>
  <c r="AP227" i="6"/>
  <c r="AV227" i="6"/>
  <c r="AX227" i="6" s="1"/>
  <c r="AP200" i="6"/>
  <c r="AV200" i="6"/>
  <c r="AX200" i="6" s="1"/>
  <c r="AO226" i="6"/>
  <c r="AV226" i="6"/>
  <c r="AX226" i="6" s="1"/>
  <c r="AP176" i="6"/>
  <c r="AV176" i="6"/>
  <c r="AX176" i="6" s="1"/>
  <c r="AO96" i="6"/>
  <c r="AV96" i="6"/>
  <c r="AX96" i="6" s="1"/>
  <c r="AO72" i="6"/>
  <c r="AV72" i="6"/>
  <c r="AX72" i="6" s="1"/>
  <c r="AO68" i="6"/>
  <c r="AV68" i="6"/>
  <c r="AX68" i="6" s="1"/>
  <c r="AV216" i="6"/>
  <c r="AX216" i="6" s="1"/>
  <c r="AO93" i="6"/>
  <c r="AV93" i="6"/>
  <c r="AX93" i="6" s="1"/>
  <c r="AP69" i="6"/>
  <c r="AV69" i="6"/>
  <c r="AX69" i="6" s="1"/>
  <c r="AO112" i="6"/>
  <c r="AV112" i="6"/>
  <c r="AX112" i="6" s="1"/>
  <c r="AO71" i="6"/>
  <c r="AV71" i="6"/>
  <c r="AX71" i="6" s="1"/>
  <c r="AV64" i="6"/>
  <c r="AX64" i="6" s="1"/>
  <c r="AO100" i="6"/>
  <c r="AV100" i="6"/>
  <c r="AX100" i="6" s="1"/>
  <c r="AO105" i="6"/>
  <c r="AV105" i="6"/>
  <c r="AX105" i="6" s="1"/>
  <c r="AO129" i="6"/>
  <c r="AV129" i="6"/>
  <c r="AX129" i="6" s="1"/>
  <c r="AP145" i="6"/>
  <c r="AV145" i="6"/>
  <c r="AX145" i="6" s="1"/>
  <c r="AP177" i="6"/>
  <c r="AV177" i="6"/>
  <c r="AX177" i="6" s="1"/>
  <c r="AP181" i="6"/>
  <c r="AV181" i="6"/>
  <c r="AX181" i="6" s="1"/>
  <c r="AP257" i="6"/>
  <c r="AV257" i="6"/>
  <c r="AX257" i="6" s="1"/>
  <c r="AO88" i="6"/>
  <c r="AV88" i="6"/>
  <c r="AX88" i="6" s="1"/>
  <c r="AP114" i="6"/>
  <c r="AV114" i="6"/>
  <c r="AX114" i="6" s="1"/>
  <c r="AP134" i="6"/>
  <c r="AV134" i="6"/>
  <c r="AX134" i="6" s="1"/>
  <c r="AO149" i="6"/>
  <c r="AV149" i="6"/>
  <c r="AX149" i="6" s="1"/>
  <c r="AP157" i="6"/>
  <c r="AV157" i="6"/>
  <c r="AX157" i="6" s="1"/>
  <c r="AO147" i="6"/>
  <c r="AV147" i="6"/>
  <c r="AX147" i="6" s="1"/>
  <c r="AO163" i="6"/>
  <c r="AV163" i="6"/>
  <c r="AX163" i="6" s="1"/>
  <c r="AO189" i="6"/>
  <c r="AV189" i="6"/>
  <c r="AX189" i="6" s="1"/>
  <c r="AP220" i="6"/>
  <c r="AV220" i="6"/>
  <c r="AX220" i="6" s="1"/>
  <c r="AP233" i="6"/>
  <c r="AV233" i="6"/>
  <c r="AX233" i="6" s="1"/>
  <c r="AO256" i="6"/>
  <c r="AV256" i="6"/>
  <c r="AX256" i="6" s="1"/>
  <c r="AP261" i="6"/>
  <c r="AV261" i="6"/>
  <c r="AX261" i="6" s="1"/>
  <c r="AO192" i="6"/>
  <c r="AV192" i="6"/>
  <c r="AX192" i="6" s="1"/>
  <c r="AP159" i="6"/>
  <c r="AV159" i="6"/>
  <c r="AX159" i="6" s="1"/>
  <c r="AO128" i="6"/>
  <c r="AV128" i="6"/>
  <c r="AX128" i="6" s="1"/>
  <c r="AP90" i="6"/>
  <c r="AV90" i="6"/>
  <c r="AX90" i="6" s="1"/>
  <c r="AO150" i="6"/>
  <c r="AV150" i="6"/>
  <c r="AX150" i="6" s="1"/>
  <c r="AO78" i="6"/>
  <c r="AV78" i="6"/>
  <c r="AX78" i="6" s="1"/>
  <c r="AP85" i="6"/>
  <c r="AV85" i="6"/>
  <c r="AX85" i="6" s="1"/>
  <c r="AO111" i="6"/>
  <c r="AV111" i="6"/>
  <c r="AX111" i="6" s="1"/>
  <c r="AP117" i="6"/>
  <c r="AV117" i="6"/>
  <c r="AX117" i="6" s="1"/>
  <c r="AP183" i="6"/>
  <c r="AV183" i="6"/>
  <c r="AX183" i="6" s="1"/>
  <c r="AP80" i="6"/>
  <c r="AV80" i="6"/>
  <c r="AX80" i="6" s="1"/>
  <c r="AP116" i="6"/>
  <c r="AV116" i="6"/>
  <c r="AX116" i="6" s="1"/>
  <c r="AO151" i="6"/>
  <c r="AV151" i="6"/>
  <c r="AX151" i="6" s="1"/>
  <c r="AO214" i="6"/>
  <c r="AV214" i="6"/>
  <c r="AX214" i="6" s="1"/>
  <c r="AO164" i="6"/>
  <c r="AV164" i="6"/>
  <c r="AX164" i="6" s="1"/>
  <c r="AP229" i="6"/>
  <c r="AV229" i="6"/>
  <c r="AX229" i="6" s="1"/>
  <c r="AO241" i="6"/>
  <c r="AV241" i="6"/>
  <c r="AX241" i="6" s="1"/>
  <c r="AP258" i="6"/>
  <c r="AV258" i="6"/>
  <c r="AX258" i="6" s="1"/>
  <c r="AO194" i="6"/>
  <c r="AV194" i="6"/>
  <c r="AX194" i="6" s="1"/>
  <c r="AO239" i="6"/>
  <c r="AV239" i="6"/>
  <c r="AX239" i="6" s="1"/>
  <c r="AP240" i="6"/>
  <c r="AV240" i="6"/>
  <c r="AX240" i="6" s="1"/>
  <c r="AO137" i="6"/>
  <c r="AV137" i="6"/>
  <c r="AX137" i="6" s="1"/>
  <c r="AP82" i="6"/>
  <c r="AV82" i="6"/>
  <c r="AX82" i="6" s="1"/>
  <c r="AP248" i="6"/>
  <c r="AV248" i="6"/>
  <c r="AX248" i="6" s="1"/>
  <c r="AP234" i="6"/>
  <c r="AV234" i="6"/>
  <c r="AX234" i="6" s="1"/>
  <c r="AO118" i="6"/>
  <c r="AV118" i="6"/>
  <c r="AX118" i="6" s="1"/>
  <c r="AV79" i="6"/>
  <c r="AX79" i="6" s="1"/>
  <c r="AO67" i="6"/>
  <c r="AV67" i="6"/>
  <c r="AX67" i="6" s="1"/>
  <c r="AP119" i="6"/>
  <c r="AV119" i="6"/>
  <c r="AX119" i="6" s="1"/>
  <c r="AP107" i="6"/>
  <c r="AV107" i="6"/>
  <c r="AX107" i="6" s="1"/>
  <c r="AO125" i="6"/>
  <c r="AV125" i="6"/>
  <c r="AX125" i="6" s="1"/>
  <c r="AP136" i="6"/>
  <c r="AV136" i="6"/>
  <c r="AX136" i="6" s="1"/>
  <c r="AO218" i="6"/>
  <c r="AV218" i="6"/>
  <c r="AX218" i="6" s="1"/>
  <c r="AP222" i="6"/>
  <c r="AV222" i="6"/>
  <c r="AX222" i="6" s="1"/>
  <c r="AO246" i="6"/>
  <c r="AV246" i="6"/>
  <c r="AX246" i="6" s="1"/>
  <c r="AP259" i="6"/>
  <c r="AV259" i="6"/>
  <c r="AX259" i="6" s="1"/>
  <c r="AO199" i="6"/>
  <c r="AV199" i="6"/>
  <c r="AX199" i="6" s="1"/>
  <c r="AO247" i="6"/>
  <c r="AV247" i="6"/>
  <c r="AX247" i="6" s="1"/>
  <c r="AP196" i="6"/>
  <c r="AV196" i="6"/>
  <c r="AX196" i="6" s="1"/>
  <c r="AO126" i="6"/>
  <c r="AV126" i="6"/>
  <c r="AX126" i="6" s="1"/>
  <c r="AP92" i="6"/>
  <c r="AV92" i="6"/>
  <c r="AX92" i="6" s="1"/>
  <c r="AP77" i="6"/>
  <c r="AV77" i="6"/>
  <c r="AX77" i="6" s="1"/>
  <c r="AP87" i="6"/>
  <c r="AV87" i="6"/>
  <c r="AX87" i="6" s="1"/>
  <c r="AP89" i="6"/>
  <c r="AP115" i="6"/>
  <c r="AP204" i="6"/>
  <c r="AP141" i="6"/>
  <c r="AP178" i="6"/>
  <c r="AP148" i="6"/>
  <c r="AP122" i="6"/>
  <c r="AP173" i="6"/>
  <c r="AP209" i="6"/>
  <c r="AP158" i="6"/>
  <c r="AP187" i="6"/>
  <c r="AP86" i="6"/>
  <c r="AP263" i="6"/>
  <c r="AP84" i="6"/>
  <c r="AP243" i="6"/>
  <c r="AP249" i="6"/>
  <c r="AP224" i="6"/>
  <c r="AP171" i="6"/>
  <c r="AP166" i="6"/>
  <c r="AP74" i="6"/>
  <c r="AP180" i="6"/>
  <c r="AP185" i="6"/>
  <c r="AP140" i="6"/>
  <c r="AP186" i="6"/>
  <c r="AP170" i="6"/>
  <c r="AP215" i="6"/>
  <c r="AP228" i="6"/>
  <c r="AP244" i="6"/>
  <c r="AP205" i="6"/>
  <c r="AP238" i="6"/>
  <c r="AP254" i="6"/>
  <c r="AP123" i="6"/>
  <c r="AP255" i="6"/>
  <c r="AO115" i="6"/>
  <c r="AT217" i="6"/>
  <c r="AU217" i="6" s="1"/>
  <c r="AZ217" i="6" s="1"/>
  <c r="AT242" i="6"/>
  <c r="AU242" i="6" s="1"/>
  <c r="AZ242" i="6" s="1"/>
  <c r="AT263" i="6"/>
  <c r="AU263" i="6" s="1"/>
  <c r="AZ263" i="6" s="1"/>
  <c r="AT255" i="6"/>
  <c r="AU255" i="6" s="1"/>
  <c r="AT233" i="6"/>
  <c r="AU233" i="6" s="1"/>
  <c r="AZ233" i="6" s="1"/>
  <c r="AT203" i="6"/>
  <c r="AU203" i="6" s="1"/>
  <c r="AZ203" i="6" s="1"/>
  <c r="AT87" i="6"/>
  <c r="AU87" i="6" s="1"/>
  <c r="AZ87" i="6" s="1"/>
  <c r="AT213" i="6"/>
  <c r="AU213" i="6" s="1"/>
  <c r="AZ213" i="6" s="1"/>
  <c r="AT192" i="6"/>
  <c r="AU192" i="6" s="1"/>
  <c r="AZ192" i="6" s="1"/>
  <c r="AT144" i="6"/>
  <c r="AU144" i="6" s="1"/>
  <c r="AZ144" i="6" s="1"/>
  <c r="AU131" i="6"/>
  <c r="AZ131" i="6" s="1"/>
  <c r="AT173" i="6"/>
  <c r="AU173" i="6" s="1"/>
  <c r="AZ173" i="6" s="1"/>
  <c r="AT108" i="6"/>
  <c r="AU108" i="6" s="1"/>
  <c r="AT172" i="6"/>
  <c r="AU172" i="6" s="1"/>
  <c r="AZ172" i="6" s="1"/>
  <c r="AT161" i="6"/>
  <c r="AU161" i="6" s="1"/>
  <c r="AZ161" i="6" s="1"/>
  <c r="AT81" i="6"/>
  <c r="AU81" i="6" s="1"/>
  <c r="AZ81" i="6" s="1"/>
  <c r="AT259" i="6"/>
  <c r="AU259" i="6" s="1"/>
  <c r="AZ259" i="6" s="1"/>
  <c r="AT176" i="6"/>
  <c r="AU176" i="6" s="1"/>
  <c r="AZ176" i="6" s="1"/>
  <c r="AT240" i="6"/>
  <c r="AU240" i="6" s="1"/>
  <c r="AZ240" i="6" s="1"/>
  <c r="AT214" i="6"/>
  <c r="AU214" i="6" s="1"/>
  <c r="AZ214" i="6" s="1"/>
  <c r="AT158" i="6"/>
  <c r="AU158" i="6" s="1"/>
  <c r="AZ158" i="6" s="1"/>
  <c r="AT102" i="6"/>
  <c r="AU102" i="6" s="1"/>
  <c r="AZ102" i="6" s="1"/>
  <c r="AT94" i="6"/>
  <c r="AU94" i="6" s="1"/>
  <c r="AZ94" i="6" s="1"/>
  <c r="AU73" i="6"/>
  <c r="AZ73" i="6" s="1"/>
  <c r="AT134" i="6"/>
  <c r="AU134" i="6" s="1"/>
  <c r="AZ134" i="6" s="1"/>
  <c r="AT154" i="6"/>
  <c r="AU154" i="6" s="1"/>
  <c r="AZ154" i="6" s="1"/>
  <c r="AT232" i="6"/>
  <c r="AU232" i="6" s="1"/>
  <c r="AZ232" i="6" s="1"/>
  <c r="AT260" i="6"/>
  <c r="AU260" i="6" s="1"/>
  <c r="AZ260" i="6" s="1"/>
  <c r="AT206" i="6"/>
  <c r="AU206" i="6" s="1"/>
  <c r="AT160" i="6"/>
  <c r="AU160" i="6" s="1"/>
  <c r="AT229" i="6"/>
  <c r="AU229" i="6" s="1"/>
  <c r="AZ229" i="6" s="1"/>
  <c r="AT226" i="6"/>
  <c r="AU226" i="6" s="1"/>
  <c r="AZ226" i="6" s="1"/>
  <c r="AT208" i="6"/>
  <c r="AU208" i="6" s="1"/>
  <c r="AZ208" i="6" s="1"/>
  <c r="AT230" i="6"/>
  <c r="AU230" i="6" s="1"/>
  <c r="AZ230" i="6" s="1"/>
  <c r="AT177" i="6"/>
  <c r="AU177" i="6" s="1"/>
  <c r="AZ177" i="6" s="1"/>
  <c r="AT135" i="6"/>
  <c r="AU135" i="6" s="1"/>
  <c r="AT98" i="6"/>
  <c r="AU98" i="6" s="1"/>
  <c r="AZ98" i="6" s="1"/>
  <c r="AT66" i="6"/>
  <c r="AU66" i="6" s="1"/>
  <c r="AZ66" i="6" s="1"/>
  <c r="AP68" i="6"/>
  <c r="AO235" i="6"/>
  <c r="AO81" i="6"/>
  <c r="AO251" i="6"/>
  <c r="AO211" i="6"/>
  <c r="AO95" i="6"/>
  <c r="AT235" i="6"/>
  <c r="AU235" i="6" s="1"/>
  <c r="AZ235" i="6" s="1"/>
  <c r="K16" i="6"/>
  <c r="K18" i="6" s="1"/>
  <c r="AO79" i="6"/>
  <c r="AO102" i="6"/>
  <c r="AT225" i="6"/>
  <c r="AU225" i="6" s="1"/>
  <c r="AZ225" i="6" s="1"/>
  <c r="AT84" i="6"/>
  <c r="AU84" i="6" s="1"/>
  <c r="AO106" i="6"/>
  <c r="AP264" i="6"/>
  <c r="AO110" i="6"/>
  <c r="AP162" i="6"/>
  <c r="AO184" i="6"/>
  <c r="AP208" i="6"/>
  <c r="AP83" i="6"/>
  <c r="AO152" i="6"/>
  <c r="AO230" i="6"/>
  <c r="AO138" i="6"/>
  <c r="AO156" i="6"/>
  <c r="AP165" i="6"/>
  <c r="AO175" i="6"/>
  <c r="AP202" i="6"/>
  <c r="AO231" i="6"/>
  <c r="AP242" i="6"/>
  <c r="AO188" i="6"/>
  <c r="AO146" i="6"/>
  <c r="AP121" i="6"/>
  <c r="AO172" i="6"/>
  <c r="AO75" i="6"/>
  <c r="AT212" i="6"/>
  <c r="AU212" i="6" s="1"/>
  <c r="AZ212" i="6" s="1"/>
  <c r="AT219" i="6"/>
  <c r="AU219" i="6" s="1"/>
  <c r="AT210" i="6"/>
  <c r="AU210" i="6" s="1"/>
  <c r="AZ210" i="6" s="1"/>
  <c r="AT238" i="6"/>
  <c r="AU238" i="6" s="1"/>
  <c r="AZ238" i="6" s="1"/>
  <c r="AT145" i="6"/>
  <c r="AU145" i="6" s="1"/>
  <c r="AZ145" i="6" s="1"/>
  <c r="AT162" i="6"/>
  <c r="AU162" i="6" s="1"/>
  <c r="AT76" i="6"/>
  <c r="AU76" i="6" s="1"/>
  <c r="AZ76" i="6" s="1"/>
  <c r="AT256" i="6"/>
  <c r="AU256" i="6" s="1"/>
  <c r="AZ256" i="6" s="1"/>
  <c r="AT264" i="6"/>
  <c r="AU264" i="6" s="1"/>
  <c r="AO213" i="6"/>
  <c r="AO201" i="6"/>
  <c r="AO160" i="6"/>
  <c r="AP207" i="6"/>
  <c r="AO101" i="6"/>
  <c r="AP135" i="6"/>
  <c r="AO252" i="6"/>
  <c r="AO153" i="6"/>
  <c r="AO174" i="6"/>
  <c r="AO190" i="6"/>
  <c r="AO217" i="6"/>
  <c r="AO221" i="6"/>
  <c r="AO245" i="6"/>
  <c r="AO206" i="6"/>
  <c r="AO212" i="6"/>
  <c r="AO127" i="6"/>
  <c r="AP94" i="6"/>
  <c r="AO262" i="6"/>
  <c r="AO130" i="6"/>
  <c r="AT251" i="6"/>
  <c r="AU251" i="6" s="1"/>
  <c r="AZ251" i="6" s="1"/>
  <c r="AT222" i="6"/>
  <c r="AU222" i="6" s="1"/>
  <c r="AZ222" i="6" s="1"/>
  <c r="AT183" i="6"/>
  <c r="AU183" i="6" s="1"/>
  <c r="AZ183" i="6" s="1"/>
  <c r="AT205" i="6"/>
  <c r="AU205" i="6" s="1"/>
  <c r="AZ205" i="6" s="1"/>
  <c r="AT262" i="6"/>
  <c r="AU262" i="6" s="1"/>
  <c r="AZ262" i="6" s="1"/>
  <c r="AT253" i="6"/>
  <c r="AU253" i="6" s="1"/>
  <c r="AZ253" i="6" s="1"/>
  <c r="AT227" i="6"/>
  <c r="AU227" i="6" s="1"/>
  <c r="AZ227" i="6" s="1"/>
  <c r="AT146" i="6"/>
  <c r="AU146" i="6" s="1"/>
  <c r="AZ146" i="6" s="1"/>
  <c r="AP214" i="6"/>
  <c r="AO223" i="6"/>
  <c r="AO198" i="6"/>
  <c r="AP98" i="6"/>
  <c r="AP103" i="6"/>
  <c r="AO142" i="6"/>
  <c r="AO179" i="6"/>
  <c r="AU112" i="6"/>
  <c r="AZ112" i="6" s="1"/>
  <c r="AO236" i="6"/>
  <c r="AO216" i="6"/>
  <c r="AO197" i="6"/>
  <c r="AO193" i="6"/>
  <c r="AP66" i="6"/>
  <c r="AP168" i="6"/>
  <c r="AP113" i="6"/>
  <c r="AP131" i="6"/>
  <c r="AO154" i="6"/>
  <c r="AO195" i="6"/>
  <c r="AP143" i="6"/>
  <c r="AP169" i="6"/>
  <c r="AO182" i="6"/>
  <c r="AO203" i="6"/>
  <c r="AO219" i="6"/>
  <c r="AO232" i="6"/>
  <c r="AP260" i="6"/>
  <c r="AO191" i="6"/>
  <c r="AP210" i="6"/>
  <c r="AP253" i="6"/>
  <c r="AP133" i="6"/>
  <c r="AP124" i="6"/>
  <c r="AO91" i="6"/>
  <c r="AO108" i="6"/>
  <c r="AO73" i="6"/>
  <c r="AO76" i="6"/>
  <c r="AU132" i="6"/>
  <c r="AZ132" i="6" s="1"/>
  <c r="AT244" i="6"/>
  <c r="AU244" i="6" s="1"/>
  <c r="AZ244" i="6" s="1"/>
  <c r="AT236" i="6"/>
  <c r="AU236" i="6" s="1"/>
  <c r="AZ236" i="6" s="1"/>
  <c r="AT223" i="6"/>
  <c r="AU223" i="6" s="1"/>
  <c r="AZ223" i="6" s="1"/>
  <c r="AT241" i="6"/>
  <c r="AU241" i="6" s="1"/>
  <c r="AZ241" i="6" s="1"/>
  <c r="AT169" i="6"/>
  <c r="AU169" i="6" s="1"/>
  <c r="AZ169" i="6" s="1"/>
  <c r="AT78" i="6"/>
  <c r="AU78" i="6" s="1"/>
  <c r="AZ78" i="6" s="1"/>
  <c r="AT167" i="6"/>
  <c r="AU167" i="6" s="1"/>
  <c r="AZ167" i="6" s="1"/>
  <c r="AT143" i="6"/>
  <c r="AU143" i="6" s="1"/>
  <c r="AZ143" i="6" s="1"/>
  <c r="AT243" i="6"/>
  <c r="AU243" i="6" s="1"/>
  <c r="AZ243" i="6" s="1"/>
  <c r="AT107" i="6"/>
  <c r="AU107" i="6" s="1"/>
  <c r="AZ107" i="6" s="1"/>
  <c r="AT149" i="6"/>
  <c r="AU149" i="6" s="1"/>
  <c r="AZ149" i="6" s="1"/>
  <c r="AT115" i="6"/>
  <c r="AU115" i="6" s="1"/>
  <c r="AZ115" i="6" s="1"/>
  <c r="AT74" i="6"/>
  <c r="AU74" i="6" s="1"/>
  <c r="AZ74" i="6" s="1"/>
  <c r="AT140" i="6"/>
  <c r="AU140" i="6" s="1"/>
  <c r="AZ140" i="6" s="1"/>
  <c r="AT82" i="6"/>
  <c r="AU82" i="6" s="1"/>
  <c r="AZ82" i="6" s="1"/>
  <c r="AP151" i="6"/>
  <c r="AP206" i="6"/>
  <c r="AO134" i="6"/>
  <c r="AP78" i="6"/>
  <c r="AO177" i="6"/>
  <c r="AP95" i="6"/>
  <c r="AP256" i="6"/>
  <c r="AO70" i="6"/>
  <c r="AP110" i="6"/>
  <c r="AP247" i="6"/>
  <c r="AP199" i="6"/>
  <c r="AP175" i="6"/>
  <c r="AO242" i="6"/>
  <c r="AP126" i="6"/>
  <c r="AP146" i="6"/>
  <c r="AP106" i="6"/>
  <c r="AP100" i="6"/>
  <c r="AP129" i="6"/>
  <c r="AP154" i="6"/>
  <c r="AP132" i="6"/>
  <c r="AP152" i="6"/>
  <c r="AP156" i="6"/>
  <c r="AO260" i="6"/>
  <c r="AP161" i="6"/>
  <c r="AO121" i="6"/>
  <c r="AO143" i="6"/>
  <c r="AO83" i="6"/>
  <c r="AO84" i="6"/>
  <c r="AO249" i="6"/>
  <c r="AP198" i="6"/>
  <c r="AP93" i="6"/>
  <c r="AP73" i="6"/>
  <c r="AP142" i="6"/>
  <c r="AO165" i="6"/>
  <c r="AP246" i="6"/>
  <c r="AP211" i="6"/>
  <c r="AP193" i="6"/>
  <c r="AO196" i="6"/>
  <c r="AO259" i="6"/>
  <c r="AP231" i="6"/>
  <c r="AP125" i="6"/>
  <c r="AP138" i="6"/>
  <c r="AP236" i="6"/>
  <c r="AO215" i="6"/>
  <c r="AO254" i="6"/>
  <c r="AO186" i="6"/>
  <c r="AO157" i="6"/>
  <c r="AP96" i="6"/>
  <c r="AO82" i="6"/>
  <c r="AP75" i="6"/>
  <c r="AO228" i="6"/>
  <c r="AP197" i="6"/>
  <c r="AO264" i="6"/>
  <c r="AO240" i="6"/>
  <c r="AP130" i="6"/>
  <c r="AP164" i="6"/>
  <c r="AP97" i="6"/>
  <c r="AP101" i="6"/>
  <c r="AP188" i="6"/>
  <c r="AO116" i="6"/>
  <c r="AP230" i="6"/>
  <c r="AO136" i="6"/>
  <c r="AO89" i="6"/>
  <c r="AP174" i="6"/>
  <c r="AO98" i="6"/>
  <c r="AP221" i="6"/>
  <c r="AO234" i="6"/>
  <c r="AP245" i="6"/>
  <c r="AO90" i="6"/>
  <c r="AP160" i="6"/>
  <c r="AO209" i="6"/>
  <c r="AO178" i="6"/>
  <c r="AP218" i="6"/>
  <c r="AO183" i="6"/>
  <c r="AP118" i="6"/>
  <c r="AO162" i="6"/>
  <c r="AP252" i="6"/>
  <c r="AO207" i="6"/>
  <c r="AP112" i="6"/>
  <c r="AP190" i="6"/>
  <c r="AO173" i="6"/>
  <c r="AP102" i="6"/>
  <c r="AO187" i="6"/>
  <c r="AO69" i="6"/>
  <c r="AO244" i="6"/>
  <c r="AP235" i="6"/>
  <c r="AP216" i="6"/>
  <c r="AO208" i="6"/>
  <c r="AP149" i="6"/>
  <c r="AP189" i="6"/>
  <c r="AO119" i="6"/>
  <c r="AO202" i="6"/>
  <c r="AP127" i="6"/>
  <c r="AO107" i="6"/>
  <c r="AO233" i="6"/>
  <c r="AP213" i="6"/>
  <c r="AO222" i="6"/>
  <c r="AO257" i="6"/>
  <c r="AO224" i="6"/>
  <c r="AO176" i="6"/>
  <c r="AP137" i="6"/>
  <c r="AO140" i="6"/>
  <c r="AO103" i="6"/>
  <c r="AO122" i="6"/>
  <c r="AP163" i="6"/>
  <c r="AO114" i="6"/>
  <c r="AO170" i="6"/>
  <c r="AP79" i="6"/>
  <c r="AP108" i="6"/>
  <c r="AO227" i="6"/>
  <c r="AO200" i="6"/>
  <c r="AO131" i="6"/>
  <c r="AO220" i="6"/>
  <c r="AP76" i="6"/>
  <c r="AP105" i="6"/>
  <c r="AP262" i="6"/>
  <c r="AO180" i="6"/>
  <c r="AO124" i="6"/>
  <c r="AO92" i="6"/>
  <c r="AP144" i="6"/>
  <c r="AO243" i="6"/>
  <c r="AP223" i="6"/>
  <c r="AO253" i="6"/>
  <c r="AO204" i="6"/>
  <c r="AO166" i="6"/>
  <c r="AO133" i="6"/>
  <c r="AO171" i="6"/>
  <c r="AO155" i="6"/>
  <c r="AO120" i="6"/>
  <c r="AP128" i="6"/>
  <c r="AP147" i="6"/>
  <c r="AP191" i="6"/>
  <c r="AP184" i="6"/>
  <c r="AP91" i="6"/>
  <c r="AO263" i="6"/>
  <c r="AP226" i="6"/>
  <c r="AP172" i="6"/>
  <c r="AO159" i="6"/>
  <c r="AO168" i="6"/>
  <c r="AO261" i="6"/>
  <c r="AP251" i="6"/>
  <c r="AO238" i="6"/>
  <c r="AO210" i="6"/>
  <c r="AO205" i="6"/>
  <c r="AP192" i="6"/>
  <c r="AO139" i="6"/>
  <c r="AO145" i="6"/>
  <c r="AP88" i="6"/>
  <c r="AO181" i="6"/>
  <c r="AO117" i="6"/>
  <c r="AP65" i="6"/>
  <c r="AP250" i="6"/>
  <c r="AO250" i="6"/>
  <c r="AP241" i="6"/>
  <c r="AP212" i="6"/>
  <c r="AP67" i="6"/>
  <c r="AP194" i="6"/>
  <c r="AP72" i="6"/>
  <c r="AO77" i="6"/>
  <c r="AP232" i="6"/>
  <c r="AP217" i="6"/>
  <c r="AP195" i="6"/>
  <c r="AP167" i="6"/>
  <c r="AO185" i="6"/>
  <c r="AP182" i="6"/>
  <c r="AO229" i="6"/>
  <c r="AO148" i="6"/>
  <c r="AP239" i="6"/>
  <c r="AP150" i="6"/>
  <c r="AP111" i="6"/>
  <c r="AO104" i="6"/>
  <c r="AO99" i="6"/>
  <c r="AO85" i="6"/>
  <c r="AP153" i="6"/>
  <c r="AO109" i="6"/>
  <c r="AO123" i="6"/>
  <c r="AO94" i="6"/>
  <c r="AO66" i="6"/>
  <c r="AO141" i="6"/>
  <c r="AO80" i="6"/>
  <c r="AP64" i="6"/>
  <c r="AO64" i="6"/>
  <c r="AP179" i="6"/>
  <c r="AP71" i="6"/>
  <c r="AO258" i="6"/>
  <c r="AO87" i="6"/>
  <c r="AP237" i="6"/>
  <c r="AO237" i="6"/>
  <c r="AO248" i="6"/>
  <c r="AO169" i="6"/>
  <c r="AO74" i="6"/>
  <c r="AP225" i="6"/>
  <c r="AP203" i="6"/>
  <c r="AP201" i="6"/>
  <c r="AP81" i="6"/>
  <c r="AO135" i="6"/>
  <c r="AP219" i="6"/>
  <c r="AO158" i="6"/>
  <c r="AO113" i="6"/>
  <c r="BT143" i="6" l="1"/>
  <c r="BV143" i="6" s="1"/>
  <c r="BY143" i="6" s="1"/>
  <c r="BT195" i="6"/>
  <c r="F169" i="6"/>
  <c r="F103" i="6"/>
  <c r="G103" i="6" s="1"/>
  <c r="BT190" i="6"/>
  <c r="BT221" i="6"/>
  <c r="BV221" i="6" s="1"/>
  <c r="BY221" i="6" s="1"/>
  <c r="BT90" i="6"/>
  <c r="BV90" i="6" s="1"/>
  <c r="BY90" i="6" s="1"/>
  <c r="BT75" i="6"/>
  <c r="BV75" i="6" s="1"/>
  <c r="BY75" i="6" s="1"/>
  <c r="BT105" i="6"/>
  <c r="BT159" i="6"/>
  <c r="BV159" i="6" s="1"/>
  <c r="BY159" i="6" s="1"/>
  <c r="BT201" i="6"/>
  <c r="BV201" i="6" s="1"/>
  <c r="BY201" i="6" s="1"/>
  <c r="F184" i="6"/>
  <c r="H184" i="6" s="1"/>
  <c r="F167" i="6"/>
  <c r="G167" i="6" s="1"/>
  <c r="BT206" i="6"/>
  <c r="BV206" i="6" s="1"/>
  <c r="BY206" i="6" s="1"/>
  <c r="CA206" i="6" s="1"/>
  <c r="BT233" i="6"/>
  <c r="BV233" i="6" s="1"/>
  <c r="BY233" i="6" s="1"/>
  <c r="BT205" i="6"/>
  <c r="BV205" i="6" s="1"/>
  <c r="BY205" i="6" s="1"/>
  <c r="BT220" i="6"/>
  <c r="BV220" i="6" s="1"/>
  <c r="BY220" i="6" s="1"/>
  <c r="BZ220" i="6" s="1"/>
  <c r="BV247" i="6"/>
  <c r="BY247" i="6" s="1"/>
  <c r="BV122" i="6"/>
  <c r="BY122" i="6" s="1"/>
  <c r="BV260" i="6"/>
  <c r="BY260" i="6" s="1"/>
  <c r="CA260" i="6" s="1"/>
  <c r="BV116" i="6"/>
  <c r="BY116" i="6" s="1"/>
  <c r="BZ116" i="6" s="1"/>
  <c r="BV83" i="6"/>
  <c r="BY83" i="6" s="1"/>
  <c r="BZ83" i="6" s="1"/>
  <c r="BV228" i="6"/>
  <c r="BY228" i="6" s="1"/>
  <c r="CA228" i="6" s="1"/>
  <c r="BV195" i="6"/>
  <c r="BY195" i="6" s="1"/>
  <c r="BZ195" i="6" s="1"/>
  <c r="BT78" i="6"/>
  <c r="BV78" i="6" s="1"/>
  <c r="BY78" i="6" s="1"/>
  <c r="BT72" i="6"/>
  <c r="BV72" i="6" s="1"/>
  <c r="BY72" i="6" s="1"/>
  <c r="BT164" i="6"/>
  <c r="BV164" i="6" s="1"/>
  <c r="BY164" i="6" s="1"/>
  <c r="BZ164" i="6" s="1"/>
  <c r="BT179" i="6"/>
  <c r="BV179" i="6" s="1"/>
  <c r="BY179" i="6" s="1"/>
  <c r="BT226" i="6"/>
  <c r="BV226" i="6" s="1"/>
  <c r="BY226" i="6" s="1"/>
  <c r="BT246" i="6"/>
  <c r="BV246" i="6" s="1"/>
  <c r="BY246" i="6" s="1"/>
  <c r="BZ246" i="6" s="1"/>
  <c r="BT219" i="6"/>
  <c r="BV219" i="6" s="1"/>
  <c r="BY219" i="6" s="1"/>
  <c r="BT251" i="6"/>
  <c r="BV251" i="6" s="1"/>
  <c r="BY251" i="6" s="1"/>
  <c r="BT240" i="6"/>
  <c r="BV240" i="6" s="1"/>
  <c r="BY240" i="6" s="1"/>
  <c r="BT181" i="6"/>
  <c r="BV181" i="6" s="1"/>
  <c r="BY181" i="6" s="1"/>
  <c r="BT98" i="6"/>
  <c r="BV98" i="6" s="1"/>
  <c r="BY98" i="6" s="1"/>
  <c r="CA98" i="6" s="1"/>
  <c r="BT117" i="6"/>
  <c r="BV117" i="6" s="1"/>
  <c r="BY117" i="6" s="1"/>
  <c r="CA117" i="6" s="1"/>
  <c r="BT175" i="6"/>
  <c r="BV175" i="6" s="1"/>
  <c r="BY175" i="6" s="1"/>
  <c r="BT238" i="6"/>
  <c r="BV238" i="6" s="1"/>
  <c r="BY238" i="6" s="1"/>
  <c r="BZ238" i="6" s="1"/>
  <c r="BT132" i="6"/>
  <c r="BV132" i="6" s="1"/>
  <c r="BY132" i="6" s="1"/>
  <c r="BZ132" i="6" s="1"/>
  <c r="BT243" i="6"/>
  <c r="BV243" i="6" s="1"/>
  <c r="BY243" i="6" s="1"/>
  <c r="BT135" i="6"/>
  <c r="BV135" i="6" s="1"/>
  <c r="BY135" i="6" s="1"/>
  <c r="BT186" i="6"/>
  <c r="BV186" i="6" s="1"/>
  <c r="BY186" i="6" s="1"/>
  <c r="BT91" i="6"/>
  <c r="BV91" i="6" s="1"/>
  <c r="BY91" i="6" s="1"/>
  <c r="BT232" i="6"/>
  <c r="BV232" i="6" s="1"/>
  <c r="BY232" i="6" s="1"/>
  <c r="BT141" i="6"/>
  <c r="BV141" i="6" s="1"/>
  <c r="BY141" i="6" s="1"/>
  <c r="CA141" i="6" s="1"/>
  <c r="BT147" i="6"/>
  <c r="BV147" i="6" s="1"/>
  <c r="BY147" i="6" s="1"/>
  <c r="BT191" i="6"/>
  <c r="BV191" i="6" s="1"/>
  <c r="BY191" i="6" s="1"/>
  <c r="BA127" i="6"/>
  <c r="BC127" i="6" s="1"/>
  <c r="BA111" i="6"/>
  <c r="BB111" i="6" s="1"/>
  <c r="BA168" i="6"/>
  <c r="BB168" i="6" s="1"/>
  <c r="BA89" i="6"/>
  <c r="BB89" i="6" s="1"/>
  <c r="BT96" i="6"/>
  <c r="BV96" i="6" s="1"/>
  <c r="BY96" i="6" s="1"/>
  <c r="BT95" i="6"/>
  <c r="BV95" i="6" s="1"/>
  <c r="BY95" i="6" s="1"/>
  <c r="BT136" i="6"/>
  <c r="BV136" i="6" s="1"/>
  <c r="BY136" i="6" s="1"/>
  <c r="BT101" i="6"/>
  <c r="BV101" i="6" s="1"/>
  <c r="BY101" i="6" s="1"/>
  <c r="BT152" i="6"/>
  <c r="BV152" i="6" s="1"/>
  <c r="BY152" i="6" s="1"/>
  <c r="CA152" i="6" s="1"/>
  <c r="BT194" i="6"/>
  <c r="BV194" i="6" s="1"/>
  <c r="BY194" i="6" s="1"/>
  <c r="BT204" i="6"/>
  <c r="BV204" i="6" s="1"/>
  <c r="BY204" i="6" s="1"/>
  <c r="BT234" i="6"/>
  <c r="BV234" i="6" s="1"/>
  <c r="BY234" i="6" s="1"/>
  <c r="BV190" i="6"/>
  <c r="BY190" i="6" s="1"/>
  <c r="BV254" i="6"/>
  <c r="BY254" i="6" s="1"/>
  <c r="BV230" i="6"/>
  <c r="BY230" i="6" s="1"/>
  <c r="BZ230" i="6" s="1"/>
  <c r="BV76" i="6"/>
  <c r="BY76" i="6" s="1"/>
  <c r="BT249" i="6"/>
  <c r="BV249" i="6" s="1"/>
  <c r="BY249" i="6" s="1"/>
  <c r="BT121" i="6"/>
  <c r="BV121" i="6" s="1"/>
  <c r="BY121" i="6" s="1"/>
  <c r="CA121" i="6" s="1"/>
  <c r="BT198" i="6"/>
  <c r="BV198" i="6" s="1"/>
  <c r="BY198" i="6" s="1"/>
  <c r="BT262" i="6"/>
  <c r="BV262" i="6" s="1"/>
  <c r="BY262" i="6" s="1"/>
  <c r="BT171" i="6"/>
  <c r="BV171" i="6" s="1"/>
  <c r="BY171" i="6" s="1"/>
  <c r="BZ171" i="6" s="1"/>
  <c r="BT223" i="6"/>
  <c r="BV223" i="6" s="1"/>
  <c r="BY223" i="6" s="1"/>
  <c r="BT255" i="6"/>
  <c r="BV255" i="6" s="1"/>
  <c r="BY255" i="6" s="1"/>
  <c r="BT115" i="6"/>
  <c r="BV115" i="6" s="1"/>
  <c r="BY115" i="6" s="1"/>
  <c r="BT188" i="6"/>
  <c r="BV188" i="6" s="1"/>
  <c r="BY188" i="6" s="1"/>
  <c r="BT65" i="6"/>
  <c r="BV65" i="6" s="1"/>
  <c r="BY65" i="6" s="1"/>
  <c r="BT145" i="6"/>
  <c r="BV145" i="6" s="1"/>
  <c r="BY145" i="6" s="1"/>
  <c r="BT211" i="6"/>
  <c r="BV211" i="6" s="1"/>
  <c r="BY211" i="6" s="1"/>
  <c r="BT257" i="6"/>
  <c r="BV257" i="6" s="1"/>
  <c r="BY257" i="6" s="1"/>
  <c r="BT119" i="6"/>
  <c r="BV119" i="6" s="1"/>
  <c r="BY119" i="6" s="1"/>
  <c r="BT261" i="6"/>
  <c r="BV261" i="6" s="1"/>
  <c r="BY261" i="6" s="1"/>
  <c r="CA261" i="6" s="1"/>
  <c r="BT248" i="6"/>
  <c r="BV248" i="6" s="1"/>
  <c r="BY248" i="6" s="1"/>
  <c r="BT161" i="6"/>
  <c r="BV161" i="6" s="1"/>
  <c r="BY161" i="6" s="1"/>
  <c r="CA161" i="6" s="1"/>
  <c r="BT189" i="6"/>
  <c r="BV189" i="6" s="1"/>
  <c r="BY189" i="6" s="1"/>
  <c r="BT74" i="6"/>
  <c r="BV74" i="6" s="1"/>
  <c r="BY74" i="6" s="1"/>
  <c r="BT142" i="6"/>
  <c r="BV142" i="6" s="1"/>
  <c r="BY142" i="6" s="1"/>
  <c r="BT77" i="6"/>
  <c r="BV77" i="6" s="1"/>
  <c r="BY77" i="6" s="1"/>
  <c r="BT114" i="6"/>
  <c r="BV114" i="6" s="1"/>
  <c r="BY114" i="6" s="1"/>
  <c r="BT133" i="6"/>
  <c r="BV133" i="6" s="1"/>
  <c r="BY133" i="6" s="1"/>
  <c r="BT127" i="6"/>
  <c r="BV127" i="6" s="1"/>
  <c r="BY127" i="6" s="1"/>
  <c r="BT112" i="6"/>
  <c r="BV112" i="6" s="1"/>
  <c r="BY112" i="6" s="1"/>
  <c r="BT73" i="6"/>
  <c r="BV73" i="6" s="1"/>
  <c r="BY73" i="6" s="1"/>
  <c r="BT213" i="6"/>
  <c r="BV213" i="6" s="1"/>
  <c r="BY213" i="6" s="1"/>
  <c r="BT209" i="6"/>
  <c r="BV209" i="6" s="1"/>
  <c r="BY209" i="6" s="1"/>
  <c r="BT106" i="6"/>
  <c r="BV106" i="6" s="1"/>
  <c r="BY106" i="6" s="1"/>
  <c r="CA106" i="6" s="1"/>
  <c r="BT256" i="6"/>
  <c r="BV256" i="6" s="1"/>
  <c r="BY256" i="6" s="1"/>
  <c r="BT108" i="6"/>
  <c r="BV108" i="6" s="1"/>
  <c r="BY108" i="6" s="1"/>
  <c r="BT169" i="6"/>
  <c r="BV169" i="6" s="1"/>
  <c r="BY169" i="6" s="1"/>
  <c r="BZ169" i="6" s="1"/>
  <c r="BT97" i="6"/>
  <c r="BV97" i="6" s="1"/>
  <c r="BY97" i="6" s="1"/>
  <c r="CA97" i="6" s="1"/>
  <c r="BT182" i="6"/>
  <c r="BV182" i="6" s="1"/>
  <c r="BY182" i="6" s="1"/>
  <c r="BT71" i="6"/>
  <c r="BV71" i="6" s="1"/>
  <c r="BY71" i="6" s="1"/>
  <c r="BT80" i="6"/>
  <c r="BV80" i="6" s="1"/>
  <c r="BY80" i="6" s="1"/>
  <c r="BT259" i="6"/>
  <c r="BV259" i="6" s="1"/>
  <c r="BY259" i="6" s="1"/>
  <c r="BT129" i="6"/>
  <c r="BV129" i="6" s="1"/>
  <c r="BY129" i="6" s="1"/>
  <c r="BZ129" i="6" s="1"/>
  <c r="BT123" i="6"/>
  <c r="BV123" i="6" s="1"/>
  <c r="BY123" i="6" s="1"/>
  <c r="BT82" i="6"/>
  <c r="BV82" i="6" s="1"/>
  <c r="BY82" i="6" s="1"/>
  <c r="BT252" i="6"/>
  <c r="BV252" i="6" s="1"/>
  <c r="BY252" i="6" s="1"/>
  <c r="BT229" i="6"/>
  <c r="BV229" i="6" s="1"/>
  <c r="BY229" i="6" s="1"/>
  <c r="BZ229" i="6" s="1"/>
  <c r="BT81" i="6"/>
  <c r="BV81" i="6" s="1"/>
  <c r="BY81" i="6" s="1"/>
  <c r="BT139" i="6"/>
  <c r="BV139" i="6" s="1"/>
  <c r="BY139" i="6" s="1"/>
  <c r="BT187" i="6"/>
  <c r="BV187" i="6" s="1"/>
  <c r="BY187" i="6" s="1"/>
  <c r="BT99" i="6"/>
  <c r="BV99" i="6" s="1"/>
  <c r="BY99" i="6" s="1"/>
  <c r="BT264" i="6"/>
  <c r="BV264" i="6" s="1"/>
  <c r="BY264" i="6" s="1"/>
  <c r="BT87" i="6"/>
  <c r="BV87" i="6" s="1"/>
  <c r="BY87" i="6" s="1"/>
  <c r="BT103" i="6"/>
  <c r="BV103" i="6" s="1"/>
  <c r="BY103" i="6" s="1"/>
  <c r="BT118" i="6"/>
  <c r="BV118" i="6" s="1"/>
  <c r="BY118" i="6" s="1"/>
  <c r="BT203" i="6"/>
  <c r="BV203" i="6" s="1"/>
  <c r="BY203" i="6" s="1"/>
  <c r="BT235" i="6"/>
  <c r="BV235" i="6" s="1"/>
  <c r="BY235" i="6" s="1"/>
  <c r="BT84" i="6"/>
  <c r="BV84" i="6" s="1"/>
  <c r="BY84" i="6" s="1"/>
  <c r="BT140" i="6"/>
  <c r="BV140" i="6" s="1"/>
  <c r="BY140" i="6" s="1"/>
  <c r="BZ140" i="6" s="1"/>
  <c r="BT192" i="6"/>
  <c r="BV192" i="6" s="1"/>
  <c r="BY192" i="6" s="1"/>
  <c r="BT197" i="6"/>
  <c r="BV197" i="6" s="1"/>
  <c r="BY197" i="6" s="1"/>
  <c r="BT245" i="6"/>
  <c r="BV245" i="6" s="1"/>
  <c r="BY245" i="6" s="1"/>
  <c r="BZ245" i="6" s="1"/>
  <c r="BT174" i="6"/>
  <c r="BV174" i="6" s="1"/>
  <c r="BY174" i="6" s="1"/>
  <c r="BT208" i="6"/>
  <c r="BV208" i="6" s="1"/>
  <c r="BY208" i="6" s="1"/>
  <c r="BT163" i="6"/>
  <c r="BV163" i="6" s="1"/>
  <c r="BY163" i="6" s="1"/>
  <c r="BT130" i="6"/>
  <c r="BV130" i="6" s="1"/>
  <c r="BY130" i="6" s="1"/>
  <c r="BT236" i="6"/>
  <c r="BV236" i="6" s="1"/>
  <c r="BY236" i="6" s="1"/>
  <c r="BT124" i="6"/>
  <c r="BV124" i="6" s="1"/>
  <c r="BY124" i="6" s="1"/>
  <c r="BT241" i="6"/>
  <c r="BV241" i="6" s="1"/>
  <c r="BY241" i="6" s="1"/>
  <c r="BT170" i="6"/>
  <c r="BV170" i="6" s="1"/>
  <c r="BY170" i="6" s="1"/>
  <c r="CA170" i="6" s="1"/>
  <c r="BT200" i="6"/>
  <c r="BV200" i="6" s="1"/>
  <c r="BY200" i="6" s="1"/>
  <c r="BT100" i="6"/>
  <c r="BV100" i="6" s="1"/>
  <c r="BY100" i="6" s="1"/>
  <c r="CA100" i="6" s="1"/>
  <c r="BT162" i="6"/>
  <c r="BV162" i="6" s="1"/>
  <c r="BY162" i="6" s="1"/>
  <c r="BT250" i="6"/>
  <c r="BV250" i="6" s="1"/>
  <c r="BY250" i="6" s="1"/>
  <c r="BT85" i="6"/>
  <c r="BV85" i="6" s="1"/>
  <c r="BY85" i="6" s="1"/>
  <c r="BT67" i="6"/>
  <c r="BV67" i="6" s="1"/>
  <c r="BY67" i="6" s="1"/>
  <c r="CA67" i="6" s="1"/>
  <c r="BT128" i="6"/>
  <c r="BV128" i="6" s="1"/>
  <c r="BY128" i="6" s="1"/>
  <c r="BZ128" i="6" s="1"/>
  <c r="BT183" i="6"/>
  <c r="BV183" i="6" s="1"/>
  <c r="BY183" i="6" s="1"/>
  <c r="CA183" i="6" s="1"/>
  <c r="BT207" i="6"/>
  <c r="BV207" i="6" s="1"/>
  <c r="BY207" i="6" s="1"/>
  <c r="BT239" i="6"/>
  <c r="BV239" i="6" s="1"/>
  <c r="BY239" i="6" s="1"/>
  <c r="BT157" i="6"/>
  <c r="BV157" i="6" s="1"/>
  <c r="BY157" i="6" s="1"/>
  <c r="BT210" i="6"/>
  <c r="BV210" i="6" s="1"/>
  <c r="BY210" i="6" s="1"/>
  <c r="BT144" i="6"/>
  <c r="BV144" i="6" s="1"/>
  <c r="BY144" i="6" s="1"/>
  <c r="BT104" i="6"/>
  <c r="BV104" i="6" s="1"/>
  <c r="BY104" i="6" s="1"/>
  <c r="CA104" i="6" s="1"/>
  <c r="BT165" i="6"/>
  <c r="BV165" i="6" s="1"/>
  <c r="BY165" i="6" s="1"/>
  <c r="BT253" i="6"/>
  <c r="BV253" i="6" s="1"/>
  <c r="BY253" i="6" s="1"/>
  <c r="BT70" i="6"/>
  <c r="BV70" i="6" s="1"/>
  <c r="BY70" i="6" s="1"/>
  <c r="BT111" i="6"/>
  <c r="BV111" i="6" s="1"/>
  <c r="BY111" i="6" s="1"/>
  <c r="BT134" i="6"/>
  <c r="BV134" i="6" s="1"/>
  <c r="BY134" i="6" s="1"/>
  <c r="CA134" i="6" s="1"/>
  <c r="BT69" i="6"/>
  <c r="BV69" i="6" s="1"/>
  <c r="BY69" i="6" s="1"/>
  <c r="CA69" i="6" s="1"/>
  <c r="BT168" i="6"/>
  <c r="BV168" i="6" s="1"/>
  <c r="BY168" i="6" s="1"/>
  <c r="BT196" i="6"/>
  <c r="BV196" i="6" s="1"/>
  <c r="BY196" i="6" s="1"/>
  <c r="BT113" i="6"/>
  <c r="BV113" i="6" s="1"/>
  <c r="BY113" i="6" s="1"/>
  <c r="CA113" i="6" s="1"/>
  <c r="BT68" i="6"/>
  <c r="BV68" i="6" s="1"/>
  <c r="BY68" i="6" s="1"/>
  <c r="BZ68" i="6" s="1"/>
  <c r="BT212" i="6"/>
  <c r="BV212" i="6" s="1"/>
  <c r="BY212" i="6" s="1"/>
  <c r="BT242" i="6"/>
  <c r="BV242" i="6" s="1"/>
  <c r="BY242" i="6" s="1"/>
  <c r="BA193" i="6"/>
  <c r="BB193" i="6" s="1"/>
  <c r="BA68" i="6"/>
  <c r="BC68" i="6" s="1"/>
  <c r="BA120" i="6"/>
  <c r="BB120" i="6" s="1"/>
  <c r="BT126" i="6"/>
  <c r="BV126" i="6" s="1"/>
  <c r="BY126" i="6" s="1"/>
  <c r="BZ126" i="6" s="1"/>
  <c r="BT153" i="6"/>
  <c r="BV153" i="6" s="1"/>
  <c r="BY153" i="6" s="1"/>
  <c r="BT185" i="6"/>
  <c r="BV185" i="6" s="1"/>
  <c r="BY185" i="6" s="1"/>
  <c r="BT102" i="6"/>
  <c r="BV102" i="6" s="1"/>
  <c r="BY102" i="6" s="1"/>
  <c r="BZ102" i="6" s="1"/>
  <c r="BT155" i="6"/>
  <c r="BV155" i="6" s="1"/>
  <c r="BY155" i="6" s="1"/>
  <c r="CA155" i="6" s="1"/>
  <c r="BT231" i="6"/>
  <c r="BV231" i="6" s="1"/>
  <c r="BY231" i="6" s="1"/>
  <c r="BT92" i="6"/>
  <c r="BV92" i="6" s="1"/>
  <c r="BY92" i="6" s="1"/>
  <c r="BT184" i="6"/>
  <c r="BV184" i="6" s="1"/>
  <c r="BY184" i="6" s="1"/>
  <c r="BT149" i="6"/>
  <c r="BV149" i="6" s="1"/>
  <c r="BY149" i="6" s="1"/>
  <c r="BT154" i="6"/>
  <c r="BV154" i="6" s="1"/>
  <c r="BY154" i="6" s="1"/>
  <c r="BT110" i="6"/>
  <c r="BV110" i="6" s="1"/>
  <c r="BY110" i="6" s="1"/>
  <c r="BT224" i="6"/>
  <c r="BV224" i="6" s="1"/>
  <c r="BY224" i="6" s="1"/>
  <c r="BT125" i="6"/>
  <c r="BV125" i="6" s="1"/>
  <c r="BY125" i="6" s="1"/>
  <c r="BT173" i="6"/>
  <c r="BV173" i="6" s="1"/>
  <c r="BY173" i="6" s="1"/>
  <c r="BT217" i="6"/>
  <c r="BV217" i="6" s="1"/>
  <c r="BY217" i="6" s="1"/>
  <c r="BT166" i="6"/>
  <c r="BV166" i="6" s="1"/>
  <c r="BY166" i="6" s="1"/>
  <c r="BT172" i="6"/>
  <c r="BV172" i="6" s="1"/>
  <c r="BY172" i="6" s="1"/>
  <c r="BT89" i="6"/>
  <c r="BV89" i="6" s="1"/>
  <c r="BY89" i="6" s="1"/>
  <c r="BT177" i="6"/>
  <c r="BV177" i="6" s="1"/>
  <c r="BY177" i="6" s="1"/>
  <c r="BT193" i="6"/>
  <c r="BV193" i="6" s="1"/>
  <c r="BY193" i="6" s="1"/>
  <c r="BZ193" i="6" s="1"/>
  <c r="BT237" i="6"/>
  <c r="BV237" i="6" s="1"/>
  <c r="BY237" i="6" s="1"/>
  <c r="BT66" i="6"/>
  <c r="BV66" i="6" s="1"/>
  <c r="BY66" i="6" s="1"/>
  <c r="BT131" i="6"/>
  <c r="BV131" i="6" s="1"/>
  <c r="BY131" i="6" s="1"/>
  <c r="BT214" i="6"/>
  <c r="BV214" i="6" s="1"/>
  <c r="BY214" i="6" s="1"/>
  <c r="BT180" i="6"/>
  <c r="BV180" i="6" s="1"/>
  <c r="BY180" i="6" s="1"/>
  <c r="BT244" i="6"/>
  <c r="BV244" i="6" s="1"/>
  <c r="BY244" i="6" s="1"/>
  <c r="BT120" i="6"/>
  <c r="BV120" i="6" s="1"/>
  <c r="BY120" i="6" s="1"/>
  <c r="BT225" i="6"/>
  <c r="BV225" i="6" s="1"/>
  <c r="BY225" i="6" s="1"/>
  <c r="BZ225" i="6" s="1"/>
  <c r="BT222" i="6"/>
  <c r="BV222" i="6" s="1"/>
  <c r="BY222" i="6" s="1"/>
  <c r="BT258" i="6"/>
  <c r="BV258" i="6" s="1"/>
  <c r="BY258" i="6" s="1"/>
  <c r="BT167" i="6"/>
  <c r="BV167" i="6" s="1"/>
  <c r="BY167" i="6" s="1"/>
  <c r="BZ167" i="6" s="1"/>
  <c r="BT227" i="6"/>
  <c r="BV227" i="6" s="1"/>
  <c r="BY227" i="6" s="1"/>
  <c r="BT88" i="6"/>
  <c r="BV88" i="6" s="1"/>
  <c r="BY88" i="6" s="1"/>
  <c r="BT107" i="6"/>
  <c r="BV107" i="6" s="1"/>
  <c r="BY107" i="6" s="1"/>
  <c r="BT148" i="6"/>
  <c r="BV148" i="6" s="1"/>
  <c r="BY148" i="6" s="1"/>
  <c r="CA148" i="6" s="1"/>
  <c r="BT176" i="6"/>
  <c r="BV176" i="6" s="1"/>
  <c r="BY176" i="6" s="1"/>
  <c r="CA176" i="6" s="1"/>
  <c r="BT137" i="6"/>
  <c r="BV137" i="6" s="1"/>
  <c r="BY137" i="6" s="1"/>
  <c r="BT150" i="6"/>
  <c r="BV150" i="6" s="1"/>
  <c r="BY150" i="6" s="1"/>
  <c r="BT202" i="6"/>
  <c r="BV202" i="6" s="1"/>
  <c r="BY202" i="6" s="1"/>
  <c r="BT263" i="6"/>
  <c r="BV263" i="6" s="1"/>
  <c r="BY263" i="6" s="1"/>
  <c r="BT93" i="6"/>
  <c r="BV93" i="6" s="1"/>
  <c r="BY93" i="6" s="1"/>
  <c r="BT79" i="6"/>
  <c r="BV79" i="6" s="1"/>
  <c r="BY79" i="6" s="1"/>
  <c r="BT216" i="6"/>
  <c r="BV216" i="6" s="1"/>
  <c r="BY216" i="6" s="1"/>
  <c r="BT64" i="6"/>
  <c r="BV64" i="6" s="1"/>
  <c r="BY64" i="6" s="1"/>
  <c r="CA64" i="6" s="1"/>
  <c r="BT158" i="6"/>
  <c r="BV158" i="6" s="1"/>
  <c r="BY158" i="6" s="1"/>
  <c r="BT215" i="6"/>
  <c r="BV215" i="6" s="1"/>
  <c r="BY215" i="6" s="1"/>
  <c r="BT160" i="6"/>
  <c r="BV160" i="6" s="1"/>
  <c r="BY160" i="6" s="1"/>
  <c r="BT138" i="6"/>
  <c r="BV138" i="6" s="1"/>
  <c r="BY138" i="6" s="1"/>
  <c r="BT94" i="6"/>
  <c r="BV94" i="6" s="1"/>
  <c r="BY94" i="6" s="1"/>
  <c r="BT151" i="6"/>
  <c r="BV151" i="6" s="1"/>
  <c r="BY151" i="6" s="1"/>
  <c r="BT156" i="6"/>
  <c r="BV156" i="6" s="1"/>
  <c r="BY156" i="6" s="1"/>
  <c r="BT109" i="6"/>
  <c r="BV109" i="6" s="1"/>
  <c r="BY109" i="6" s="1"/>
  <c r="BT146" i="6"/>
  <c r="BV146" i="6" s="1"/>
  <c r="BY146" i="6" s="1"/>
  <c r="BT199" i="6"/>
  <c r="BV199" i="6" s="1"/>
  <c r="BY199" i="6" s="1"/>
  <c r="BT86" i="6"/>
  <c r="BV86" i="6" s="1"/>
  <c r="BY86" i="6" s="1"/>
  <c r="BV218" i="6"/>
  <c r="BY218" i="6" s="1"/>
  <c r="BV105" i="6"/>
  <c r="BY105" i="6" s="1"/>
  <c r="BV178" i="6"/>
  <c r="BY178" i="6" s="1"/>
  <c r="F53" i="6"/>
  <c r="H53" i="6" s="1"/>
  <c r="F192" i="6"/>
  <c r="G192" i="6" s="1"/>
  <c r="F80" i="6"/>
  <c r="H80" i="6" s="1"/>
  <c r="BA255" i="6"/>
  <c r="BC255" i="6" s="1"/>
  <c r="BA72" i="6"/>
  <c r="BB72" i="6" s="1"/>
  <c r="BA200" i="6"/>
  <c r="BB200" i="6" s="1"/>
  <c r="BA95" i="6"/>
  <c r="BC95" i="6" s="1"/>
  <c r="BA67" i="6"/>
  <c r="BB67" i="6" s="1"/>
  <c r="BA211" i="6"/>
  <c r="BC211" i="6" s="1"/>
  <c r="F50" i="6"/>
  <c r="G50" i="6" s="1"/>
  <c r="F65" i="6"/>
  <c r="G65" i="6" s="1"/>
  <c r="F61" i="6"/>
  <c r="H61" i="6" s="1"/>
  <c r="F154" i="6"/>
  <c r="G154" i="6" s="1"/>
  <c r="F149" i="6"/>
  <c r="H149" i="6" s="1"/>
  <c r="F239" i="6"/>
  <c r="G239" i="6" s="1"/>
  <c r="F172" i="6"/>
  <c r="H172" i="6" s="1"/>
  <c r="F132" i="6"/>
  <c r="H132" i="6" s="1"/>
  <c r="BA83" i="6"/>
  <c r="BC83" i="6" s="1"/>
  <c r="BA184" i="6"/>
  <c r="BB184" i="6" s="1"/>
  <c r="BA245" i="6"/>
  <c r="BB245" i="6" s="1"/>
  <c r="BA116" i="6"/>
  <c r="BB116" i="6" s="1"/>
  <c r="F126" i="6"/>
  <c r="G126" i="6" s="1"/>
  <c r="F223" i="6"/>
  <c r="G223" i="6" s="1"/>
  <c r="F229" i="6"/>
  <c r="H229" i="6" s="1"/>
  <c r="F86" i="6"/>
  <c r="G86" i="6" s="1"/>
  <c r="F68" i="6"/>
  <c r="G68" i="6" s="1"/>
  <c r="F141" i="6"/>
  <c r="G141" i="6" s="1"/>
  <c r="F130" i="6"/>
  <c r="H130" i="6" s="1"/>
  <c r="F51" i="6"/>
  <c r="G51" i="6" s="1"/>
  <c r="F116" i="6"/>
  <c r="G116" i="6" s="1"/>
  <c r="F234" i="6"/>
  <c r="G234" i="6" s="1"/>
  <c r="F245" i="6"/>
  <c r="H245" i="6" s="1"/>
  <c r="F236" i="6"/>
  <c r="G236" i="6" s="1"/>
  <c r="F60" i="6"/>
  <c r="G60" i="6" s="1"/>
  <c r="F206" i="6"/>
  <c r="H206" i="6" s="1"/>
  <c r="F230" i="6"/>
  <c r="H230" i="6" s="1"/>
  <c r="F201" i="6"/>
  <c r="G201" i="6" s="1"/>
  <c r="F70" i="6"/>
  <c r="G70" i="6" s="1"/>
  <c r="F121" i="6"/>
  <c r="H121" i="6" s="1"/>
  <c r="F123" i="6"/>
  <c r="H123" i="6" s="1"/>
  <c r="F128" i="6"/>
  <c r="H128" i="6" s="1"/>
  <c r="F185" i="6"/>
  <c r="H185" i="6" s="1"/>
  <c r="F152" i="6"/>
  <c r="G152" i="6" s="1"/>
  <c r="F58" i="6"/>
  <c r="H58" i="6" s="1"/>
  <c r="F81" i="6"/>
  <c r="G81" i="6" s="1"/>
  <c r="F247" i="6"/>
  <c r="H247" i="6" s="1"/>
  <c r="F160" i="6"/>
  <c r="G160" i="6" s="1"/>
  <c r="F64" i="6"/>
  <c r="G64" i="6" s="1"/>
  <c r="F208" i="6"/>
  <c r="H208" i="6" s="1"/>
  <c r="F151" i="6"/>
  <c r="F202" i="6"/>
  <c r="G202" i="6" s="1"/>
  <c r="F120" i="6"/>
  <c r="G120" i="6" s="1"/>
  <c r="F97" i="6"/>
  <c r="H97" i="6" s="1"/>
  <c r="F150" i="6"/>
  <c r="H150" i="6" s="1"/>
  <c r="F232" i="6"/>
  <c r="G232" i="6" s="1"/>
  <c r="F193" i="6"/>
  <c r="H193" i="6" s="1"/>
  <c r="F136" i="6"/>
  <c r="G136" i="6" s="1"/>
  <c r="BA69" i="6"/>
  <c r="BB69" i="6" s="1"/>
  <c r="BA190" i="6"/>
  <c r="BC190" i="6" s="1"/>
  <c r="AZ245" i="6"/>
  <c r="BA234" i="6"/>
  <c r="BC234" i="6" s="1"/>
  <c r="BA114" i="6"/>
  <c r="BB114" i="6" s="1"/>
  <c r="BA150" i="6"/>
  <c r="BC150" i="6" s="1"/>
  <c r="BA105" i="6"/>
  <c r="BB105" i="6" s="1"/>
  <c r="BA99" i="6"/>
  <c r="BC99" i="6" s="1"/>
  <c r="BA70" i="6"/>
  <c r="BB70" i="6" s="1"/>
  <c r="BA187" i="6"/>
  <c r="BB187" i="6" s="1"/>
  <c r="BA90" i="6"/>
  <c r="BC90" i="6" s="1"/>
  <c r="BA159" i="6"/>
  <c r="BC159" i="6" s="1"/>
  <c r="BA100" i="6"/>
  <c r="BB100" i="6" s="1"/>
  <c r="BA123" i="6"/>
  <c r="BC123" i="6" s="1"/>
  <c r="BA113" i="6"/>
  <c r="BB113" i="6" s="1"/>
  <c r="BA153" i="6"/>
  <c r="BC153" i="6" s="1"/>
  <c r="BA118" i="6"/>
  <c r="BB118" i="6" s="1"/>
  <c r="BA261" i="6"/>
  <c r="BC261" i="6" s="1"/>
  <c r="BA189" i="6"/>
  <c r="BC189" i="6" s="1"/>
  <c r="BA129" i="6"/>
  <c r="BB129" i="6" s="1"/>
  <c r="BA65" i="6"/>
  <c r="BC65" i="6" s="1"/>
  <c r="BA106" i="6"/>
  <c r="BB106" i="6" s="1"/>
  <c r="BA71" i="6"/>
  <c r="BC71" i="6" s="1"/>
  <c r="BA152" i="6"/>
  <c r="BB152" i="6" s="1"/>
  <c r="BA224" i="6"/>
  <c r="BC224" i="6" s="1"/>
  <c r="BA142" i="6"/>
  <c r="BB142" i="6" s="1"/>
  <c r="AZ211" i="6"/>
  <c r="BA247" i="6"/>
  <c r="BB247" i="6" s="1"/>
  <c r="AZ156" i="6"/>
  <c r="BA156" i="6"/>
  <c r="BC156" i="6" s="1"/>
  <c r="BA126" i="6"/>
  <c r="BC126" i="6" s="1"/>
  <c r="BA194" i="6"/>
  <c r="BB194" i="6" s="1"/>
  <c r="BA80" i="6"/>
  <c r="BC80" i="6" s="1"/>
  <c r="BA128" i="6"/>
  <c r="BC128" i="6" s="1"/>
  <c r="BA163" i="6"/>
  <c r="BC163" i="6" s="1"/>
  <c r="BA181" i="6"/>
  <c r="BB181" i="6" s="1"/>
  <c r="BA155" i="6"/>
  <c r="BB155" i="6" s="1"/>
  <c r="BA130" i="6"/>
  <c r="BC130" i="6" s="1"/>
  <c r="BA215" i="6"/>
  <c r="BC215" i="6" s="1"/>
  <c r="BA185" i="6"/>
  <c r="BC185" i="6" s="1"/>
  <c r="BA182" i="6"/>
  <c r="BB182" i="6" s="1"/>
  <c r="BA138" i="6"/>
  <c r="BC138" i="6" s="1"/>
  <c r="BA248" i="6"/>
  <c r="BB248" i="6" s="1"/>
  <c r="BA239" i="6"/>
  <c r="BC239" i="6" s="1"/>
  <c r="BA258" i="6"/>
  <c r="BB258" i="6" s="1"/>
  <c r="BA96" i="6"/>
  <c r="BB96" i="6" s="1"/>
  <c r="BA109" i="6"/>
  <c r="BC109" i="6" s="1"/>
  <c r="BA91" i="6"/>
  <c r="BB91" i="6" s="1"/>
  <c r="BA191" i="6"/>
  <c r="BB191" i="6" s="1"/>
  <c r="BA166" i="6"/>
  <c r="BC166" i="6" s="1"/>
  <c r="BA201" i="6"/>
  <c r="BC201" i="6" s="1"/>
  <c r="BA133" i="6"/>
  <c r="BB133" i="6" s="1"/>
  <c r="BA240" i="6"/>
  <c r="BB240" i="6" s="1"/>
  <c r="BA117" i="6"/>
  <c r="BB117" i="6" s="1"/>
  <c r="BA157" i="6"/>
  <c r="BB157" i="6" s="1"/>
  <c r="BA134" i="6"/>
  <c r="BC134" i="6" s="1"/>
  <c r="BA75" i="6"/>
  <c r="BC75" i="6" s="1"/>
  <c r="BA257" i="6"/>
  <c r="BC257" i="6" s="1"/>
  <c r="BA77" i="6"/>
  <c r="BB77" i="6" s="1"/>
  <c r="BA136" i="6"/>
  <c r="BC136" i="6" s="1"/>
  <c r="BA124" i="6"/>
  <c r="BB124" i="6" s="1"/>
  <c r="BA202" i="6"/>
  <c r="BB202" i="6" s="1"/>
  <c r="BA110" i="6"/>
  <c r="BB110" i="6" s="1"/>
  <c r="BA241" i="6"/>
  <c r="BC241" i="6" s="1"/>
  <c r="BA192" i="6"/>
  <c r="BB192" i="6" s="1"/>
  <c r="BA220" i="6"/>
  <c r="BC220" i="6" s="1"/>
  <c r="BA172" i="6"/>
  <c r="BB172" i="6" s="1"/>
  <c r="BA122" i="6"/>
  <c r="BB122" i="6" s="1"/>
  <c r="BA242" i="6"/>
  <c r="BC242" i="6" s="1"/>
  <c r="BA119" i="6"/>
  <c r="BC119" i="6" s="1"/>
  <c r="BA170" i="6"/>
  <c r="BB170" i="6" s="1"/>
  <c r="BA171" i="6"/>
  <c r="BB171" i="6" s="1"/>
  <c r="BA88" i="6"/>
  <c r="BB88" i="6" s="1"/>
  <c r="BA145" i="6"/>
  <c r="BC145" i="6" s="1"/>
  <c r="BA132" i="6"/>
  <c r="BC132" i="6" s="1"/>
  <c r="BA146" i="6"/>
  <c r="BB146" i="6" s="1"/>
  <c r="BA253" i="6"/>
  <c r="BB253" i="6" s="1"/>
  <c r="BA237" i="6"/>
  <c r="BC237" i="6" s="1"/>
  <c r="BA217" i="6"/>
  <c r="BC217" i="6" s="1"/>
  <c r="BA92" i="6"/>
  <c r="BC92" i="6" s="1"/>
  <c r="BA199" i="6"/>
  <c r="BB199" i="6" s="1"/>
  <c r="BA178" i="6"/>
  <c r="BB178" i="6" s="1"/>
  <c r="BA209" i="6"/>
  <c r="BC209" i="6" s="1"/>
  <c r="BA230" i="6"/>
  <c r="BB230" i="6" s="1"/>
  <c r="BA204" i="6"/>
  <c r="BB204" i="6" s="1"/>
  <c r="BA254" i="6"/>
  <c r="BC254" i="6" s="1"/>
  <c r="BA228" i="6"/>
  <c r="BB228" i="6" s="1"/>
  <c r="BA186" i="6"/>
  <c r="BC186" i="6" s="1"/>
  <c r="BA148" i="6"/>
  <c r="BB148" i="6" s="1"/>
  <c r="BA252" i="6"/>
  <c r="BB252" i="6" s="1"/>
  <c r="BA197" i="6"/>
  <c r="BB197" i="6" s="1"/>
  <c r="BA121" i="6"/>
  <c r="BB121" i="6" s="1"/>
  <c r="BA101" i="6"/>
  <c r="BB101" i="6" s="1"/>
  <c r="BA103" i="6"/>
  <c r="BB103" i="6" s="1"/>
  <c r="F210" i="6"/>
  <c r="H210" i="6" s="1"/>
  <c r="F72" i="6"/>
  <c r="H72" i="6" s="1"/>
  <c r="F231" i="6"/>
  <c r="H231" i="6" s="1"/>
  <c r="F191" i="6"/>
  <c r="H191" i="6" s="1"/>
  <c r="F176" i="6"/>
  <c r="G176" i="6" s="1"/>
  <c r="F140" i="6"/>
  <c r="G140" i="6" s="1"/>
  <c r="F220" i="6"/>
  <c r="H220" i="6" s="1"/>
  <c r="BA212" i="6"/>
  <c r="BB212" i="6" s="1"/>
  <c r="F147" i="6"/>
  <c r="H147" i="6" s="1"/>
  <c r="F54" i="6"/>
  <c r="G54" i="6" s="1"/>
  <c r="G184" i="6"/>
  <c r="F218" i="6"/>
  <c r="G218" i="6" s="1"/>
  <c r="F74" i="6"/>
  <c r="G74" i="6" s="1"/>
  <c r="F200" i="6"/>
  <c r="G200" i="6" s="1"/>
  <c r="F95" i="6"/>
  <c r="H95" i="6" s="1"/>
  <c r="F174" i="6"/>
  <c r="G174" i="6" s="1"/>
  <c r="F179" i="6"/>
  <c r="H179" i="6" s="1"/>
  <c r="F190" i="6"/>
  <c r="G190" i="6" s="1"/>
  <c r="F163" i="6"/>
  <c r="H163" i="6" s="1"/>
  <c r="F100" i="6"/>
  <c r="H100" i="6" s="1"/>
  <c r="F199" i="6"/>
  <c r="G199" i="6" s="1"/>
  <c r="F242" i="6"/>
  <c r="G242" i="6" s="1"/>
  <c r="F240" i="6"/>
  <c r="G240" i="6" s="1"/>
  <c r="F111" i="6"/>
  <c r="F85" i="6"/>
  <c r="F224" i="6"/>
  <c r="H224" i="6" s="1"/>
  <c r="F212" i="6"/>
  <c r="H212" i="6" s="1"/>
  <c r="F237" i="6"/>
  <c r="G237" i="6" s="1"/>
  <c r="F156" i="6"/>
  <c r="G156" i="6" s="1"/>
  <c r="F186" i="6"/>
  <c r="H186" i="6" s="1"/>
  <c r="F69" i="6"/>
  <c r="H69" i="6" s="1"/>
  <c r="F146" i="6"/>
  <c r="H146" i="6" s="1"/>
  <c r="F181" i="6"/>
  <c r="H181" i="6" s="1"/>
  <c r="F92" i="6"/>
  <c r="G92" i="6" s="1"/>
  <c r="F166" i="6"/>
  <c r="G166" i="6" s="1"/>
  <c r="F122" i="6"/>
  <c r="G122" i="6" s="1"/>
  <c r="F99" i="6"/>
  <c r="G99" i="6" s="1"/>
  <c r="F164" i="6"/>
  <c r="H164" i="6" s="1"/>
  <c r="H167" i="6"/>
  <c r="F133" i="6"/>
  <c r="F139" i="6"/>
  <c r="H139" i="6" s="1"/>
  <c r="F246" i="6"/>
  <c r="H246" i="6" s="1"/>
  <c r="F161" i="6"/>
  <c r="H161" i="6" s="1"/>
  <c r="F84" i="6"/>
  <c r="H84" i="6" s="1"/>
  <c r="F94" i="6"/>
  <c r="H94" i="6" s="1"/>
  <c r="F118" i="6"/>
  <c r="G118" i="6" s="1"/>
  <c r="F173" i="6"/>
  <c r="F183" i="6"/>
  <c r="H183" i="6" s="1"/>
  <c r="F106" i="6"/>
  <c r="H106" i="6" s="1"/>
  <c r="BA219" i="6"/>
  <c r="BC219" i="6" s="1"/>
  <c r="BA73" i="6"/>
  <c r="BB73" i="6" s="1"/>
  <c r="F137" i="6"/>
  <c r="H137" i="6" s="1"/>
  <c r="F248" i="6"/>
  <c r="G248" i="6" s="1"/>
  <c r="F96" i="6"/>
  <c r="G96" i="6" s="1"/>
  <c r="F165" i="6"/>
  <c r="H165" i="6" s="1"/>
  <c r="F77" i="6"/>
  <c r="H77" i="6" s="1"/>
  <c r="F243" i="6"/>
  <c r="G243" i="6" s="1"/>
  <c r="F157" i="6"/>
  <c r="G157" i="6" s="1"/>
  <c r="F228" i="6"/>
  <c r="G228" i="6" s="1"/>
  <c r="F177" i="6"/>
  <c r="G177" i="6" s="1"/>
  <c r="F52" i="6"/>
  <c r="G52" i="6" s="1"/>
  <c r="F102" i="6"/>
  <c r="H102" i="6" s="1"/>
  <c r="F214" i="6"/>
  <c r="G214" i="6" s="1"/>
  <c r="F108" i="6"/>
  <c r="G108" i="6" s="1"/>
  <c r="F178" i="6"/>
  <c r="G178" i="6" s="1"/>
  <c r="F93" i="6"/>
  <c r="H93" i="6" s="1"/>
  <c r="F101" i="6"/>
  <c r="F168" i="6"/>
  <c r="H168" i="6" s="1"/>
  <c r="F235" i="6"/>
  <c r="H235" i="6" s="1"/>
  <c r="F89" i="6"/>
  <c r="G89" i="6" s="1"/>
  <c r="F195" i="6"/>
  <c r="G195" i="6" s="1"/>
  <c r="F145" i="6"/>
  <c r="G145" i="6" s="1"/>
  <c r="F226" i="6"/>
  <c r="H226" i="6" s="1"/>
  <c r="F59" i="6"/>
  <c r="G59" i="6" s="1"/>
  <c r="F170" i="6"/>
  <c r="H170" i="6" s="1"/>
  <c r="F113" i="6"/>
  <c r="H113" i="6" s="1"/>
  <c r="F112" i="6"/>
  <c r="G112" i="6" s="1"/>
  <c r="F115" i="6"/>
  <c r="H115" i="6" s="1"/>
  <c r="F124" i="6"/>
  <c r="H124" i="6" s="1"/>
  <c r="F238" i="6"/>
  <c r="H238" i="6" s="1"/>
  <c r="F222" i="6"/>
  <c r="H222" i="6" s="1"/>
  <c r="F219" i="6"/>
  <c r="H219" i="6" s="1"/>
  <c r="F114" i="6"/>
  <c r="G114" i="6" s="1"/>
  <c r="F244" i="6"/>
  <c r="H244" i="6" s="1"/>
  <c r="F162" i="6"/>
  <c r="G162" i="6" s="1"/>
  <c r="G75" i="6"/>
  <c r="H75" i="6"/>
  <c r="F207" i="6"/>
  <c r="F182" i="6"/>
  <c r="G182" i="6" s="1"/>
  <c r="G55" i="6"/>
  <c r="F209" i="6"/>
  <c r="F125" i="6"/>
  <c r="F144" i="6"/>
  <c r="G144" i="6" s="1"/>
  <c r="H103" i="6"/>
  <c r="H192" i="6"/>
  <c r="F221" i="6"/>
  <c r="F134" i="6"/>
  <c r="G134" i="6" s="1"/>
  <c r="F98" i="6"/>
  <c r="G98" i="6" s="1"/>
  <c r="F189" i="6"/>
  <c r="H189" i="6" s="1"/>
  <c r="F110" i="6"/>
  <c r="G110" i="6" s="1"/>
  <c r="F66" i="6"/>
  <c r="H66" i="6" s="1"/>
  <c r="F57" i="6"/>
  <c r="G57" i="6" s="1"/>
  <c r="F205" i="6"/>
  <c r="H205" i="6" s="1"/>
  <c r="F158" i="6"/>
  <c r="H158" i="6" s="1"/>
  <c r="F131" i="6"/>
  <c r="F91" i="6"/>
  <c r="H91" i="6" s="1"/>
  <c r="BA162" i="6"/>
  <c r="BB162" i="6" s="1"/>
  <c r="BA206" i="6"/>
  <c r="BC206" i="6" s="1"/>
  <c r="BA84" i="6"/>
  <c r="BB84" i="6" s="1"/>
  <c r="BA179" i="6"/>
  <c r="BC179" i="6" s="1"/>
  <c r="BA108" i="6"/>
  <c r="BC108" i="6" s="1"/>
  <c r="BA221" i="6"/>
  <c r="BB221" i="6" s="1"/>
  <c r="AZ221" i="6"/>
  <c r="AZ179" i="6"/>
  <c r="H180" i="6"/>
  <c r="BA135" i="6"/>
  <c r="BC135" i="6" s="1"/>
  <c r="AZ135" i="6"/>
  <c r="BA151" i="6"/>
  <c r="BC151" i="6" s="1"/>
  <c r="BA238" i="6"/>
  <c r="BC238" i="6" s="1"/>
  <c r="BA249" i="6"/>
  <c r="BC249" i="6" s="1"/>
  <c r="BA154" i="6"/>
  <c r="BC154" i="6" s="1"/>
  <c r="BA86" i="6"/>
  <c r="BC86" i="6" s="1"/>
  <c r="BA102" i="6"/>
  <c r="BC102" i="6" s="1"/>
  <c r="F217" i="6"/>
  <c r="H217" i="6" s="1"/>
  <c r="F76" i="6"/>
  <c r="H76" i="6" s="1"/>
  <c r="BA198" i="6"/>
  <c r="BB198" i="6" s="1"/>
  <c r="AZ198" i="6"/>
  <c r="BA174" i="6"/>
  <c r="BB174" i="6" s="1"/>
  <c r="BA82" i="6"/>
  <c r="BB82" i="6" s="1"/>
  <c r="BA164" i="6"/>
  <c r="BC164" i="6" s="1"/>
  <c r="BA85" i="6"/>
  <c r="BC85" i="6" s="1"/>
  <c r="BA161" i="6"/>
  <c r="BB161" i="6" s="1"/>
  <c r="BA225" i="6"/>
  <c r="BB225" i="6" s="1"/>
  <c r="BA140" i="6"/>
  <c r="BC140" i="6" s="1"/>
  <c r="BA208" i="6"/>
  <c r="BB208" i="6" s="1"/>
  <c r="BA175" i="6"/>
  <c r="BB175" i="6" s="1"/>
  <c r="AZ175" i="6"/>
  <c r="BA160" i="6"/>
  <c r="BC160" i="6" s="1"/>
  <c r="AZ160" i="6"/>
  <c r="BA256" i="6"/>
  <c r="BB256" i="6" s="1"/>
  <c r="BA64" i="6"/>
  <c r="BC64" i="6" s="1"/>
  <c r="BA176" i="6"/>
  <c r="BB176" i="6" s="1"/>
  <c r="BA264" i="6"/>
  <c r="BB264" i="6" s="1"/>
  <c r="AZ264" i="6"/>
  <c r="AZ255" i="6"/>
  <c r="BA188" i="6"/>
  <c r="BC188" i="6" s="1"/>
  <c r="BA251" i="6"/>
  <c r="BC251" i="6" s="1"/>
  <c r="AZ162" i="6"/>
  <c r="AZ84" i="6"/>
  <c r="AZ206" i="6"/>
  <c r="BA87" i="6"/>
  <c r="BB87" i="6" s="1"/>
  <c r="BA196" i="6"/>
  <c r="BC196" i="6" s="1"/>
  <c r="BA246" i="6"/>
  <c r="BB246" i="6" s="1"/>
  <c r="BA218" i="6"/>
  <c r="BB218" i="6" s="1"/>
  <c r="BA125" i="6"/>
  <c r="BC125" i="6" s="1"/>
  <c r="BA79" i="6"/>
  <c r="BB79" i="6" s="1"/>
  <c r="BA216" i="6"/>
  <c r="BC216" i="6" s="1"/>
  <c r="BA205" i="6"/>
  <c r="BB205" i="6" s="1"/>
  <c r="BA236" i="6"/>
  <c r="BC236" i="6" s="1"/>
  <c r="BA180" i="6"/>
  <c r="BC180" i="6" s="1"/>
  <c r="BA210" i="6"/>
  <c r="BB210" i="6" s="1"/>
  <c r="BA243" i="6"/>
  <c r="BC243" i="6" s="1"/>
  <c r="BA169" i="6"/>
  <c r="BB169" i="6" s="1"/>
  <c r="BA74" i="6"/>
  <c r="BC74" i="6" s="1"/>
  <c r="BA98" i="6"/>
  <c r="BB98" i="6" s="1"/>
  <c r="BA195" i="6"/>
  <c r="BC195" i="6" s="1"/>
  <c r="BA173" i="6"/>
  <c r="BC173" i="6" s="1"/>
  <c r="BA158" i="6"/>
  <c r="BB158" i="6" s="1"/>
  <c r="BA81" i="6"/>
  <c r="BC81" i="6" s="1"/>
  <c r="BA115" i="6"/>
  <c r="BB115" i="6" s="1"/>
  <c r="F105" i="6"/>
  <c r="F148" i="6"/>
  <c r="G148" i="6" s="1"/>
  <c r="F225" i="6"/>
  <c r="G225" i="6" s="1"/>
  <c r="F204" i="6"/>
  <c r="G204" i="6" s="1"/>
  <c r="F90" i="6"/>
  <c r="G90" i="6" s="1"/>
  <c r="F67" i="6"/>
  <c r="F198" i="6"/>
  <c r="G198" i="6" s="1"/>
  <c r="F197" i="6"/>
  <c r="H197" i="6" s="1"/>
  <c r="F142" i="6"/>
  <c r="G142" i="6" s="1"/>
  <c r="F107" i="6"/>
  <c r="H107" i="6" s="1"/>
  <c r="F119" i="6"/>
  <c r="F104" i="6"/>
  <c r="H104" i="6" s="1"/>
  <c r="F213" i="6"/>
  <c r="H213" i="6" s="1"/>
  <c r="F211" i="6"/>
  <c r="H211" i="6" s="1"/>
  <c r="AZ108" i="6"/>
  <c r="AZ219" i="6"/>
  <c r="BA137" i="6"/>
  <c r="BB137" i="6" s="1"/>
  <c r="BA229" i="6"/>
  <c r="BB229" i="6" s="1"/>
  <c r="BA214" i="6"/>
  <c r="BB214" i="6" s="1"/>
  <c r="BA183" i="6"/>
  <c r="BB183" i="6" s="1"/>
  <c r="BA78" i="6"/>
  <c r="BC78" i="6" s="1"/>
  <c r="BA233" i="6"/>
  <c r="BB233" i="6" s="1"/>
  <c r="BA147" i="6"/>
  <c r="BB147" i="6" s="1"/>
  <c r="BA149" i="6"/>
  <c r="BB149" i="6" s="1"/>
  <c r="BA177" i="6"/>
  <c r="BC177" i="6" s="1"/>
  <c r="BA226" i="6"/>
  <c r="BB226" i="6" s="1"/>
  <c r="BA227" i="6"/>
  <c r="BC227" i="6" s="1"/>
  <c r="BA139" i="6"/>
  <c r="BB139" i="6" s="1"/>
  <c r="BA144" i="6"/>
  <c r="BB144" i="6" s="1"/>
  <c r="BA104" i="6"/>
  <c r="BC104" i="6" s="1"/>
  <c r="BA97" i="6"/>
  <c r="BC97" i="6" s="1"/>
  <c r="BA167" i="6"/>
  <c r="BB167" i="6" s="1"/>
  <c r="BA244" i="6"/>
  <c r="BC244" i="6" s="1"/>
  <c r="BA213" i="6"/>
  <c r="BC213" i="6" s="1"/>
  <c r="BA165" i="6"/>
  <c r="BC165" i="6" s="1"/>
  <c r="BA232" i="6"/>
  <c r="BC232" i="6" s="1"/>
  <c r="BA143" i="6"/>
  <c r="BC143" i="6" s="1"/>
  <c r="BA131" i="6"/>
  <c r="BC131" i="6" s="1"/>
  <c r="BA262" i="6"/>
  <c r="BC262" i="6" s="1"/>
  <c r="BA76" i="6"/>
  <c r="BC76" i="6" s="1"/>
  <c r="BA231" i="6"/>
  <c r="BB231" i="6" s="1"/>
  <c r="BA207" i="6"/>
  <c r="BC207" i="6" s="1"/>
  <c r="F62" i="6"/>
  <c r="F138" i="6"/>
  <c r="G138" i="6" s="1"/>
  <c r="F82" i="6"/>
  <c r="H82" i="6" s="1"/>
  <c r="F73" i="6"/>
  <c r="F227" i="6"/>
  <c r="F129" i="6"/>
  <c r="H129" i="6" s="1"/>
  <c r="F188" i="6"/>
  <c r="G188" i="6" s="1"/>
  <c r="F88" i="6"/>
  <c r="F87" i="6"/>
  <c r="G87" i="6" s="1"/>
  <c r="F187" i="6"/>
  <c r="G187" i="6" s="1"/>
  <c r="F143" i="6"/>
  <c r="F175" i="6"/>
  <c r="H175" i="6" s="1"/>
  <c r="F203" i="6"/>
  <c r="BA259" i="6"/>
  <c r="BC259" i="6" s="1"/>
  <c r="BA222" i="6"/>
  <c r="BC222" i="6" s="1"/>
  <c r="BA107" i="6"/>
  <c r="BB107" i="6" s="1"/>
  <c r="BA112" i="6"/>
  <c r="BC112" i="6" s="1"/>
  <c r="BA93" i="6"/>
  <c r="BB93" i="6" s="1"/>
  <c r="BA66" i="6"/>
  <c r="BB66" i="6" s="1"/>
  <c r="BA260" i="6"/>
  <c r="BC260" i="6" s="1"/>
  <c r="BA203" i="6"/>
  <c r="BB203" i="6" s="1"/>
  <c r="BA250" i="6"/>
  <c r="BC250" i="6" s="1"/>
  <c r="BA263" i="6"/>
  <c r="BB263" i="6" s="1"/>
  <c r="BA223" i="6"/>
  <c r="BC223" i="6" s="1"/>
  <c r="BA94" i="6"/>
  <c r="BB94" i="6" s="1"/>
  <c r="BA141" i="6"/>
  <c r="BB141" i="6" s="1"/>
  <c r="BA235" i="6"/>
  <c r="BC235" i="6" s="1"/>
  <c r="H169" i="6"/>
  <c r="G169" i="6"/>
  <c r="F241" i="6"/>
  <c r="H63" i="6"/>
  <c r="G63" i="6"/>
  <c r="F196" i="6"/>
  <c r="G196" i="6" s="1"/>
  <c r="F109" i="6"/>
  <c r="F216" i="6"/>
  <c r="H216" i="6" s="1"/>
  <c r="F194" i="6"/>
  <c r="F117" i="6"/>
  <c r="F78" i="6"/>
  <c r="F153" i="6"/>
  <c r="F79" i="6"/>
  <c r="F135" i="6"/>
  <c r="F56" i="6"/>
  <c r="F233" i="6"/>
  <c r="F49" i="6"/>
  <c r="F215" i="6"/>
  <c r="F171" i="6"/>
  <c r="F249" i="6"/>
  <c r="F71" i="6"/>
  <c r="F159" i="6"/>
  <c r="F127" i="6"/>
  <c r="F155" i="6"/>
  <c r="F83" i="6"/>
  <c r="BC168" i="6" l="1"/>
  <c r="BC111" i="6"/>
  <c r="BC89" i="6"/>
  <c r="BB127" i="6"/>
  <c r="BC193" i="6"/>
  <c r="BZ141" i="6"/>
  <c r="BZ67" i="6"/>
  <c r="BZ106" i="6"/>
  <c r="CA238" i="6"/>
  <c r="CA68" i="6"/>
  <c r="CA230" i="6"/>
  <c r="BZ261" i="6"/>
  <c r="G172" i="6"/>
  <c r="G53" i="6"/>
  <c r="CA132" i="6"/>
  <c r="BZ183" i="6"/>
  <c r="BZ100" i="6"/>
  <c r="BZ228" i="6"/>
  <c r="BZ113" i="6"/>
  <c r="CA83" i="6"/>
  <c r="BZ134" i="6"/>
  <c r="CA140" i="6"/>
  <c r="CA169" i="6"/>
  <c r="CA128" i="6"/>
  <c r="BZ260" i="6"/>
  <c r="BZ170" i="6"/>
  <c r="CA229" i="6"/>
  <c r="CA171" i="6"/>
  <c r="BZ152" i="6"/>
  <c r="BZ69" i="6"/>
  <c r="BZ104" i="6"/>
  <c r="BB255" i="6"/>
  <c r="BZ117" i="6"/>
  <c r="BZ110" i="6"/>
  <c r="CA110" i="6"/>
  <c r="BZ161" i="6"/>
  <c r="CA195" i="6"/>
  <c r="G80" i="6"/>
  <c r="BZ263" i="6"/>
  <c r="CA263" i="6"/>
  <c r="BZ214" i="6"/>
  <c r="CA214" i="6"/>
  <c r="CA237" i="6"/>
  <c r="BZ237" i="6"/>
  <c r="BZ182" i="6"/>
  <c r="CA182" i="6"/>
  <c r="CA172" i="6"/>
  <c r="BZ172" i="6"/>
  <c r="BZ173" i="6"/>
  <c r="CA173" i="6"/>
  <c r="BZ184" i="6"/>
  <c r="CA184" i="6"/>
  <c r="CA225" i="6"/>
  <c r="CA102" i="6"/>
  <c r="CA245" i="6"/>
  <c r="CA129" i="6"/>
  <c r="CA116" i="6"/>
  <c r="CA126" i="6"/>
  <c r="BC120" i="6"/>
  <c r="BB68" i="6"/>
  <c r="CA164" i="6"/>
  <c r="BZ199" i="6"/>
  <c r="CA199" i="6"/>
  <c r="BZ181" i="6"/>
  <c r="CA181" i="6"/>
  <c r="CA222" i="6"/>
  <c r="BZ222" i="6"/>
  <c r="CA220" i="6"/>
  <c r="BZ155" i="6"/>
  <c r="CA193" i="6"/>
  <c r="CA246" i="6"/>
  <c r="BZ138" i="6"/>
  <c r="CA138" i="6"/>
  <c r="BZ150" i="6"/>
  <c r="CA150" i="6"/>
  <c r="BZ179" i="6"/>
  <c r="CA179" i="6"/>
  <c r="CA177" i="6"/>
  <c r="BZ177" i="6"/>
  <c r="CA125" i="6"/>
  <c r="BZ125" i="6"/>
  <c r="CA92" i="6"/>
  <c r="BZ92" i="6"/>
  <c r="CA156" i="6"/>
  <c r="BZ156" i="6"/>
  <c r="CA244" i="6"/>
  <c r="BZ244" i="6"/>
  <c r="CA89" i="6"/>
  <c r="BZ89" i="6"/>
  <c r="BZ151" i="6"/>
  <c r="CA151" i="6"/>
  <c r="BZ160" i="6"/>
  <c r="CA160" i="6"/>
  <c r="CA227" i="6"/>
  <c r="BZ227" i="6"/>
  <c r="BZ180" i="6"/>
  <c r="CA180" i="6"/>
  <c r="CA149" i="6"/>
  <c r="BZ149" i="6"/>
  <c r="BZ109" i="6"/>
  <c r="CA109" i="6"/>
  <c r="BZ158" i="6"/>
  <c r="CA158" i="6"/>
  <c r="BZ107" i="6"/>
  <c r="CA107" i="6"/>
  <c r="BZ120" i="6"/>
  <c r="CA120" i="6"/>
  <c r="BZ131" i="6"/>
  <c r="CA131" i="6"/>
  <c r="BZ166" i="6"/>
  <c r="CA166" i="6"/>
  <c r="BZ137" i="6"/>
  <c r="CA137" i="6"/>
  <c r="CA221" i="6"/>
  <c r="BZ221" i="6"/>
  <c r="CA86" i="6"/>
  <c r="BZ86" i="6"/>
  <c r="BZ78" i="6"/>
  <c r="CA78" i="6"/>
  <c r="CA94" i="6"/>
  <c r="BZ94" i="6"/>
  <c r="BZ203" i="6"/>
  <c r="CA203" i="6"/>
  <c r="BZ121" i="6"/>
  <c r="BZ98" i="6"/>
  <c r="BZ176" i="6"/>
  <c r="CA167" i="6"/>
  <c r="BZ97" i="6"/>
  <c r="BZ148" i="6"/>
  <c r="BZ206" i="6"/>
  <c r="CA257" i="6"/>
  <c r="BZ257" i="6"/>
  <c r="BZ162" i="6"/>
  <c r="CA162" i="6"/>
  <c r="CA95" i="6"/>
  <c r="BZ95" i="6"/>
  <c r="CA178" i="6"/>
  <c r="BZ178" i="6"/>
  <c r="BZ175" i="6"/>
  <c r="CA175" i="6"/>
  <c r="BZ259" i="6"/>
  <c r="CA259" i="6"/>
  <c r="CA231" i="6"/>
  <c r="BZ231" i="6"/>
  <c r="CA96" i="6"/>
  <c r="BZ96" i="6"/>
  <c r="CA84" i="6"/>
  <c r="BZ84" i="6"/>
  <c r="CA202" i="6"/>
  <c r="BZ202" i="6"/>
  <c r="CA105" i="6"/>
  <c r="BZ105" i="6"/>
  <c r="BZ239" i="6"/>
  <c r="CA239" i="6"/>
  <c r="CA217" i="6"/>
  <c r="BZ217" i="6"/>
  <c r="BZ153" i="6"/>
  <c r="CA153" i="6"/>
  <c r="CA130" i="6"/>
  <c r="BZ130" i="6"/>
  <c r="CA208" i="6"/>
  <c r="BZ208" i="6"/>
  <c r="CA191" i="6"/>
  <c r="BZ191" i="6"/>
  <c r="BZ146" i="6"/>
  <c r="CA146" i="6"/>
  <c r="CA258" i="6"/>
  <c r="BZ258" i="6"/>
  <c r="BZ90" i="6"/>
  <c r="CA90" i="6"/>
  <c r="BZ114" i="6"/>
  <c r="CA114" i="6"/>
  <c r="CA240" i="6"/>
  <c r="BZ240" i="6"/>
  <c r="BZ223" i="6"/>
  <c r="CA223" i="6"/>
  <c r="BZ216" i="6"/>
  <c r="CA216" i="6"/>
  <c r="BZ79" i="6"/>
  <c r="CA79" i="6"/>
  <c r="CA224" i="6"/>
  <c r="BZ224" i="6"/>
  <c r="BZ210" i="6"/>
  <c r="CA210" i="6"/>
  <c r="CA87" i="6"/>
  <c r="BZ87" i="6"/>
  <c r="BZ168" i="6"/>
  <c r="CA168" i="6"/>
  <c r="BZ81" i="6"/>
  <c r="CA81" i="6"/>
  <c r="CA209" i="6"/>
  <c r="BZ209" i="6"/>
  <c r="BZ212" i="6"/>
  <c r="CA212" i="6"/>
  <c r="BZ186" i="6"/>
  <c r="CA186" i="6"/>
  <c r="BZ190" i="6"/>
  <c r="CA190" i="6"/>
  <c r="BZ144" i="6"/>
  <c r="CA144" i="6"/>
  <c r="BZ74" i="6"/>
  <c r="CA74" i="6"/>
  <c r="CA163" i="6"/>
  <c r="BZ163" i="6"/>
  <c r="CA88" i="6"/>
  <c r="BZ88" i="6"/>
  <c r="BZ66" i="6"/>
  <c r="CA66" i="6"/>
  <c r="CA154" i="6"/>
  <c r="BZ154" i="6"/>
  <c r="BZ255" i="6"/>
  <c r="CA255" i="6"/>
  <c r="BZ71" i="6"/>
  <c r="CA71" i="6"/>
  <c r="CA124" i="6"/>
  <c r="BZ124" i="6"/>
  <c r="CA111" i="6"/>
  <c r="BZ111" i="6"/>
  <c r="CA201" i="6"/>
  <c r="BZ201" i="6"/>
  <c r="BZ188" i="6"/>
  <c r="CA188" i="6"/>
  <c r="BZ159" i="6"/>
  <c r="CA159" i="6"/>
  <c r="CA189" i="6"/>
  <c r="BZ189" i="6"/>
  <c r="CA76" i="6"/>
  <c r="BZ76" i="6"/>
  <c r="CA75" i="6"/>
  <c r="BZ75" i="6"/>
  <c r="CA135" i="6"/>
  <c r="BZ135" i="6"/>
  <c r="BZ196" i="6"/>
  <c r="CA196" i="6"/>
  <c r="CA253" i="6"/>
  <c r="BZ253" i="6"/>
  <c r="CA136" i="6"/>
  <c r="BZ136" i="6"/>
  <c r="CA115" i="6"/>
  <c r="BZ115" i="6"/>
  <c r="CA233" i="6"/>
  <c r="BZ233" i="6"/>
  <c r="CA70" i="6"/>
  <c r="BZ70" i="6"/>
  <c r="CA119" i="6"/>
  <c r="BZ119" i="6"/>
  <c r="CA65" i="6"/>
  <c r="BZ65" i="6"/>
  <c r="BZ187" i="6"/>
  <c r="CA187" i="6"/>
  <c r="BZ77" i="6"/>
  <c r="CA77" i="6"/>
  <c r="BZ213" i="6"/>
  <c r="CA213" i="6"/>
  <c r="BZ243" i="6"/>
  <c r="CA243" i="6"/>
  <c r="BZ145" i="6"/>
  <c r="CA145" i="6"/>
  <c r="CA133" i="6"/>
  <c r="BZ133" i="6"/>
  <c r="CA262" i="6"/>
  <c r="BZ262" i="6"/>
  <c r="CA127" i="6"/>
  <c r="BZ127" i="6"/>
  <c r="CA165" i="6"/>
  <c r="BZ165" i="6"/>
  <c r="BZ207" i="6"/>
  <c r="CA207" i="6"/>
  <c r="CA85" i="6"/>
  <c r="BZ85" i="6"/>
  <c r="BZ249" i="6"/>
  <c r="CA249" i="6"/>
  <c r="CA103" i="6"/>
  <c r="BZ103" i="6"/>
  <c r="BZ123" i="6"/>
  <c r="CA123" i="6"/>
  <c r="CA236" i="6"/>
  <c r="BZ236" i="6"/>
  <c r="BZ247" i="6"/>
  <c r="CA247" i="6"/>
  <c r="BZ205" i="6"/>
  <c r="CA205" i="6"/>
  <c r="BZ82" i="6"/>
  <c r="CA82" i="6"/>
  <c r="CA254" i="6"/>
  <c r="BZ254" i="6"/>
  <c r="CA185" i="6"/>
  <c r="BZ185" i="6"/>
  <c r="CA192" i="6"/>
  <c r="BZ192" i="6"/>
  <c r="CA174" i="6"/>
  <c r="BZ174" i="6"/>
  <c r="BZ142" i="6"/>
  <c r="CA142" i="6"/>
  <c r="BZ219" i="6"/>
  <c r="CA219" i="6"/>
  <c r="BZ91" i="6"/>
  <c r="CA91" i="6"/>
  <c r="BZ256" i="6"/>
  <c r="CA256" i="6"/>
  <c r="BZ73" i="6"/>
  <c r="CA73" i="6"/>
  <c r="BZ215" i="6"/>
  <c r="CA215" i="6"/>
  <c r="CA93" i="6"/>
  <c r="BZ93" i="6"/>
  <c r="BZ264" i="6"/>
  <c r="CA264" i="6"/>
  <c r="BZ218" i="6"/>
  <c r="CA218" i="6"/>
  <c r="BZ232" i="6"/>
  <c r="CA232" i="6"/>
  <c r="BZ99" i="6"/>
  <c r="CA99" i="6"/>
  <c r="BZ194" i="6"/>
  <c r="CA194" i="6"/>
  <c r="CA248" i="6"/>
  <c r="BZ248" i="6"/>
  <c r="CA72" i="6"/>
  <c r="BZ72" i="6"/>
  <c r="CA241" i="6"/>
  <c r="BZ241" i="6"/>
  <c r="BZ226" i="6"/>
  <c r="CA226" i="6"/>
  <c r="CA242" i="6"/>
  <c r="BZ242" i="6"/>
  <c r="BZ252" i="6"/>
  <c r="CA252" i="6"/>
  <c r="BZ139" i="6"/>
  <c r="CA139" i="6"/>
  <c r="CA234" i="6"/>
  <c r="BZ234" i="6"/>
  <c r="CA200" i="6"/>
  <c r="BZ200" i="6"/>
  <c r="CA147" i="6"/>
  <c r="BZ147" i="6"/>
  <c r="BZ112" i="6"/>
  <c r="CA112" i="6"/>
  <c r="CA251" i="6"/>
  <c r="BZ251" i="6"/>
  <c r="BZ198" i="6"/>
  <c r="CA198" i="6"/>
  <c r="CA101" i="6"/>
  <c r="BZ101" i="6"/>
  <c r="CA122" i="6"/>
  <c r="BZ122" i="6"/>
  <c r="CA143" i="6"/>
  <c r="BZ143" i="6"/>
  <c r="CA250" i="6"/>
  <c r="BZ250" i="6"/>
  <c r="CA197" i="6"/>
  <c r="BZ197" i="6"/>
  <c r="BZ211" i="6"/>
  <c r="CA211" i="6"/>
  <c r="BZ108" i="6"/>
  <c r="CA108" i="6"/>
  <c r="BZ204" i="6"/>
  <c r="CA204" i="6"/>
  <c r="BZ118" i="6"/>
  <c r="CA118" i="6"/>
  <c r="CA157" i="6"/>
  <c r="BZ157" i="6"/>
  <c r="CA80" i="6"/>
  <c r="BZ80" i="6"/>
  <c r="BZ235" i="6"/>
  <c r="CA235" i="6"/>
  <c r="BZ64" i="6"/>
  <c r="H154" i="6"/>
  <c r="G132" i="6"/>
  <c r="BC72" i="6"/>
  <c r="BC200" i="6"/>
  <c r="BB95" i="6"/>
  <c r="H239" i="6"/>
  <c r="BC245" i="6"/>
  <c r="BB211" i="6"/>
  <c r="H50" i="6"/>
  <c r="BC67" i="6"/>
  <c r="G61" i="6"/>
  <c r="BB65" i="6"/>
  <c r="H65" i="6"/>
  <c r="BC184" i="6"/>
  <c r="H141" i="6"/>
  <c r="H126" i="6"/>
  <c r="G149" i="6"/>
  <c r="G150" i="6"/>
  <c r="BB83" i="6"/>
  <c r="G185" i="6"/>
  <c r="BC116" i="6"/>
  <c r="H68" i="6"/>
  <c r="G95" i="6"/>
  <c r="H236" i="6"/>
  <c r="H51" i="6"/>
  <c r="H92" i="6"/>
  <c r="H140" i="6"/>
  <c r="G97" i="6"/>
  <c r="G72" i="6"/>
  <c r="G164" i="6"/>
  <c r="H223" i="6"/>
  <c r="H86" i="6"/>
  <c r="H136" i="6"/>
  <c r="G128" i="6"/>
  <c r="G247" i="6"/>
  <c r="H60" i="6"/>
  <c r="H116" i="6"/>
  <c r="G231" i="6"/>
  <c r="H70" i="6"/>
  <c r="BC114" i="6"/>
  <c r="BC69" i="6"/>
  <c r="G229" i="6"/>
  <c r="BB190" i="6"/>
  <c r="BB71" i="6"/>
  <c r="BB128" i="6"/>
  <c r="H234" i="6"/>
  <c r="H214" i="6"/>
  <c r="G224" i="6"/>
  <c r="G208" i="6"/>
  <c r="H242" i="6"/>
  <c r="G206" i="6"/>
  <c r="H200" i="6"/>
  <c r="H99" i="6"/>
  <c r="H120" i="6"/>
  <c r="G191" i="6"/>
  <c r="H202" i="6"/>
  <c r="G106" i="6"/>
  <c r="G139" i="6"/>
  <c r="G168" i="6"/>
  <c r="G230" i="6"/>
  <c r="G94" i="6"/>
  <c r="H52" i="6"/>
  <c r="G130" i="6"/>
  <c r="G210" i="6"/>
  <c r="G219" i="6"/>
  <c r="H64" i="6"/>
  <c r="G121" i="6"/>
  <c r="H160" i="6"/>
  <c r="G100" i="6"/>
  <c r="G193" i="6"/>
  <c r="G245" i="6"/>
  <c r="H166" i="6"/>
  <c r="H174" i="6"/>
  <c r="G123" i="6"/>
  <c r="G82" i="6"/>
  <c r="H228" i="6"/>
  <c r="H81" i="6"/>
  <c r="G58" i="6"/>
  <c r="H201" i="6"/>
  <c r="H151" i="6"/>
  <c r="G151" i="6"/>
  <c r="H232" i="6"/>
  <c r="H152" i="6"/>
  <c r="H243" i="6"/>
  <c r="H54" i="6"/>
  <c r="BB234" i="6"/>
  <c r="BB123" i="6"/>
  <c r="BB99" i="6"/>
  <c r="BB159" i="6"/>
  <c r="BC77" i="6"/>
  <c r="BB126" i="6"/>
  <c r="BB189" i="6"/>
  <c r="BC212" i="6"/>
  <c r="BB163" i="6"/>
  <c r="BC113" i="6"/>
  <c r="BC105" i="6"/>
  <c r="BB90" i="6"/>
  <c r="BB215" i="6"/>
  <c r="BC187" i="6"/>
  <c r="BB150" i="6"/>
  <c r="BC100" i="6"/>
  <c r="BB153" i="6"/>
  <c r="BC118" i="6"/>
  <c r="BC70" i="6"/>
  <c r="BB224" i="6"/>
  <c r="BB261" i="6"/>
  <c r="BC142" i="6"/>
  <c r="BC129" i="6"/>
  <c r="BC106" i="6"/>
  <c r="BC152" i="6"/>
  <c r="BC117" i="6"/>
  <c r="BC122" i="6"/>
  <c r="BB239" i="6"/>
  <c r="BC157" i="6"/>
  <c r="BC181" i="6"/>
  <c r="BC247" i="6"/>
  <c r="BC248" i="6"/>
  <c r="BB201" i="6"/>
  <c r="BC170" i="6"/>
  <c r="BB109" i="6"/>
  <c r="BC133" i="6"/>
  <c r="BB185" i="6"/>
  <c r="BC182" i="6"/>
  <c r="BC240" i="6"/>
  <c r="BC194" i="6"/>
  <c r="BB138" i="6"/>
  <c r="BB156" i="6"/>
  <c r="BB145" i="6"/>
  <c r="BB130" i="6"/>
  <c r="BC155" i="6"/>
  <c r="BB242" i="6"/>
  <c r="BC96" i="6"/>
  <c r="BB166" i="6"/>
  <c r="BC88" i="6"/>
  <c r="BC202" i="6"/>
  <c r="BC101" i="6"/>
  <c r="BC204" i="6"/>
  <c r="BB75" i="6"/>
  <c r="BC258" i="6"/>
  <c r="BC191" i="6"/>
  <c r="BC91" i="6"/>
  <c r="BB80" i="6"/>
  <c r="BC253" i="6"/>
  <c r="BC171" i="6"/>
  <c r="BB119" i="6"/>
  <c r="BB186" i="6"/>
  <c r="BB220" i="6"/>
  <c r="BB257" i="6"/>
  <c r="BB254" i="6"/>
  <c r="BB241" i="6"/>
  <c r="BB92" i="6"/>
  <c r="BB134" i="6"/>
  <c r="BC121" i="6"/>
  <c r="BB209" i="6"/>
  <c r="BC146" i="6"/>
  <c r="BC228" i="6"/>
  <c r="BB217" i="6"/>
  <c r="BB136" i="6"/>
  <c r="BC172" i="6"/>
  <c r="BC110" i="6"/>
  <c r="BC192" i="6"/>
  <c r="BC148" i="6"/>
  <c r="BB132" i="6"/>
  <c r="BC197" i="6"/>
  <c r="BC199" i="6"/>
  <c r="BC124" i="6"/>
  <c r="BC103" i="6"/>
  <c r="BC178" i="6"/>
  <c r="BC230" i="6"/>
  <c r="BC252" i="6"/>
  <c r="BB237" i="6"/>
  <c r="G246" i="6"/>
  <c r="H118" i="6"/>
  <c r="G212" i="6"/>
  <c r="G220" i="6"/>
  <c r="H240" i="6"/>
  <c r="H248" i="6"/>
  <c r="G170" i="6"/>
  <c r="G222" i="6"/>
  <c r="G235" i="6"/>
  <c r="G158" i="6"/>
  <c r="H196" i="6"/>
  <c r="G69" i="6"/>
  <c r="G113" i="6"/>
  <c r="H178" i="6"/>
  <c r="G165" i="6"/>
  <c r="H122" i="6"/>
  <c r="G91" i="6"/>
  <c r="G107" i="6"/>
  <c r="G163" i="6"/>
  <c r="H176" i="6"/>
  <c r="H187" i="6"/>
  <c r="G102" i="6"/>
  <c r="G179" i="6"/>
  <c r="H145" i="6"/>
  <c r="H74" i="6"/>
  <c r="G183" i="6"/>
  <c r="H204" i="6"/>
  <c r="H96" i="6"/>
  <c r="H218" i="6"/>
  <c r="H237" i="6"/>
  <c r="G147" i="6"/>
  <c r="G244" i="6"/>
  <c r="H112" i="6"/>
  <c r="G161" i="6"/>
  <c r="H157" i="6"/>
  <c r="G238" i="6"/>
  <c r="H144" i="6"/>
  <c r="H134" i="6"/>
  <c r="G104" i="6"/>
  <c r="G226" i="6"/>
  <c r="H190" i="6"/>
  <c r="G186" i="6"/>
  <c r="G146" i="6"/>
  <c r="G93" i="6"/>
  <c r="H199" i="6"/>
  <c r="G137" i="6"/>
  <c r="G181" i="6"/>
  <c r="G84" i="6"/>
  <c r="H98" i="6"/>
  <c r="H162" i="6"/>
  <c r="G217" i="6"/>
  <c r="G133" i="6"/>
  <c r="H133" i="6"/>
  <c r="H85" i="6"/>
  <c r="G85" i="6"/>
  <c r="H188" i="6"/>
  <c r="H156" i="6"/>
  <c r="H173" i="6"/>
  <c r="G173" i="6"/>
  <c r="H111" i="6"/>
  <c r="G111" i="6"/>
  <c r="BB219" i="6"/>
  <c r="BC73" i="6"/>
  <c r="BC162" i="6"/>
  <c r="G205" i="6"/>
  <c r="G175" i="6"/>
  <c r="H148" i="6"/>
  <c r="H108" i="6"/>
  <c r="H57" i="6"/>
  <c r="H177" i="6"/>
  <c r="G124" i="6"/>
  <c r="H59" i="6"/>
  <c r="G101" i="6"/>
  <c r="H101" i="6"/>
  <c r="G189" i="6"/>
  <c r="G77" i="6"/>
  <c r="H114" i="6"/>
  <c r="H89" i="6"/>
  <c r="G211" i="6"/>
  <c r="H195" i="6"/>
  <c r="G115" i="6"/>
  <c r="G131" i="6"/>
  <c r="H131" i="6"/>
  <c r="H182" i="6"/>
  <c r="G66" i="6"/>
  <c r="G221" i="6"/>
  <c r="H221" i="6"/>
  <c r="H207" i="6"/>
  <c r="G207" i="6"/>
  <c r="H142" i="6"/>
  <c r="H110" i="6"/>
  <c r="H90" i="6"/>
  <c r="H138" i="6"/>
  <c r="G213" i="6"/>
  <c r="G197" i="6"/>
  <c r="H209" i="6"/>
  <c r="G209" i="6"/>
  <c r="G76" i="6"/>
  <c r="H125" i="6"/>
  <c r="G125" i="6"/>
  <c r="BB206" i="6"/>
  <c r="BB180" i="6"/>
  <c r="BC233" i="6"/>
  <c r="BC84" i="6"/>
  <c r="BB64" i="6"/>
  <c r="BC175" i="6"/>
  <c r="BB262" i="6"/>
  <c r="BC169" i="6"/>
  <c r="BB235" i="6"/>
  <c r="BC87" i="6"/>
  <c r="BB222" i="6"/>
  <c r="BB251" i="6"/>
  <c r="BB244" i="6"/>
  <c r="BC264" i="6"/>
  <c r="BB78" i="6"/>
  <c r="BC66" i="6"/>
  <c r="BB177" i="6"/>
  <c r="BC137" i="6"/>
  <c r="BB207" i="6"/>
  <c r="BB179" i="6"/>
  <c r="BB74" i="6"/>
  <c r="BC256" i="6"/>
  <c r="BC210" i="6"/>
  <c r="BC167" i="6"/>
  <c r="BB160" i="6"/>
  <c r="BB188" i="6"/>
  <c r="BC139" i="6"/>
  <c r="BC98" i="6"/>
  <c r="BC174" i="6"/>
  <c r="BB165" i="6"/>
  <c r="BC176" i="6"/>
  <c r="BB259" i="6"/>
  <c r="BC149" i="6"/>
  <c r="BC183" i="6"/>
  <c r="BB76" i="6"/>
  <c r="BC221" i="6"/>
  <c r="BC115" i="6"/>
  <c r="BB232" i="6"/>
  <c r="BB135" i="6"/>
  <c r="BB195" i="6"/>
  <c r="BC161" i="6"/>
  <c r="BC205" i="6"/>
  <c r="BC218" i="6"/>
  <c r="BC93" i="6"/>
  <c r="BB243" i="6"/>
  <c r="BB249" i="6"/>
  <c r="BB85" i="6"/>
  <c r="BB108" i="6"/>
  <c r="BC94" i="6"/>
  <c r="BC147" i="6"/>
  <c r="BB164" i="6"/>
  <c r="BC79" i="6"/>
  <c r="BC144" i="6"/>
  <c r="BC226" i="6"/>
  <c r="BB151" i="6"/>
  <c r="BB140" i="6"/>
  <c r="BB154" i="6"/>
  <c r="BC158" i="6"/>
  <c r="BC208" i="6"/>
  <c r="BC198" i="6"/>
  <c r="BB173" i="6"/>
  <c r="BC229" i="6"/>
  <c r="BC231" i="6"/>
  <c r="BC107" i="6"/>
  <c r="BB104" i="6"/>
  <c r="BB131" i="6"/>
  <c r="BB223" i="6"/>
  <c r="BB196" i="6"/>
  <c r="BB125" i="6"/>
  <c r="BB143" i="6"/>
  <c r="BC263" i="6"/>
  <c r="BC82" i="6"/>
  <c r="BC225" i="6"/>
  <c r="BB86" i="6"/>
  <c r="BB260" i="6"/>
  <c r="BC141" i="6"/>
  <c r="BB236" i="6"/>
  <c r="G62" i="6"/>
  <c r="H62" i="6"/>
  <c r="G216" i="6"/>
  <c r="H198" i="6"/>
  <c r="BC246" i="6"/>
  <c r="H73" i="6"/>
  <c r="G73" i="6"/>
  <c r="G67" i="6"/>
  <c r="H67" i="6"/>
  <c r="H119" i="6"/>
  <c r="G119" i="6"/>
  <c r="BB102" i="6"/>
  <c r="BB97" i="6"/>
  <c r="BB112" i="6"/>
  <c r="H88" i="6"/>
  <c r="G88" i="6"/>
  <c r="BC214" i="6"/>
  <c r="BB81" i="6"/>
  <c r="BB238" i="6"/>
  <c r="BB250" i="6"/>
  <c r="BB213" i="6"/>
  <c r="BB216" i="6"/>
  <c r="G129" i="6"/>
  <c r="H225" i="6"/>
  <c r="G143" i="6"/>
  <c r="H143" i="6"/>
  <c r="G105" i="6"/>
  <c r="H105" i="6"/>
  <c r="G203" i="6"/>
  <c r="H203" i="6"/>
  <c r="G227" i="6"/>
  <c r="H227" i="6"/>
  <c r="H87" i="6"/>
  <c r="BC203" i="6"/>
  <c r="BB227" i="6"/>
  <c r="H155" i="6"/>
  <c r="G155" i="6"/>
  <c r="H153" i="6"/>
  <c r="G153" i="6"/>
  <c r="H171" i="6"/>
  <c r="G171" i="6"/>
  <c r="G56" i="6"/>
  <c r="H56" i="6"/>
  <c r="G83" i="6"/>
  <c r="H83" i="6"/>
  <c r="G71" i="6"/>
  <c r="H71" i="6"/>
  <c r="G49" i="6"/>
  <c r="H49" i="6"/>
  <c r="H79" i="6"/>
  <c r="G79" i="6"/>
  <c r="H194" i="6"/>
  <c r="G194" i="6"/>
  <c r="H249" i="6"/>
  <c r="G249" i="6"/>
  <c r="H233" i="6"/>
  <c r="G233" i="6"/>
  <c r="G127" i="6"/>
  <c r="H127" i="6"/>
  <c r="G78" i="6"/>
  <c r="H78" i="6"/>
  <c r="G159" i="6"/>
  <c r="H159" i="6"/>
  <c r="H215" i="6"/>
  <c r="G215" i="6"/>
  <c r="H135" i="6"/>
  <c r="G135" i="6"/>
  <c r="G117" i="6"/>
  <c r="H117" i="6"/>
  <c r="G109" i="6"/>
  <c r="H109" i="6"/>
  <c r="G241" i="6"/>
  <c r="H241" i="6"/>
  <c r="B67" i="1"/>
  <c r="K17" i="1" s="1"/>
  <c r="B66" i="1"/>
  <c r="D171" i="2"/>
  <c r="C171" i="2"/>
  <c r="B171" i="2"/>
  <c r="D170" i="2"/>
  <c r="C170" i="2"/>
  <c r="D169" i="2"/>
  <c r="C169" i="2"/>
  <c r="D168" i="2"/>
  <c r="C168" i="2"/>
  <c r="D167" i="2"/>
  <c r="C167" i="2"/>
  <c r="D166" i="2"/>
  <c r="C166" i="2"/>
  <c r="D165" i="2"/>
  <c r="C165" i="2"/>
  <c r="D164" i="2"/>
  <c r="C164" i="2"/>
  <c r="D163" i="2"/>
  <c r="C163" i="2"/>
  <c r="D162" i="2"/>
  <c r="C162" i="2"/>
  <c r="D161" i="2"/>
  <c r="C161" i="2"/>
  <c r="D160" i="2"/>
  <c r="C160" i="2"/>
  <c r="D159" i="2"/>
  <c r="C159" i="2"/>
  <c r="D158" i="2"/>
  <c r="C158" i="2"/>
  <c r="D157" i="2"/>
  <c r="C157" i="2"/>
  <c r="D156" i="2"/>
  <c r="C156" i="2"/>
  <c r="D155" i="2"/>
  <c r="C155" i="2"/>
  <c r="D154" i="2"/>
  <c r="C154" i="2"/>
  <c r="D153" i="2"/>
  <c r="C153" i="2"/>
  <c r="D152" i="2"/>
  <c r="C152" i="2"/>
  <c r="D151" i="2"/>
  <c r="C151" i="2"/>
  <c r="D150" i="2"/>
  <c r="C150" i="2"/>
  <c r="D149" i="2"/>
  <c r="C149" i="2"/>
  <c r="D148" i="2"/>
  <c r="C148" i="2"/>
  <c r="D147" i="2"/>
  <c r="C147" i="2"/>
  <c r="D146" i="2"/>
  <c r="C146" i="2"/>
  <c r="D145" i="2"/>
  <c r="C145" i="2"/>
  <c r="D144" i="2"/>
  <c r="C144" i="2"/>
  <c r="D143" i="2"/>
  <c r="C143" i="2"/>
  <c r="D142" i="2"/>
  <c r="C142" i="2"/>
  <c r="D141" i="2"/>
  <c r="C141" i="2"/>
  <c r="D140" i="2"/>
  <c r="C140" i="2"/>
  <c r="D139" i="2"/>
  <c r="C139" i="2"/>
  <c r="D138" i="2"/>
  <c r="C138" i="2"/>
  <c r="D137" i="2"/>
  <c r="C137" i="2"/>
  <c r="D136" i="2"/>
  <c r="C136" i="2"/>
  <c r="D135" i="2"/>
  <c r="C135" i="2"/>
  <c r="D134" i="2"/>
  <c r="C134" i="2"/>
  <c r="D133" i="2"/>
  <c r="C133" i="2"/>
  <c r="D132" i="2"/>
  <c r="C132" i="2"/>
  <c r="D131" i="2"/>
  <c r="C131" i="2"/>
  <c r="D130" i="2"/>
  <c r="C130" i="2"/>
  <c r="D129" i="2"/>
  <c r="C129" i="2"/>
  <c r="A129" i="2"/>
  <c r="D128" i="2"/>
  <c r="C128" i="2"/>
  <c r="B128" i="2"/>
  <c r="B121" i="2"/>
  <c r="B120" i="2"/>
  <c r="B113" i="2"/>
  <c r="B109" i="2"/>
  <c r="B108" i="2"/>
  <c r="B105" i="2"/>
  <c r="B111" i="2" s="1"/>
  <c r="A12" i="2"/>
  <c r="B9" i="2"/>
  <c r="B61" i="1"/>
  <c r="B50" i="1"/>
  <c r="B45" i="1"/>
  <c r="C73" i="2" l="1"/>
  <c r="C69" i="2"/>
  <c r="C65" i="2"/>
  <c r="C61" i="2"/>
  <c r="C57" i="2"/>
  <c r="C53" i="2"/>
  <c r="C49" i="2"/>
  <c r="C72" i="2"/>
  <c r="C68" i="2"/>
  <c r="C64" i="2"/>
  <c r="C60" i="2"/>
  <c r="C56" i="2"/>
  <c r="C52" i="2"/>
  <c r="C48" i="2"/>
  <c r="C71" i="2"/>
  <c r="C67" i="2"/>
  <c r="C63" i="2"/>
  <c r="C59" i="2"/>
  <c r="C55" i="2"/>
  <c r="C51" i="2"/>
  <c r="C47" i="2"/>
  <c r="C74" i="2"/>
  <c r="C70" i="2"/>
  <c r="C66" i="2"/>
  <c r="C62" i="2"/>
  <c r="C58" i="2"/>
  <c r="C54" i="2"/>
  <c r="C50" i="2"/>
  <c r="C46" i="2"/>
  <c r="B54" i="1"/>
  <c r="B55" i="1"/>
  <c r="B75" i="1"/>
  <c r="L18" i="1" s="1"/>
  <c r="A41" i="2"/>
  <c r="A33" i="2"/>
  <c r="A25" i="2"/>
  <c r="A17" i="2"/>
  <c r="A36" i="2"/>
  <c r="A28" i="2"/>
  <c r="A20" i="2"/>
  <c r="A35" i="2"/>
  <c r="A27" i="2"/>
  <c r="A19" i="2"/>
  <c r="A38" i="2"/>
  <c r="A34" i="2"/>
  <c r="A30" i="2"/>
  <c r="A26" i="2"/>
  <c r="A23" i="2"/>
  <c r="A18" i="2"/>
  <c r="A14" i="2"/>
  <c r="A37" i="2"/>
  <c r="A29" i="2"/>
  <c r="A21" i="2"/>
  <c r="A13" i="2"/>
  <c r="A40" i="2"/>
  <c r="A32" i="2"/>
  <c r="A24" i="2"/>
  <c r="A16" i="2"/>
  <c r="A39" i="2"/>
  <c r="A31" i="2"/>
  <c r="A22" i="2"/>
  <c r="A15" i="2"/>
  <c r="B43" i="1"/>
  <c r="E8" i="2"/>
  <c r="J248" i="6"/>
  <c r="K246" i="6"/>
  <c r="J245" i="6"/>
  <c r="R259" i="6"/>
  <c r="K243" i="6"/>
  <c r="K242" i="6"/>
  <c r="J240" i="6"/>
  <c r="K238" i="6"/>
  <c r="R251" i="6"/>
  <c r="J235" i="6"/>
  <c r="R249" i="6"/>
  <c r="J233" i="6"/>
  <c r="R247" i="6"/>
  <c r="K230" i="6"/>
  <c r="J229" i="6"/>
  <c r="R242" i="6"/>
  <c r="J226" i="6"/>
  <c r="R238" i="6"/>
  <c r="R236" i="6"/>
  <c r="J220" i="6"/>
  <c r="R234" i="6"/>
  <c r="J218" i="6"/>
  <c r="K216" i="6"/>
  <c r="K214" i="6"/>
  <c r="J213" i="6"/>
  <c r="J211" i="6"/>
  <c r="K209" i="6"/>
  <c r="K207" i="6"/>
  <c r="J206" i="6"/>
  <c r="K204" i="6"/>
  <c r="R217" i="6"/>
  <c r="R216" i="6"/>
  <c r="J200" i="6"/>
  <c r="R214" i="6"/>
  <c r="K198" i="6"/>
  <c r="R211" i="6"/>
  <c r="J195" i="6"/>
  <c r="K193" i="6"/>
  <c r="J192" i="6"/>
  <c r="J191" i="6"/>
  <c r="R205" i="6"/>
  <c r="J189" i="6"/>
  <c r="R203" i="6"/>
  <c r="K187" i="6"/>
  <c r="K185" i="6"/>
  <c r="J184" i="6"/>
  <c r="R198" i="6"/>
  <c r="K182" i="6"/>
  <c r="R196" i="6"/>
  <c r="J180" i="6"/>
  <c r="R194" i="6"/>
  <c r="J178" i="6"/>
  <c r="R192" i="6"/>
  <c r="K176" i="6"/>
  <c r="R190" i="6"/>
  <c r="J174" i="6"/>
  <c r="K173" i="6"/>
  <c r="J172" i="6"/>
  <c r="R186" i="6"/>
  <c r="K170" i="6"/>
  <c r="R184" i="6"/>
  <c r="K168" i="6"/>
  <c r="J166" i="6"/>
  <c r="R179" i="6"/>
  <c r="K163" i="6"/>
  <c r="J162" i="6"/>
  <c r="K161" i="6"/>
  <c r="R174" i="6"/>
  <c r="K157" i="6"/>
  <c r="J156" i="6"/>
  <c r="R170" i="6"/>
  <c r="K154" i="6"/>
  <c r="R168" i="6"/>
  <c r="J152" i="6"/>
  <c r="J150" i="6"/>
  <c r="R164" i="6"/>
  <c r="K148" i="6"/>
  <c r="R162" i="6"/>
  <c r="K145" i="6"/>
  <c r="K143" i="6"/>
  <c r="K249" i="6"/>
  <c r="R263" i="6"/>
  <c r="K247" i="6"/>
  <c r="R260" i="6"/>
  <c r="J244" i="6"/>
  <c r="K241" i="6"/>
  <c r="R255" i="6"/>
  <c r="K239" i="6"/>
  <c r="K237" i="6"/>
  <c r="J236" i="6"/>
  <c r="R250" i="6"/>
  <c r="J234" i="6"/>
  <c r="R248" i="6"/>
  <c r="J232" i="6"/>
  <c r="K231" i="6"/>
  <c r="R244" i="6"/>
  <c r="K228" i="6"/>
  <c r="J227" i="6"/>
  <c r="R241" i="6"/>
  <c r="K225" i="6"/>
  <c r="K224" i="6"/>
  <c r="J223" i="6"/>
  <c r="K222" i="6"/>
  <c r="J221" i="6"/>
  <c r="R235" i="6"/>
  <c r="J219" i="6"/>
  <c r="R233" i="6"/>
  <c r="K217" i="6"/>
  <c r="K215" i="6"/>
  <c r="R228" i="6"/>
  <c r="K212" i="6"/>
  <c r="R226" i="6"/>
  <c r="K210" i="6"/>
  <c r="K208" i="6"/>
  <c r="R221" i="6"/>
  <c r="K205" i="6"/>
  <c r="K203" i="6"/>
  <c r="J202" i="6"/>
  <c r="J201" i="6"/>
  <c r="R215" i="6"/>
  <c r="J199" i="6"/>
  <c r="K197" i="6"/>
  <c r="J196" i="6"/>
  <c r="R210" i="6"/>
  <c r="K194" i="6"/>
  <c r="R207" i="6"/>
  <c r="R206" i="6"/>
  <c r="J190" i="6"/>
  <c r="R204" i="6"/>
  <c r="J188" i="6"/>
  <c r="K186" i="6"/>
  <c r="R199" i="6"/>
  <c r="J183" i="6"/>
  <c r="J181" i="6"/>
  <c r="R195" i="6"/>
  <c r="J179" i="6"/>
  <c r="R193" i="6"/>
  <c r="J177" i="6"/>
  <c r="J175" i="6"/>
  <c r="R189" i="6"/>
  <c r="R187" i="6"/>
  <c r="J171" i="6"/>
  <c r="J169" i="6"/>
  <c r="K167" i="6"/>
  <c r="R181" i="6"/>
  <c r="K165" i="6"/>
  <c r="J164" i="6"/>
  <c r="R177" i="6"/>
  <c r="K160" i="6"/>
  <c r="J159" i="6"/>
  <c r="K158" i="6"/>
  <c r="R171" i="6"/>
  <c r="J155" i="6"/>
  <c r="J153" i="6"/>
  <c r="R167" i="6"/>
  <c r="K151" i="6"/>
  <c r="R165" i="6"/>
  <c r="J149" i="6"/>
  <c r="J147" i="6"/>
  <c r="K146" i="6"/>
  <c r="K144" i="6"/>
  <c r="R157" i="6"/>
  <c r="J141" i="6"/>
  <c r="K140" i="6"/>
  <c r="J138" i="6"/>
  <c r="J246" i="6"/>
  <c r="J239" i="6"/>
  <c r="R253" i="6"/>
  <c r="J230" i="6"/>
  <c r="K227" i="6"/>
  <c r="K226" i="6"/>
  <c r="R239" i="6"/>
  <c r="R232" i="6"/>
  <c r="J214" i="6"/>
  <c r="J210" i="6"/>
  <c r="R224" i="6"/>
  <c r="K206" i="6"/>
  <c r="J203" i="6"/>
  <c r="R213" i="6"/>
  <c r="R209" i="6"/>
  <c r="J186" i="6"/>
  <c r="R200" i="6"/>
  <c r="J182" i="6"/>
  <c r="R191" i="6"/>
  <c r="K175" i="6"/>
  <c r="K174" i="6"/>
  <c r="J173" i="6"/>
  <c r="J168" i="6"/>
  <c r="R182" i="6"/>
  <c r="K166" i="6"/>
  <c r="R178" i="6"/>
  <c r="K159" i="6"/>
  <c r="J158" i="6"/>
  <c r="R172" i="6"/>
  <c r="J154" i="6"/>
  <c r="R166" i="6"/>
  <c r="K150" i="6"/>
  <c r="K149" i="6"/>
  <c r="R161" i="6"/>
  <c r="J143" i="6"/>
  <c r="K139" i="6"/>
  <c r="R153" i="6"/>
  <c r="K136" i="6"/>
  <c r="R149" i="6"/>
  <c r="J133" i="6"/>
  <c r="K132" i="6"/>
  <c r="K130" i="6"/>
  <c r="J128" i="6"/>
  <c r="R142" i="6"/>
  <c r="J126" i="6"/>
  <c r="R140" i="6"/>
  <c r="J124" i="6"/>
  <c r="R138" i="6"/>
  <c r="J122" i="6"/>
  <c r="R136" i="6"/>
  <c r="K120" i="6"/>
  <c r="J119" i="6"/>
  <c r="K118" i="6"/>
  <c r="R132" i="6"/>
  <c r="J116" i="6"/>
  <c r="R130" i="6"/>
  <c r="J114" i="6"/>
  <c r="R128" i="6"/>
  <c r="K112" i="6"/>
  <c r="J111" i="6"/>
  <c r="K110" i="6"/>
  <c r="R124" i="6"/>
  <c r="J108" i="6"/>
  <c r="R122" i="6"/>
  <c r="J106" i="6"/>
  <c r="R120" i="6"/>
  <c r="K104" i="6"/>
  <c r="J103" i="6"/>
  <c r="K102" i="6"/>
  <c r="R116" i="6"/>
  <c r="J100" i="6"/>
  <c r="R114" i="6"/>
  <c r="J98" i="6"/>
  <c r="R112" i="6"/>
  <c r="K96" i="6"/>
  <c r="J95" i="6"/>
  <c r="K94" i="6"/>
  <c r="R108" i="6"/>
  <c r="J92" i="6"/>
  <c r="R106" i="6"/>
  <c r="J90" i="6"/>
  <c r="R104" i="6"/>
  <c r="K88" i="6"/>
  <c r="J87" i="6"/>
  <c r="K86" i="6"/>
  <c r="J249" i="6"/>
  <c r="R262" i="6"/>
  <c r="R258" i="6"/>
  <c r="J242" i="6"/>
  <c r="R256" i="6"/>
  <c r="K240" i="6"/>
  <c r="J237" i="6"/>
  <c r="R246" i="6"/>
  <c r="R243" i="6"/>
  <c r="J225" i="6"/>
  <c r="K223" i="6"/>
  <c r="J222" i="6"/>
  <c r="J216" i="6"/>
  <c r="R230" i="6"/>
  <c r="R227" i="6"/>
  <c r="K211" i="6"/>
  <c r="J208" i="6"/>
  <c r="R222" i="6"/>
  <c r="J205" i="6"/>
  <c r="R219" i="6"/>
  <c r="J197" i="6"/>
  <c r="J193" i="6"/>
  <c r="R202" i="6"/>
  <c r="K184" i="6"/>
  <c r="K183" i="6"/>
  <c r="R185" i="6"/>
  <c r="K169" i="6"/>
  <c r="J165" i="6"/>
  <c r="K162" i="6"/>
  <c r="J161" i="6"/>
  <c r="R175" i="6"/>
  <c r="K156" i="6"/>
  <c r="K155" i="6"/>
  <c r="J148" i="6"/>
  <c r="J145" i="6"/>
  <c r="R159" i="6"/>
  <c r="J142" i="6"/>
  <c r="R156" i="6"/>
  <c r="R155" i="6"/>
  <c r="K137" i="6"/>
  <c r="K135" i="6"/>
  <c r="J134" i="6"/>
  <c r="R148" i="6"/>
  <c r="K131" i="6"/>
  <c r="K129" i="6"/>
  <c r="R143" i="6"/>
  <c r="J127" i="6"/>
  <c r="R141" i="6"/>
  <c r="J125" i="6"/>
  <c r="R139" i="6"/>
  <c r="J123" i="6"/>
  <c r="R137" i="6"/>
  <c r="J121" i="6"/>
  <c r="R134" i="6"/>
  <c r="J117" i="6"/>
  <c r="R131" i="6"/>
  <c r="J115" i="6"/>
  <c r="R129" i="6"/>
  <c r="J113" i="6"/>
  <c r="R126" i="6"/>
  <c r="J109" i="6"/>
  <c r="R123" i="6"/>
  <c r="J107" i="6"/>
  <c r="R121" i="6"/>
  <c r="J105" i="6"/>
  <c r="R118" i="6"/>
  <c r="J101" i="6"/>
  <c r="R115" i="6"/>
  <c r="J99" i="6"/>
  <c r="R113" i="6"/>
  <c r="J97" i="6"/>
  <c r="R110" i="6"/>
  <c r="J93" i="6"/>
  <c r="R107" i="6"/>
  <c r="J91" i="6"/>
  <c r="R105" i="6"/>
  <c r="J89" i="6"/>
  <c r="R102" i="6"/>
  <c r="J85" i="6"/>
  <c r="R99" i="6"/>
  <c r="J83" i="6"/>
  <c r="R97" i="6"/>
  <c r="J81" i="6"/>
  <c r="R94" i="6"/>
  <c r="J77" i="6"/>
  <c r="R91" i="6"/>
  <c r="J75" i="6"/>
  <c r="R89" i="6"/>
  <c r="J73" i="6"/>
  <c r="R86" i="6"/>
  <c r="J69" i="6"/>
  <c r="K248" i="6"/>
  <c r="R254" i="6"/>
  <c r="J238" i="6"/>
  <c r="R252" i="6"/>
  <c r="J231" i="6"/>
  <c r="R245" i="6"/>
  <c r="J224" i="6"/>
  <c r="K221" i="6"/>
  <c r="K220" i="6"/>
  <c r="K219" i="6"/>
  <c r="K218" i="6"/>
  <c r="K202" i="6"/>
  <c r="K196" i="6"/>
  <c r="K195" i="6"/>
  <c r="K191" i="6"/>
  <c r="K190" i="6"/>
  <c r="K189" i="6"/>
  <c r="K188" i="6"/>
  <c r="K181" i="6"/>
  <c r="K180" i="6"/>
  <c r="K179" i="6"/>
  <c r="K178" i="6"/>
  <c r="K177" i="6"/>
  <c r="K153" i="6"/>
  <c r="K152" i="6"/>
  <c r="J135" i="6"/>
  <c r="R147" i="6"/>
  <c r="J129" i="6"/>
  <c r="R135" i="6"/>
  <c r="K111" i="6"/>
  <c r="J110" i="6"/>
  <c r="R119" i="6"/>
  <c r="K95" i="6"/>
  <c r="J94" i="6"/>
  <c r="R103" i="6"/>
  <c r="K83" i="6"/>
  <c r="K82" i="6"/>
  <c r="K80" i="6"/>
  <c r="J78" i="6"/>
  <c r="K77" i="6"/>
  <c r="K76" i="6"/>
  <c r="K73" i="6"/>
  <c r="K71" i="6"/>
  <c r="R85" i="6"/>
  <c r="K68" i="6"/>
  <c r="K66" i="6"/>
  <c r="R80" i="6"/>
  <c r="J64" i="6"/>
  <c r="R78" i="6"/>
  <c r="J61" i="6"/>
  <c r="J60" i="6"/>
  <c r="R74" i="6"/>
  <c r="J57" i="6"/>
  <c r="R71" i="6"/>
  <c r="J55" i="6"/>
  <c r="K54" i="6"/>
  <c r="R68" i="6"/>
  <c r="R67" i="6"/>
  <c r="J51" i="6"/>
  <c r="K50" i="6"/>
  <c r="R64" i="6"/>
  <c r="R264" i="6"/>
  <c r="J247" i="6"/>
  <c r="R261" i="6"/>
  <c r="R257" i="6"/>
  <c r="J241" i="6"/>
  <c r="K236" i="6"/>
  <c r="K235" i="6"/>
  <c r="K234" i="6"/>
  <c r="K233" i="6"/>
  <c r="K232" i="6"/>
  <c r="K229" i="6"/>
  <c r="J217" i="6"/>
  <c r="R231" i="6"/>
  <c r="J215" i="6"/>
  <c r="R229" i="6"/>
  <c r="J194" i="6"/>
  <c r="R208" i="6"/>
  <c r="J187" i="6"/>
  <c r="R201" i="6"/>
  <c r="J185" i="6"/>
  <c r="R197" i="6"/>
  <c r="J176" i="6"/>
  <c r="R188" i="6"/>
  <c r="R180" i="6"/>
  <c r="R173" i="6"/>
  <c r="J157" i="6"/>
  <c r="R169" i="6"/>
  <c r="J151" i="6"/>
  <c r="J146" i="6"/>
  <c r="R160" i="6"/>
  <c r="J144" i="6"/>
  <c r="R158" i="6"/>
  <c r="K138" i="6"/>
  <c r="K134" i="6"/>
  <c r="J132" i="6"/>
  <c r="R146" i="6"/>
  <c r="K117" i="6"/>
  <c r="K115" i="6"/>
  <c r="K113" i="6"/>
  <c r="R117" i="6"/>
  <c r="K100" i="6"/>
  <c r="K97" i="6"/>
  <c r="J88" i="6"/>
  <c r="R100" i="6"/>
  <c r="J80" i="6"/>
  <c r="J76" i="6"/>
  <c r="R87" i="6"/>
  <c r="R84" i="6"/>
  <c r="R82" i="6"/>
  <c r="K63" i="6"/>
  <c r="K59" i="6"/>
  <c r="K56" i="6"/>
  <c r="K52" i="6"/>
  <c r="J50" i="6"/>
  <c r="K49" i="6"/>
  <c r="C9" i="6"/>
  <c r="K245" i="6"/>
  <c r="K244" i="6"/>
  <c r="J228" i="6"/>
  <c r="R240" i="6"/>
  <c r="K213" i="6"/>
  <c r="R225" i="6"/>
  <c r="J209" i="6"/>
  <c r="R223" i="6"/>
  <c r="J207" i="6"/>
  <c r="K201" i="6"/>
  <c r="K200" i="6"/>
  <c r="K199" i="6"/>
  <c r="K192" i="6"/>
  <c r="K172" i="6"/>
  <c r="K171" i="6"/>
  <c r="R183" i="6"/>
  <c r="J167" i="6"/>
  <c r="K164" i="6"/>
  <c r="R176" i="6"/>
  <c r="J160" i="6"/>
  <c r="K147" i="6"/>
  <c r="K142" i="6"/>
  <c r="K141" i="6"/>
  <c r="J139" i="6"/>
  <c r="J137" i="6"/>
  <c r="R151" i="6"/>
  <c r="J131" i="6"/>
  <c r="R145" i="6"/>
  <c r="K119" i="6"/>
  <c r="J118" i="6"/>
  <c r="R127" i="6"/>
  <c r="K103" i="6"/>
  <c r="J102" i="6"/>
  <c r="R111" i="6"/>
  <c r="K87" i="6"/>
  <c r="J86" i="6"/>
  <c r="K85" i="6"/>
  <c r="K84" i="6"/>
  <c r="K81" i="6"/>
  <c r="K79" i="6"/>
  <c r="R93" i="6"/>
  <c r="K75" i="6"/>
  <c r="K74" i="6"/>
  <c r="K72" i="6"/>
  <c r="J70" i="6"/>
  <c r="K69" i="6"/>
  <c r="K67" i="6"/>
  <c r="J65" i="6"/>
  <c r="R79" i="6"/>
  <c r="J63" i="6"/>
  <c r="K62" i="6"/>
  <c r="R76" i="6"/>
  <c r="R75" i="6"/>
  <c r="J59" i="6"/>
  <c r="K58" i="6"/>
  <c r="R72" i="6"/>
  <c r="J56" i="6"/>
  <c r="R70" i="6"/>
  <c r="J53" i="6"/>
  <c r="J52" i="6"/>
  <c r="R66" i="6"/>
  <c r="J49" i="6"/>
  <c r="J243" i="6"/>
  <c r="R237" i="6"/>
  <c r="J212" i="6"/>
  <c r="R220" i="6"/>
  <c r="J204" i="6"/>
  <c r="R218" i="6"/>
  <c r="J198" i="6"/>
  <c r="R212" i="6"/>
  <c r="J170" i="6"/>
  <c r="J163" i="6"/>
  <c r="R163" i="6"/>
  <c r="J136" i="6"/>
  <c r="R150" i="6"/>
  <c r="J130" i="6"/>
  <c r="R144" i="6"/>
  <c r="K128" i="6"/>
  <c r="K127" i="6"/>
  <c r="K126" i="6"/>
  <c r="K125" i="6"/>
  <c r="K124" i="6"/>
  <c r="K123" i="6"/>
  <c r="K122" i="6"/>
  <c r="K121" i="6"/>
  <c r="J112" i="6"/>
  <c r="R125" i="6"/>
  <c r="K109" i="6"/>
  <c r="K108" i="6"/>
  <c r="K107" i="6"/>
  <c r="K106" i="6"/>
  <c r="K105" i="6"/>
  <c r="J96" i="6"/>
  <c r="R109" i="6"/>
  <c r="K93" i="6"/>
  <c r="K92" i="6"/>
  <c r="K91" i="6"/>
  <c r="K90" i="6"/>
  <c r="K89" i="6"/>
  <c r="J84" i="6"/>
  <c r="R98" i="6"/>
  <c r="R95" i="6"/>
  <c r="J79" i="6"/>
  <c r="K78" i="6"/>
  <c r="R92" i="6"/>
  <c r="J74" i="6"/>
  <c r="R88" i="6"/>
  <c r="J72" i="6"/>
  <c r="R83" i="6"/>
  <c r="J67" i="6"/>
  <c r="R81" i="6"/>
  <c r="K64" i="6"/>
  <c r="J62" i="6"/>
  <c r="K61" i="6"/>
  <c r="K60" i="6"/>
  <c r="J58" i="6"/>
  <c r="K57" i="6"/>
  <c r="K55" i="6"/>
  <c r="R69" i="6"/>
  <c r="K51" i="6"/>
  <c r="R65" i="6"/>
  <c r="J140" i="6"/>
  <c r="R154" i="6"/>
  <c r="R152" i="6"/>
  <c r="K133" i="6"/>
  <c r="J120" i="6"/>
  <c r="R133" i="6"/>
  <c r="K116" i="6"/>
  <c r="K114" i="6"/>
  <c r="J104" i="6"/>
  <c r="K101" i="6"/>
  <c r="K99" i="6"/>
  <c r="K98" i="6"/>
  <c r="R101" i="6"/>
  <c r="J82" i="6"/>
  <c r="R96" i="6"/>
  <c r="R90" i="6"/>
  <c r="J71" i="6"/>
  <c r="K70" i="6"/>
  <c r="J68" i="6"/>
  <c r="J66" i="6"/>
  <c r="K65" i="6"/>
  <c r="R77" i="6"/>
  <c r="R73" i="6"/>
  <c r="J54" i="6"/>
  <c r="K53" i="6"/>
  <c r="B70" i="1"/>
  <c r="B69" i="1"/>
  <c r="I9" i="2"/>
  <c r="G128" i="2"/>
  <c r="O128" i="2"/>
  <c r="N128" i="2"/>
  <c r="J128" i="2"/>
  <c r="P171" i="2"/>
  <c r="H171" i="2"/>
  <c r="J171" i="2"/>
  <c r="O171" i="2"/>
  <c r="G171" i="2"/>
  <c r="N171" i="2"/>
  <c r="L168" i="2"/>
  <c r="L164" i="2"/>
  <c r="L160" i="2"/>
  <c r="L156" i="2"/>
  <c r="L152" i="2"/>
  <c r="L148" i="2"/>
  <c r="L144" i="2"/>
  <c r="L140" i="2"/>
  <c r="L136" i="2"/>
  <c r="L132" i="2"/>
  <c r="L134" i="2"/>
  <c r="L171" i="2"/>
  <c r="L163" i="2"/>
  <c r="L155" i="2"/>
  <c r="L147" i="2"/>
  <c r="L139" i="2"/>
  <c r="L131" i="2"/>
  <c r="L169" i="2"/>
  <c r="L165" i="2"/>
  <c r="L161" i="2"/>
  <c r="L157" i="2"/>
  <c r="L153" i="2"/>
  <c r="L149" i="2"/>
  <c r="L145" i="2"/>
  <c r="L141" i="2"/>
  <c r="L137" i="2"/>
  <c r="L133" i="2"/>
  <c r="L129" i="2"/>
  <c r="L170" i="2"/>
  <c r="L166" i="2"/>
  <c r="L162" i="2"/>
  <c r="L158" i="2"/>
  <c r="L154" i="2"/>
  <c r="L150" i="2"/>
  <c r="L146" i="2"/>
  <c r="L142" i="2"/>
  <c r="L138" i="2"/>
  <c r="L130" i="2"/>
  <c r="L167" i="2"/>
  <c r="L159" i="2"/>
  <c r="L151" i="2"/>
  <c r="L143" i="2"/>
  <c r="L135" i="2"/>
  <c r="L128" i="2"/>
  <c r="E128" i="2"/>
  <c r="E134" i="2"/>
  <c r="E148" i="2"/>
  <c r="E163" i="2"/>
  <c r="E160" i="2"/>
  <c r="E156" i="2"/>
  <c r="E135" i="2"/>
  <c r="E143" i="2"/>
  <c r="E171" i="2"/>
  <c r="E130" i="2"/>
  <c r="E144" i="2"/>
  <c r="E152" i="2"/>
  <c r="E167" i="2"/>
  <c r="E129" i="2"/>
  <c r="E131" i="2"/>
  <c r="E139" i="2"/>
  <c r="E141" i="2"/>
  <c r="E140" i="2"/>
  <c r="E161" i="2"/>
  <c r="B44" i="1"/>
  <c r="E145" i="2"/>
  <c r="B110" i="2"/>
  <c r="E147" i="2"/>
  <c r="E151" i="2"/>
  <c r="E155" i="2"/>
  <c r="E157" i="2"/>
  <c r="B76" i="1"/>
  <c r="K18" i="1" s="1"/>
  <c r="E132" i="2"/>
  <c r="E136" i="2"/>
  <c r="E159" i="2"/>
  <c r="E164" i="2"/>
  <c r="E168" i="2"/>
  <c r="E133" i="2"/>
  <c r="E149" i="2"/>
  <c r="E165" i="2"/>
  <c r="B80" i="1"/>
  <c r="K19" i="1" s="1"/>
  <c r="E137" i="2"/>
  <c r="E153" i="2"/>
  <c r="E169" i="2"/>
  <c r="A130" i="2"/>
  <c r="B129" i="2"/>
  <c r="F171" i="2"/>
  <c r="P128" i="2"/>
  <c r="H128" i="2"/>
  <c r="F128" i="2"/>
  <c r="E142" i="2"/>
  <c r="E146" i="2"/>
  <c r="E150" i="2"/>
  <c r="E154" i="2"/>
  <c r="E158" i="2"/>
  <c r="E162" i="2"/>
  <c r="E166" i="2"/>
  <c r="E170" i="2"/>
  <c r="E138" i="2"/>
  <c r="A45" i="2" l="1"/>
  <c r="B45" i="2" s="1"/>
  <c r="F12" i="2" s="1"/>
  <c r="A71" i="2"/>
  <c r="A67" i="2"/>
  <c r="A63" i="2"/>
  <c r="B63" i="2" s="1"/>
  <c r="A59" i="2"/>
  <c r="B59" i="2" s="1"/>
  <c r="A55" i="2"/>
  <c r="B55" i="2" s="1"/>
  <c r="A51" i="2"/>
  <c r="B51" i="2" s="1"/>
  <c r="A47" i="2"/>
  <c r="B47" i="2" s="1"/>
  <c r="A74" i="2"/>
  <c r="B74" i="2" s="1"/>
  <c r="A70" i="2"/>
  <c r="B70" i="2" s="1"/>
  <c r="A66" i="2"/>
  <c r="A62" i="2"/>
  <c r="B62" i="2" s="1"/>
  <c r="A58" i="2"/>
  <c r="B58" i="2" s="1"/>
  <c r="A54" i="2"/>
  <c r="B54" i="2" s="1"/>
  <c r="A50" i="2"/>
  <c r="B50" i="2" s="1"/>
  <c r="A46" i="2"/>
  <c r="B46" i="2" s="1"/>
  <c r="A73" i="2"/>
  <c r="B73" i="2" s="1"/>
  <c r="A69" i="2"/>
  <c r="A65" i="2"/>
  <c r="A61" i="2"/>
  <c r="B61" i="2" s="1"/>
  <c r="A57" i="2"/>
  <c r="B57" i="2" s="1"/>
  <c r="A53" i="2"/>
  <c r="B53" i="2" s="1"/>
  <c r="A49" i="2"/>
  <c r="B49" i="2" s="1"/>
  <c r="A72" i="2"/>
  <c r="B72" i="2" s="1"/>
  <c r="A68" i="2"/>
  <c r="B68" i="2" s="1"/>
  <c r="A64" i="2"/>
  <c r="A60" i="2"/>
  <c r="B60" i="2" s="1"/>
  <c r="A56" i="2"/>
  <c r="A52" i="2"/>
  <c r="B52" i="2" s="1"/>
  <c r="A48" i="2"/>
  <c r="B48" i="2" s="1"/>
  <c r="B72" i="1"/>
  <c r="L17" i="1"/>
  <c r="L138" i="6"/>
  <c r="L53" i="6"/>
  <c r="L95" i="6"/>
  <c r="L211" i="6"/>
  <c r="L61" i="6"/>
  <c r="L90" i="6"/>
  <c r="L62" i="6"/>
  <c r="L54" i="6"/>
  <c r="L110" i="6"/>
  <c r="L162" i="6"/>
  <c r="L57" i="6"/>
  <c r="L93" i="6"/>
  <c r="L105" i="6"/>
  <c r="L234" i="6"/>
  <c r="L225" i="6"/>
  <c r="L191" i="6"/>
  <c r="L176" i="6"/>
  <c r="L166" i="6"/>
  <c r="L246" i="6"/>
  <c r="L224" i="6"/>
  <c r="L215" i="6"/>
  <c r="L203" i="6"/>
  <c r="L179" i="6"/>
  <c r="L163" i="6"/>
  <c r="L240" i="6"/>
  <c r="L209" i="6"/>
  <c r="L184" i="6"/>
  <c r="L154" i="6"/>
  <c r="L142" i="6"/>
  <c r="L242" i="6"/>
  <c r="L231" i="6"/>
  <c r="L202" i="6"/>
  <c r="L180" i="6"/>
  <c r="L139" i="6"/>
  <c r="L129" i="6"/>
  <c r="L119" i="6"/>
  <c r="L169" i="6"/>
  <c r="L151" i="6"/>
  <c r="L126" i="6"/>
  <c r="L94" i="6"/>
  <c r="L85" i="6"/>
  <c r="L248" i="6"/>
  <c r="L181" i="6"/>
  <c r="L125" i="6"/>
  <c r="L113" i="6"/>
  <c r="L108" i="6"/>
  <c r="L81" i="6"/>
  <c r="L76" i="6"/>
  <c r="L65" i="6"/>
  <c r="L78" i="6"/>
  <c r="L103" i="6"/>
  <c r="L186" i="6"/>
  <c r="L97" i="6"/>
  <c r="L232" i="6"/>
  <c r="L188" i="6"/>
  <c r="L160" i="6"/>
  <c r="L223" i="6"/>
  <c r="L197" i="6"/>
  <c r="L159" i="6"/>
  <c r="L204" i="6"/>
  <c r="L148" i="6"/>
  <c r="L238" i="6"/>
  <c r="L200" i="6"/>
  <c r="L136" i="6"/>
  <c r="L117" i="6"/>
  <c r="L145" i="6"/>
  <c r="L89" i="6"/>
  <c r="L227" i="6"/>
  <c r="L122" i="6"/>
  <c r="L106" i="6"/>
  <c r="L74" i="6"/>
  <c r="L92" i="6"/>
  <c r="L212" i="6"/>
  <c r="L50" i="6"/>
  <c r="L71" i="6"/>
  <c r="L150" i="6"/>
  <c r="L135" i="6"/>
  <c r="L124" i="6"/>
  <c r="L201" i="6"/>
  <c r="L173" i="6"/>
  <c r="L241" i="6"/>
  <c r="L206" i="6"/>
  <c r="L172" i="6"/>
  <c r="L228" i="6"/>
  <c r="L167" i="6"/>
  <c r="L115" i="6"/>
  <c r="L218" i="6"/>
  <c r="L161" i="6"/>
  <c r="L121" i="6"/>
  <c r="L156" i="6"/>
  <c r="L143" i="6"/>
  <c r="L88" i="6"/>
  <c r="L193" i="6"/>
  <c r="L118" i="6"/>
  <c r="L91" i="6"/>
  <c r="L64" i="6"/>
  <c r="L96" i="6"/>
  <c r="L100" i="6"/>
  <c r="L226" i="6"/>
  <c r="L141" i="6"/>
  <c r="L83" i="6"/>
  <c r="L49" i="6"/>
  <c r="L199" i="6"/>
  <c r="L170" i="6"/>
  <c r="L235" i="6"/>
  <c r="L205" i="6"/>
  <c r="L171" i="6"/>
  <c r="L210" i="6"/>
  <c r="L55" i="6"/>
  <c r="L216" i="6"/>
  <c r="L63" i="6"/>
  <c r="L137" i="6"/>
  <c r="L104" i="6"/>
  <c r="L58" i="6"/>
  <c r="L127" i="6"/>
  <c r="L196" i="6"/>
  <c r="L249" i="6"/>
  <c r="L59" i="6"/>
  <c r="L107" i="6"/>
  <c r="L208" i="6"/>
  <c r="L174" i="6"/>
  <c r="L245" i="6"/>
  <c r="L207" i="6"/>
  <c r="L175" i="6"/>
  <c r="L233" i="6"/>
  <c r="L168" i="6"/>
  <c r="L130" i="6"/>
  <c r="L222" i="6"/>
  <c r="L165" i="6"/>
  <c r="L128" i="6"/>
  <c r="L164" i="6"/>
  <c r="L123" i="6"/>
  <c r="L84" i="6"/>
  <c r="L152" i="6"/>
  <c r="L112" i="6"/>
  <c r="L80" i="6"/>
  <c r="L66" i="6"/>
  <c r="L146" i="6"/>
  <c r="L70" i="6"/>
  <c r="L178" i="6"/>
  <c r="L60" i="6"/>
  <c r="L221" i="6"/>
  <c r="C12" i="6"/>
  <c r="L67" i="6"/>
  <c r="L101" i="6"/>
  <c r="L230" i="6"/>
  <c r="L187" i="6"/>
  <c r="L149" i="6"/>
  <c r="L219" i="6"/>
  <c r="L195" i="6"/>
  <c r="L158" i="6"/>
  <c r="L198" i="6"/>
  <c r="L147" i="6"/>
  <c r="L237" i="6"/>
  <c r="L192" i="6"/>
  <c r="L134" i="6"/>
  <c r="L239" i="6"/>
  <c r="L114" i="6"/>
  <c r="L82" i="6"/>
  <c r="L140" i="6"/>
  <c r="L111" i="6"/>
  <c r="L79" i="6"/>
  <c r="L68" i="6"/>
  <c r="L177" i="6"/>
  <c r="L52" i="6"/>
  <c r="L75" i="6"/>
  <c r="L220" i="6"/>
  <c r="L73" i="6"/>
  <c r="L51" i="6"/>
  <c r="L102" i="6"/>
  <c r="L229" i="6"/>
  <c r="L185" i="6"/>
  <c r="L247" i="6"/>
  <c r="L217" i="6"/>
  <c r="L194" i="6"/>
  <c r="L244" i="6"/>
  <c r="L243" i="6"/>
  <c r="L155" i="6"/>
  <c r="L153" i="6"/>
  <c r="L69" i="6"/>
  <c r="L109" i="6"/>
  <c r="L72" i="6"/>
  <c r="L213" i="6"/>
  <c r="L133" i="6"/>
  <c r="L183" i="6"/>
  <c r="L144" i="6"/>
  <c r="L214" i="6"/>
  <c r="L116" i="6"/>
  <c r="L189" i="6"/>
  <c r="L236" i="6"/>
  <c r="L132" i="6"/>
  <c r="L131" i="6"/>
  <c r="L190" i="6"/>
  <c r="L86" i="6"/>
  <c r="L98" i="6"/>
  <c r="L157" i="6"/>
  <c r="L120" i="6"/>
  <c r="L99" i="6"/>
  <c r="L77" i="6"/>
  <c r="L182" i="6"/>
  <c r="L87" i="6"/>
  <c r="L56" i="6"/>
  <c r="N129" i="2"/>
  <c r="J129" i="2"/>
  <c r="O129" i="2"/>
  <c r="H129" i="2"/>
  <c r="G129" i="2"/>
  <c r="P129" i="2"/>
  <c r="B77" i="1"/>
  <c r="F129" i="2"/>
  <c r="A131" i="2"/>
  <c r="B130" i="2"/>
  <c r="B112" i="2" l="1"/>
  <c r="B117" i="2"/>
  <c r="B67" i="2"/>
  <c r="F34" i="2" s="1"/>
  <c r="B64" i="2"/>
  <c r="F31" i="2" s="1"/>
  <c r="B69" i="2"/>
  <c r="F36" i="2" s="1"/>
  <c r="B71" i="2"/>
  <c r="F38" i="2" s="1"/>
  <c r="B56" i="2"/>
  <c r="F23" i="2" s="1"/>
  <c r="B65" i="2"/>
  <c r="F32" i="2" s="1"/>
  <c r="B66" i="2"/>
  <c r="F33" i="2" s="1"/>
  <c r="F14" i="2"/>
  <c r="F30" i="2"/>
  <c r="F27" i="2"/>
  <c r="F20" i="2"/>
  <c r="B125" i="2"/>
  <c r="F19" i="2"/>
  <c r="F37" i="2"/>
  <c r="F25" i="2"/>
  <c r="F39" i="2"/>
  <c r="F26" i="2"/>
  <c r="F15" i="2"/>
  <c r="F29" i="2"/>
  <c r="F40" i="2"/>
  <c r="F24" i="2"/>
  <c r="F18" i="2"/>
  <c r="F28" i="2"/>
  <c r="F16" i="2"/>
  <c r="F13" i="2"/>
  <c r="F22" i="2"/>
  <c r="F17" i="2"/>
  <c r="M247" i="6"/>
  <c r="T262" i="6" s="1"/>
  <c r="U262" i="6" s="1"/>
  <c r="V262" i="6" s="1"/>
  <c r="CB262" i="6" s="1"/>
  <c r="M235" i="6"/>
  <c r="T250" i="6" s="1"/>
  <c r="U250" i="6" s="1"/>
  <c r="V250" i="6" s="1"/>
  <c r="CB250" i="6" s="1"/>
  <c r="M217" i="6"/>
  <c r="N217" i="6" s="1"/>
  <c r="O232" i="6" s="1"/>
  <c r="P232" i="6" s="1"/>
  <c r="X232" i="6" s="1"/>
  <c r="M205" i="6"/>
  <c r="N205" i="6" s="1"/>
  <c r="O220" i="6" s="1"/>
  <c r="P220" i="6" s="1"/>
  <c r="X220" i="6" s="1"/>
  <c r="M194" i="6"/>
  <c r="N194" i="6" s="1"/>
  <c r="O209" i="6" s="1"/>
  <c r="P209" i="6" s="1"/>
  <c r="X209" i="6" s="1"/>
  <c r="M171" i="6"/>
  <c r="N171" i="6" s="1"/>
  <c r="O186" i="6" s="1"/>
  <c r="P186" i="6" s="1"/>
  <c r="X186" i="6" s="1"/>
  <c r="M156" i="6"/>
  <c r="N156" i="6" s="1"/>
  <c r="O171" i="6" s="1"/>
  <c r="P171" i="6" s="1"/>
  <c r="X171" i="6" s="1"/>
  <c r="M243" i="6"/>
  <c r="T258" i="6" s="1"/>
  <c r="U258" i="6" s="1"/>
  <c r="V258" i="6" s="1"/>
  <c r="CB258" i="6" s="1"/>
  <c r="M231" i="6"/>
  <c r="T246" i="6" s="1"/>
  <c r="U246" i="6" s="1"/>
  <c r="V246" i="6" s="1"/>
  <c r="CB246" i="6" s="1"/>
  <c r="M218" i="6"/>
  <c r="N218" i="6" s="1"/>
  <c r="O233" i="6" s="1"/>
  <c r="P233" i="6" s="1"/>
  <c r="X233" i="6" s="1"/>
  <c r="M193" i="6"/>
  <c r="N193" i="6" s="1"/>
  <c r="O208" i="6" s="1"/>
  <c r="P208" i="6" s="1"/>
  <c r="X208" i="6" s="1"/>
  <c r="M182" i="6"/>
  <c r="N182" i="6" s="1"/>
  <c r="O197" i="6" s="1"/>
  <c r="P197" i="6" s="1"/>
  <c r="X197" i="6" s="1"/>
  <c r="M177" i="6"/>
  <c r="N177" i="6" s="1"/>
  <c r="O192" i="6" s="1"/>
  <c r="P192" i="6" s="1"/>
  <c r="X192" i="6" s="1"/>
  <c r="M161" i="6"/>
  <c r="N161" i="6" s="1"/>
  <c r="O176" i="6" s="1"/>
  <c r="P176" i="6" s="1"/>
  <c r="X176" i="6" s="1"/>
  <c r="M212" i="6"/>
  <c r="T227" i="6" s="1"/>
  <c r="U227" i="6" s="1"/>
  <c r="V227" i="6" s="1"/>
  <c r="CB227" i="6" s="1"/>
  <c r="M166" i="6"/>
  <c r="N166" i="6" s="1"/>
  <c r="O181" i="6" s="1"/>
  <c r="P181" i="6" s="1"/>
  <c r="X181" i="6" s="1"/>
  <c r="M146" i="6"/>
  <c r="N146" i="6" s="1"/>
  <c r="O161" i="6" s="1"/>
  <c r="P161" i="6" s="1"/>
  <c r="X161" i="6" s="1"/>
  <c r="M127" i="6"/>
  <c r="T142" i="6" s="1"/>
  <c r="U142" i="6" s="1"/>
  <c r="V142" i="6" s="1"/>
  <c r="CB142" i="6" s="1"/>
  <c r="M249" i="6"/>
  <c r="N249" i="6" s="1"/>
  <c r="O264" i="6" s="1"/>
  <c r="P264" i="6" s="1"/>
  <c r="X264" i="6" s="1"/>
  <c r="M225" i="6"/>
  <c r="N225" i="6" s="1"/>
  <c r="O240" i="6" s="1"/>
  <c r="P240" i="6" s="1"/>
  <c r="X240" i="6" s="1"/>
  <c r="M191" i="6"/>
  <c r="T206" i="6" s="1"/>
  <c r="U206" i="6" s="1"/>
  <c r="V206" i="6" s="1"/>
  <c r="CB206" i="6" s="1"/>
  <c r="M160" i="6"/>
  <c r="T175" i="6" s="1"/>
  <c r="U175" i="6" s="1"/>
  <c r="V175" i="6" s="1"/>
  <c r="CB175" i="6" s="1"/>
  <c r="M140" i="6"/>
  <c r="T155" i="6" s="1"/>
  <c r="U155" i="6" s="1"/>
  <c r="V155" i="6" s="1"/>
  <c r="CB155" i="6" s="1"/>
  <c r="M126" i="6"/>
  <c r="N126" i="6" s="1"/>
  <c r="O141" i="6" s="1"/>
  <c r="P141" i="6" s="1"/>
  <c r="X141" i="6" s="1"/>
  <c r="M232" i="6"/>
  <c r="N232" i="6" s="1"/>
  <c r="O247" i="6" s="1"/>
  <c r="P247" i="6" s="1"/>
  <c r="X247" i="6" s="1"/>
  <c r="M144" i="6"/>
  <c r="T159" i="6" s="1"/>
  <c r="U159" i="6" s="1"/>
  <c r="V159" i="6" s="1"/>
  <c r="CB159" i="6" s="1"/>
  <c r="M116" i="6"/>
  <c r="N116" i="6" s="1"/>
  <c r="O131" i="6" s="1"/>
  <c r="P131" i="6" s="1"/>
  <c r="X131" i="6" s="1"/>
  <c r="M109" i="6"/>
  <c r="N109" i="6" s="1"/>
  <c r="O124" i="6" s="1"/>
  <c r="P124" i="6" s="1"/>
  <c r="X124" i="6" s="1"/>
  <c r="M86" i="6"/>
  <c r="T101" i="6" s="1"/>
  <c r="U101" i="6" s="1"/>
  <c r="V101" i="6" s="1"/>
  <c r="CB101" i="6" s="1"/>
  <c r="M77" i="6"/>
  <c r="N77" i="6" s="1"/>
  <c r="O92" i="6" s="1"/>
  <c r="P92" i="6" s="1"/>
  <c r="X92" i="6" s="1"/>
  <c r="M236" i="6"/>
  <c r="T251" i="6" s="1"/>
  <c r="U251" i="6" s="1"/>
  <c r="V251" i="6" s="1"/>
  <c r="CB251" i="6" s="1"/>
  <c r="M189" i="6"/>
  <c r="T204" i="6" s="1"/>
  <c r="U204" i="6" s="1"/>
  <c r="V204" i="6" s="1"/>
  <c r="CB204" i="6" s="1"/>
  <c r="M110" i="6"/>
  <c r="T125" i="6" s="1"/>
  <c r="U125" i="6" s="1"/>
  <c r="V125" i="6" s="1"/>
  <c r="CB125" i="6" s="1"/>
  <c r="M101" i="6"/>
  <c r="T116" i="6" s="1"/>
  <c r="U116" i="6" s="1"/>
  <c r="V116" i="6" s="1"/>
  <c r="CB116" i="6" s="1"/>
  <c r="M78" i="6"/>
  <c r="T93" i="6" s="1"/>
  <c r="U93" i="6" s="1"/>
  <c r="V93" i="6" s="1"/>
  <c r="CB93" i="6" s="1"/>
  <c r="M68" i="6"/>
  <c r="T83" i="6" s="1"/>
  <c r="U83" i="6" s="1"/>
  <c r="V83" i="6" s="1"/>
  <c r="CB83" i="6" s="1"/>
  <c r="M208" i="6"/>
  <c r="N208" i="6" s="1"/>
  <c r="O223" i="6" s="1"/>
  <c r="P223" i="6" s="1"/>
  <c r="X223" i="6" s="1"/>
  <c r="M157" i="6"/>
  <c r="T172" i="6" s="1"/>
  <c r="U172" i="6" s="1"/>
  <c r="V172" i="6" s="1"/>
  <c r="CB172" i="6" s="1"/>
  <c r="M97" i="6"/>
  <c r="T112" i="6" s="1"/>
  <c r="U112" i="6" s="1"/>
  <c r="V112" i="6" s="1"/>
  <c r="CB112" i="6" s="1"/>
  <c r="M67" i="6"/>
  <c r="N67" i="6" s="1"/>
  <c r="O82" i="6" s="1"/>
  <c r="P82" i="6" s="1"/>
  <c r="X82" i="6" s="1"/>
  <c r="M128" i="6"/>
  <c r="N128" i="6" s="1"/>
  <c r="O143" i="6" s="1"/>
  <c r="P143" i="6" s="1"/>
  <c r="X143" i="6" s="1"/>
  <c r="M82" i="6"/>
  <c r="T97" i="6" s="1"/>
  <c r="U97" i="6" s="1"/>
  <c r="V97" i="6" s="1"/>
  <c r="CB97" i="6" s="1"/>
  <c r="M242" i="6"/>
  <c r="N242" i="6" s="1"/>
  <c r="O257" i="6" s="1"/>
  <c r="P257" i="6" s="1"/>
  <c r="X257" i="6" s="1"/>
  <c r="M147" i="6"/>
  <c r="N147" i="6" s="1"/>
  <c r="O162" i="6" s="1"/>
  <c r="P162" i="6" s="1"/>
  <c r="X162" i="6" s="1"/>
  <c r="M88" i="6"/>
  <c r="N88" i="6" s="1"/>
  <c r="O103" i="6" s="1"/>
  <c r="P103" i="6" s="1"/>
  <c r="X103" i="6" s="1"/>
  <c r="M61" i="6"/>
  <c r="T76" i="6" s="1"/>
  <c r="U76" i="6" s="1"/>
  <c r="V76" i="6" s="1"/>
  <c r="CB76" i="6" s="1"/>
  <c r="M244" i="6"/>
  <c r="T259" i="6" s="1"/>
  <c r="U259" i="6" s="1"/>
  <c r="V259" i="6" s="1"/>
  <c r="CB259" i="6" s="1"/>
  <c r="M70" i="6"/>
  <c r="N70" i="6" s="1"/>
  <c r="O85" i="6" s="1"/>
  <c r="P85" i="6" s="1"/>
  <c r="X85" i="6" s="1"/>
  <c r="M192" i="6"/>
  <c r="T207" i="6" s="1"/>
  <c r="U207" i="6" s="1"/>
  <c r="V207" i="6" s="1"/>
  <c r="CB207" i="6" s="1"/>
  <c r="M92" i="6"/>
  <c r="T107" i="6" s="1"/>
  <c r="U107" i="6" s="1"/>
  <c r="V107" i="6" s="1"/>
  <c r="CB107" i="6" s="1"/>
  <c r="M207" i="6"/>
  <c r="N207" i="6" s="1"/>
  <c r="O222" i="6" s="1"/>
  <c r="P222" i="6" s="1"/>
  <c r="X222" i="6" s="1"/>
  <c r="M222" i="6"/>
  <c r="T237" i="6" s="1"/>
  <c r="U237" i="6" s="1"/>
  <c r="V237" i="6" s="1"/>
  <c r="CB237" i="6" s="1"/>
  <c r="M168" i="6"/>
  <c r="T183" i="6" s="1"/>
  <c r="U183" i="6" s="1"/>
  <c r="V183" i="6" s="1"/>
  <c r="CB183" i="6" s="1"/>
  <c r="M151" i="6"/>
  <c r="N151" i="6" s="1"/>
  <c r="O166" i="6" s="1"/>
  <c r="P166" i="6" s="1"/>
  <c r="X166" i="6" s="1"/>
  <c r="M124" i="6"/>
  <c r="N124" i="6" s="1"/>
  <c r="O139" i="6" s="1"/>
  <c r="P139" i="6" s="1"/>
  <c r="X139" i="6" s="1"/>
  <c r="M201" i="6"/>
  <c r="N201" i="6" s="1"/>
  <c r="O216" i="6" s="1"/>
  <c r="P216" i="6" s="1"/>
  <c r="X216" i="6" s="1"/>
  <c r="M135" i="6"/>
  <c r="N135" i="6" s="1"/>
  <c r="O150" i="6" s="1"/>
  <c r="P150" i="6" s="1"/>
  <c r="X150" i="6" s="1"/>
  <c r="M155" i="6"/>
  <c r="T170" i="6" s="1"/>
  <c r="U170" i="6" s="1"/>
  <c r="V170" i="6" s="1"/>
  <c r="CB170" i="6" s="1"/>
  <c r="M106" i="6"/>
  <c r="T121" i="6" s="1"/>
  <c r="U121" i="6" s="1"/>
  <c r="V121" i="6" s="1"/>
  <c r="CB121" i="6" s="1"/>
  <c r="M74" i="6"/>
  <c r="N74" i="6" s="1"/>
  <c r="O89" i="6" s="1"/>
  <c r="P89" i="6" s="1"/>
  <c r="X89" i="6" s="1"/>
  <c r="M121" i="6"/>
  <c r="T136" i="6" s="1"/>
  <c r="U136" i="6" s="1"/>
  <c r="V136" i="6" s="1"/>
  <c r="CB136" i="6" s="1"/>
  <c r="M98" i="6"/>
  <c r="T113" i="6" s="1"/>
  <c r="U113" i="6" s="1"/>
  <c r="V113" i="6" s="1"/>
  <c r="CB113" i="6" s="1"/>
  <c r="M228" i="6"/>
  <c r="N228" i="6" s="1"/>
  <c r="O243" i="6" s="1"/>
  <c r="P243" i="6" s="1"/>
  <c r="X243" i="6" s="1"/>
  <c r="M107" i="6"/>
  <c r="N107" i="6" s="1"/>
  <c r="O122" i="6" s="1"/>
  <c r="P122" i="6" s="1"/>
  <c r="X122" i="6" s="1"/>
  <c r="M57" i="6"/>
  <c r="T72" i="6" s="1"/>
  <c r="U72" i="6" s="1"/>
  <c r="V72" i="6" s="1"/>
  <c r="CB72" i="6" s="1"/>
  <c r="M129" i="6"/>
  <c r="T144" i="6" s="1"/>
  <c r="U144" i="6" s="1"/>
  <c r="V144" i="6" s="1"/>
  <c r="CB144" i="6" s="1"/>
  <c r="M63" i="6"/>
  <c r="T78" i="6" s="1"/>
  <c r="U78" i="6" s="1"/>
  <c r="V78" i="6" s="1"/>
  <c r="CB78" i="6" s="1"/>
  <c r="M136" i="6"/>
  <c r="N136" i="6" s="1"/>
  <c r="O151" i="6" s="1"/>
  <c r="P151" i="6" s="1"/>
  <c r="X151" i="6" s="1"/>
  <c r="M96" i="6"/>
  <c r="N96" i="6" s="1"/>
  <c r="O111" i="6" s="1"/>
  <c r="P111" i="6" s="1"/>
  <c r="X111" i="6" s="1"/>
  <c r="M220" i="6"/>
  <c r="N220" i="6" s="1"/>
  <c r="O235" i="6" s="1"/>
  <c r="P235" i="6" s="1"/>
  <c r="X235" i="6" s="1"/>
  <c r="M216" i="6"/>
  <c r="T231" i="6" s="1"/>
  <c r="U231" i="6" s="1"/>
  <c r="V231" i="6" s="1"/>
  <c r="CB231" i="6" s="1"/>
  <c r="M133" i="6"/>
  <c r="T148" i="6" s="1"/>
  <c r="U148" i="6" s="1"/>
  <c r="V148" i="6" s="1"/>
  <c r="CB148" i="6" s="1"/>
  <c r="M227" i="6"/>
  <c r="T242" i="6" s="1"/>
  <c r="U242" i="6" s="1"/>
  <c r="V242" i="6" s="1"/>
  <c r="CB242" i="6" s="1"/>
  <c r="M170" i="6"/>
  <c r="T185" i="6" s="1"/>
  <c r="U185" i="6" s="1"/>
  <c r="V185" i="6" s="1"/>
  <c r="CB185" i="6" s="1"/>
  <c r="M131" i="6"/>
  <c r="N131" i="6" s="1"/>
  <c r="O146" i="6" s="1"/>
  <c r="P146" i="6" s="1"/>
  <c r="X146" i="6" s="1"/>
  <c r="M130" i="6"/>
  <c r="T145" i="6" s="1"/>
  <c r="U145" i="6" s="1"/>
  <c r="V145" i="6" s="1"/>
  <c r="CB145" i="6" s="1"/>
  <c r="M91" i="6"/>
  <c r="T106" i="6" s="1"/>
  <c r="U106" i="6" s="1"/>
  <c r="V106" i="6" s="1"/>
  <c r="CB106" i="6" s="1"/>
  <c r="M64" i="6"/>
  <c r="T79" i="6" s="1"/>
  <c r="U79" i="6" s="1"/>
  <c r="V79" i="6" s="1"/>
  <c r="CB79" i="6" s="1"/>
  <c r="M119" i="6"/>
  <c r="T134" i="6" s="1"/>
  <c r="U134" i="6" s="1"/>
  <c r="V134" i="6" s="1"/>
  <c r="CB134" i="6" s="1"/>
  <c r="M83" i="6"/>
  <c r="N83" i="6" s="1"/>
  <c r="O98" i="6" s="1"/>
  <c r="P98" i="6" s="1"/>
  <c r="X98" i="6" s="1"/>
  <c r="M210" i="6"/>
  <c r="N210" i="6" s="1"/>
  <c r="O225" i="6" s="1"/>
  <c r="P225" i="6" s="1"/>
  <c r="X225" i="6" s="1"/>
  <c r="M84" i="6"/>
  <c r="T99" i="6" s="1"/>
  <c r="U99" i="6" s="1"/>
  <c r="V99" i="6" s="1"/>
  <c r="CB99" i="6" s="1"/>
  <c r="M89" i="6"/>
  <c r="T104" i="6" s="1"/>
  <c r="U104" i="6" s="1"/>
  <c r="V104" i="6" s="1"/>
  <c r="CB104" i="6" s="1"/>
  <c r="M165" i="6"/>
  <c r="T180" i="6" s="1"/>
  <c r="U180" i="6" s="1"/>
  <c r="V180" i="6" s="1"/>
  <c r="CB180" i="6" s="1"/>
  <c r="M62" i="6"/>
  <c r="N62" i="6" s="1"/>
  <c r="O77" i="6" s="1"/>
  <c r="P77" i="6" s="1"/>
  <c r="X77" i="6" s="1"/>
  <c r="M75" i="6"/>
  <c r="N75" i="6" s="1"/>
  <c r="O90" i="6" s="1"/>
  <c r="P90" i="6" s="1"/>
  <c r="X90" i="6" s="1"/>
  <c r="M56" i="6"/>
  <c r="N56" i="6" s="1"/>
  <c r="O71" i="6" s="1"/>
  <c r="P71" i="6" s="1"/>
  <c r="X71" i="6" s="1"/>
  <c r="M246" i="6"/>
  <c r="T261" i="6" s="1"/>
  <c r="U261" i="6" s="1"/>
  <c r="V261" i="6" s="1"/>
  <c r="CB261" i="6" s="1"/>
  <c r="M224" i="6"/>
  <c r="T239" i="6" s="1"/>
  <c r="U239" i="6" s="1"/>
  <c r="V239" i="6" s="1"/>
  <c r="CB239" i="6" s="1"/>
  <c r="M215" i="6"/>
  <c r="N215" i="6" s="1"/>
  <c r="O230" i="6" s="1"/>
  <c r="P230" i="6" s="1"/>
  <c r="X230" i="6" s="1"/>
  <c r="M203" i="6"/>
  <c r="N203" i="6" s="1"/>
  <c r="O218" i="6" s="1"/>
  <c r="P218" i="6" s="1"/>
  <c r="X218" i="6" s="1"/>
  <c r="M179" i="6"/>
  <c r="T194" i="6" s="1"/>
  <c r="U194" i="6" s="1"/>
  <c r="V194" i="6" s="1"/>
  <c r="CB194" i="6" s="1"/>
  <c r="M163" i="6"/>
  <c r="T178" i="6" s="1"/>
  <c r="U178" i="6" s="1"/>
  <c r="V178" i="6" s="1"/>
  <c r="CB178" i="6" s="1"/>
  <c r="M154" i="6"/>
  <c r="N154" i="6" s="1"/>
  <c r="O169" i="6" s="1"/>
  <c r="P169" i="6" s="1"/>
  <c r="X169" i="6" s="1"/>
  <c r="M239" i="6"/>
  <c r="N239" i="6" s="1"/>
  <c r="O254" i="6" s="1"/>
  <c r="P254" i="6" s="1"/>
  <c r="X254" i="6" s="1"/>
  <c r="M226" i="6"/>
  <c r="T241" i="6" s="1"/>
  <c r="U241" i="6" s="1"/>
  <c r="V241" i="6" s="1"/>
  <c r="CB241" i="6" s="1"/>
  <c r="M209" i="6"/>
  <c r="T224" i="6" s="1"/>
  <c r="U224" i="6" s="1"/>
  <c r="V224" i="6" s="1"/>
  <c r="CB224" i="6" s="1"/>
  <c r="M190" i="6"/>
  <c r="N190" i="6" s="1"/>
  <c r="O205" i="6" s="1"/>
  <c r="P205" i="6" s="1"/>
  <c r="X205" i="6" s="1"/>
  <c r="M181" i="6"/>
  <c r="T196" i="6" s="1"/>
  <c r="U196" i="6" s="1"/>
  <c r="V196" i="6" s="1"/>
  <c r="CB196" i="6" s="1"/>
  <c r="M169" i="6"/>
  <c r="N169" i="6" s="1"/>
  <c r="O184" i="6" s="1"/>
  <c r="P184" i="6" s="1"/>
  <c r="X184" i="6" s="1"/>
  <c r="M234" i="6"/>
  <c r="N234" i="6" s="1"/>
  <c r="O249" i="6" s="1"/>
  <c r="P249" i="6" s="1"/>
  <c r="X249" i="6" s="1"/>
  <c r="M211" i="6"/>
  <c r="T226" i="6" s="1"/>
  <c r="U226" i="6" s="1"/>
  <c r="V226" i="6" s="1"/>
  <c r="CB226" i="6" s="1"/>
  <c r="M164" i="6"/>
  <c r="N164" i="6" s="1"/>
  <c r="O179" i="6" s="1"/>
  <c r="P179" i="6" s="1"/>
  <c r="X179" i="6" s="1"/>
  <c r="M143" i="6"/>
  <c r="T158" i="6" s="1"/>
  <c r="U158" i="6" s="1"/>
  <c r="V158" i="6" s="1"/>
  <c r="CB158" i="6" s="1"/>
  <c r="M125" i="6"/>
  <c r="N125" i="6" s="1"/>
  <c r="O140" i="6" s="1"/>
  <c r="P140" i="6" s="1"/>
  <c r="X140" i="6" s="1"/>
  <c r="M248" i="6"/>
  <c r="T263" i="6" s="1"/>
  <c r="U263" i="6" s="1"/>
  <c r="V263" i="6" s="1"/>
  <c r="CB263" i="6" s="1"/>
  <c r="M214" i="6"/>
  <c r="N214" i="6" s="1"/>
  <c r="O229" i="6" s="1"/>
  <c r="P229" i="6" s="1"/>
  <c r="X229" i="6" s="1"/>
  <c r="M176" i="6"/>
  <c r="T191" i="6" s="1"/>
  <c r="U191" i="6" s="1"/>
  <c r="V191" i="6" s="1"/>
  <c r="CB191" i="6" s="1"/>
  <c r="M149" i="6"/>
  <c r="T164" i="6" s="1"/>
  <c r="U164" i="6" s="1"/>
  <c r="V164" i="6" s="1"/>
  <c r="CB164" i="6" s="1"/>
  <c r="M138" i="6"/>
  <c r="N138" i="6" s="1"/>
  <c r="O153" i="6" s="1"/>
  <c r="P153" i="6" s="1"/>
  <c r="X153" i="6" s="1"/>
  <c r="M123" i="6"/>
  <c r="N123" i="6" s="1"/>
  <c r="O138" i="6" s="1"/>
  <c r="P138" i="6" s="1"/>
  <c r="X138" i="6" s="1"/>
  <c r="M204" i="6"/>
  <c r="T219" i="6" s="1"/>
  <c r="U219" i="6" s="1"/>
  <c r="V219" i="6" s="1"/>
  <c r="CB219" i="6" s="1"/>
  <c r="M134" i="6"/>
  <c r="N134" i="6" s="1"/>
  <c r="O149" i="6" s="1"/>
  <c r="P149" i="6" s="1"/>
  <c r="X149" i="6" s="1"/>
  <c r="M113" i="6"/>
  <c r="T128" i="6" s="1"/>
  <c r="U128" i="6" s="1"/>
  <c r="V128" i="6" s="1"/>
  <c r="CB128" i="6" s="1"/>
  <c r="M108" i="6"/>
  <c r="N108" i="6" s="1"/>
  <c r="O123" i="6" s="1"/>
  <c r="P123" i="6" s="1"/>
  <c r="X123" i="6" s="1"/>
  <c r="M81" i="6"/>
  <c r="T96" i="6" s="1"/>
  <c r="U96" i="6" s="1"/>
  <c r="V96" i="6" s="1"/>
  <c r="CB96" i="6" s="1"/>
  <c r="M76" i="6"/>
  <c r="T91" i="6" s="1"/>
  <c r="U91" i="6" s="1"/>
  <c r="V91" i="6" s="1"/>
  <c r="CB91" i="6" s="1"/>
  <c r="M230" i="6"/>
  <c r="T245" i="6" s="1"/>
  <c r="U245" i="6" s="1"/>
  <c r="V245" i="6" s="1"/>
  <c r="CB245" i="6" s="1"/>
  <c r="M142" i="6"/>
  <c r="T157" i="6" s="1"/>
  <c r="U157" i="6" s="1"/>
  <c r="V157" i="6" s="1"/>
  <c r="CB157" i="6" s="1"/>
  <c r="M105" i="6"/>
  <c r="N105" i="6" s="1"/>
  <c r="O120" i="6" s="1"/>
  <c r="P120" i="6" s="1"/>
  <c r="X120" i="6" s="1"/>
  <c r="M100" i="6"/>
  <c r="N100" i="6" s="1"/>
  <c r="O115" i="6" s="1"/>
  <c r="P115" i="6" s="1"/>
  <c r="X115" i="6" s="1"/>
  <c r="M73" i="6"/>
  <c r="T88" i="6" s="1"/>
  <c r="U88" i="6" s="1"/>
  <c r="V88" i="6" s="1"/>
  <c r="CB88" i="6" s="1"/>
  <c r="M65" i="6"/>
  <c r="T80" i="6" s="1"/>
  <c r="U80" i="6" s="1"/>
  <c r="V80" i="6" s="1"/>
  <c r="CB80" i="6" s="1"/>
  <c r="M187" i="6"/>
  <c r="N187" i="6" s="1"/>
  <c r="O202" i="6" s="1"/>
  <c r="P202" i="6" s="1"/>
  <c r="X202" i="6" s="1"/>
  <c r="M114" i="6"/>
  <c r="N114" i="6" s="1"/>
  <c r="O129" i="6" s="1"/>
  <c r="P129" i="6" s="1"/>
  <c r="X129" i="6" s="1"/>
  <c r="M93" i="6"/>
  <c r="T108" i="6" s="1"/>
  <c r="U108" i="6" s="1"/>
  <c r="V108" i="6" s="1"/>
  <c r="CB108" i="6" s="1"/>
  <c r="M59" i="6"/>
  <c r="T74" i="6" s="1"/>
  <c r="U74" i="6" s="1"/>
  <c r="V74" i="6" s="1"/>
  <c r="CB74" i="6" s="1"/>
  <c r="M117" i="6"/>
  <c r="N117" i="6" s="1"/>
  <c r="O132" i="6" s="1"/>
  <c r="P132" i="6" s="1"/>
  <c r="X132" i="6" s="1"/>
  <c r="M52" i="6"/>
  <c r="T67" i="6" s="1"/>
  <c r="U67" i="6" s="1"/>
  <c r="V67" i="6" s="1"/>
  <c r="CB67" i="6" s="1"/>
  <c r="M198" i="6"/>
  <c r="T213" i="6" s="1"/>
  <c r="U213" i="6" s="1"/>
  <c r="V213" i="6" s="1"/>
  <c r="CB213" i="6" s="1"/>
  <c r="M139" i="6"/>
  <c r="T154" i="6" s="1"/>
  <c r="U154" i="6" s="1"/>
  <c r="V154" i="6" s="1"/>
  <c r="CB154" i="6" s="1"/>
  <c r="M85" i="6"/>
  <c r="N85" i="6" s="1"/>
  <c r="O100" i="6" s="1"/>
  <c r="P100" i="6" s="1"/>
  <c r="X100" i="6" s="1"/>
  <c r="M55" i="6"/>
  <c r="T70" i="6" s="1"/>
  <c r="U70" i="6" s="1"/>
  <c r="V70" i="6" s="1"/>
  <c r="CB70" i="6" s="1"/>
  <c r="M240" i="6"/>
  <c r="N240" i="6" s="1"/>
  <c r="O255" i="6" s="1"/>
  <c r="P255" i="6" s="1"/>
  <c r="X255" i="6" s="1"/>
  <c r="M60" i="6"/>
  <c r="T75" i="6" s="1"/>
  <c r="U75" i="6" s="1"/>
  <c r="V75" i="6" s="1"/>
  <c r="CB75" i="6" s="1"/>
  <c r="M99" i="6"/>
  <c r="T114" i="6" s="1"/>
  <c r="U114" i="6" s="1"/>
  <c r="V114" i="6" s="1"/>
  <c r="CB114" i="6" s="1"/>
  <c r="M69" i="6"/>
  <c r="T84" i="6" s="1"/>
  <c r="U84" i="6" s="1"/>
  <c r="V84" i="6" s="1"/>
  <c r="CB84" i="6" s="1"/>
  <c r="M245" i="6"/>
  <c r="N245" i="6" s="1"/>
  <c r="O260" i="6" s="1"/>
  <c r="P260" i="6" s="1"/>
  <c r="X260" i="6" s="1"/>
  <c r="M223" i="6"/>
  <c r="T238" i="6" s="1"/>
  <c r="U238" i="6" s="1"/>
  <c r="V238" i="6" s="1"/>
  <c r="CB238" i="6" s="1"/>
  <c r="M197" i="6"/>
  <c r="T212" i="6" s="1"/>
  <c r="U212" i="6" s="1"/>
  <c r="V212" i="6" s="1"/>
  <c r="CB212" i="6" s="1"/>
  <c r="M175" i="6"/>
  <c r="T190" i="6" s="1"/>
  <c r="U190" i="6" s="1"/>
  <c r="V190" i="6" s="1"/>
  <c r="CB190" i="6" s="1"/>
  <c r="M159" i="6"/>
  <c r="T174" i="6" s="1"/>
  <c r="U174" i="6" s="1"/>
  <c r="V174" i="6" s="1"/>
  <c r="CB174" i="6" s="1"/>
  <c r="M153" i="6"/>
  <c r="T168" i="6" s="1"/>
  <c r="U168" i="6" s="1"/>
  <c r="V168" i="6" s="1"/>
  <c r="CB168" i="6" s="1"/>
  <c r="M237" i="6"/>
  <c r="T252" i="6" s="1"/>
  <c r="U252" i="6" s="1"/>
  <c r="V252" i="6" s="1"/>
  <c r="CB252" i="6" s="1"/>
  <c r="M200" i="6"/>
  <c r="T215" i="6" s="1"/>
  <c r="U215" i="6" s="1"/>
  <c r="V215" i="6" s="1"/>
  <c r="CB215" i="6" s="1"/>
  <c r="M186" i="6"/>
  <c r="T201" i="6" s="1"/>
  <c r="U201" i="6" s="1"/>
  <c r="V201" i="6" s="1"/>
  <c r="CB201" i="6" s="1"/>
  <c r="M180" i="6"/>
  <c r="N180" i="6" s="1"/>
  <c r="O195" i="6" s="1"/>
  <c r="P195" i="6" s="1"/>
  <c r="X195" i="6" s="1"/>
  <c r="M221" i="6"/>
  <c r="T236" i="6" s="1"/>
  <c r="U236" i="6" s="1"/>
  <c r="V236" i="6" s="1"/>
  <c r="CB236" i="6" s="1"/>
  <c r="M188" i="6"/>
  <c r="T203" i="6" s="1"/>
  <c r="U203" i="6" s="1"/>
  <c r="V203" i="6" s="1"/>
  <c r="CB203" i="6" s="1"/>
  <c r="M137" i="6"/>
  <c r="T152" i="6" s="1"/>
  <c r="U152" i="6" s="1"/>
  <c r="V152" i="6" s="1"/>
  <c r="CB152" i="6" s="1"/>
  <c r="M229" i="6"/>
  <c r="N229" i="6" s="1"/>
  <c r="O244" i="6" s="1"/>
  <c r="P244" i="6" s="1"/>
  <c r="X244" i="6" s="1"/>
  <c r="M173" i="6"/>
  <c r="N173" i="6" s="1"/>
  <c r="O188" i="6" s="1"/>
  <c r="P188" i="6" s="1"/>
  <c r="X188" i="6" s="1"/>
  <c r="M145" i="6"/>
  <c r="T160" i="6" s="1"/>
  <c r="U160" i="6" s="1"/>
  <c r="V160" i="6" s="1"/>
  <c r="CB160" i="6" s="1"/>
  <c r="M118" i="6"/>
  <c r="N118" i="6" s="1"/>
  <c r="O133" i="6" s="1"/>
  <c r="P133" i="6" s="1"/>
  <c r="X133" i="6" s="1"/>
  <c r="M132" i="6"/>
  <c r="T147" i="6" s="1"/>
  <c r="U147" i="6" s="1"/>
  <c r="V147" i="6" s="1"/>
  <c r="CB147" i="6" s="1"/>
  <c r="M112" i="6"/>
  <c r="N112" i="6" s="1"/>
  <c r="O127" i="6" s="1"/>
  <c r="P127" i="6" s="1"/>
  <c r="X127" i="6" s="1"/>
  <c r="M80" i="6"/>
  <c r="T95" i="6" s="1"/>
  <c r="U95" i="6" s="1"/>
  <c r="V95" i="6" s="1"/>
  <c r="CB95" i="6" s="1"/>
  <c r="M213" i="6"/>
  <c r="T228" i="6" s="1"/>
  <c r="U228" i="6" s="1"/>
  <c r="V228" i="6" s="1"/>
  <c r="CB228" i="6" s="1"/>
  <c r="M104" i="6"/>
  <c r="T119" i="6" s="1"/>
  <c r="U119" i="6" s="1"/>
  <c r="V119" i="6" s="1"/>
  <c r="CB119" i="6" s="1"/>
  <c r="M72" i="6"/>
  <c r="T87" i="6" s="1"/>
  <c r="U87" i="6" s="1"/>
  <c r="V87" i="6" s="1"/>
  <c r="CB87" i="6" s="1"/>
  <c r="M185" i="6"/>
  <c r="N185" i="6" s="1"/>
  <c r="O200" i="6" s="1"/>
  <c r="P200" i="6" s="1"/>
  <c r="X200" i="6" s="1"/>
  <c r="M87" i="6"/>
  <c r="N87" i="6" s="1"/>
  <c r="O102" i="6" s="1"/>
  <c r="P102" i="6" s="1"/>
  <c r="X102" i="6" s="1"/>
  <c r="M95" i="6"/>
  <c r="T110" i="6" s="1"/>
  <c r="U110" i="6" s="1"/>
  <c r="V110" i="6" s="1"/>
  <c r="CB110" i="6" s="1"/>
  <c r="M167" i="6"/>
  <c r="T182" i="6" s="1"/>
  <c r="U182" i="6" s="1"/>
  <c r="V182" i="6" s="1"/>
  <c r="CB182" i="6" s="1"/>
  <c r="M120" i="6"/>
  <c r="N120" i="6" s="1"/>
  <c r="O135" i="6" s="1"/>
  <c r="P135" i="6" s="1"/>
  <c r="X135" i="6" s="1"/>
  <c r="M54" i="6"/>
  <c r="N54" i="6" s="1"/>
  <c r="O69" i="6" s="1"/>
  <c r="P69" i="6" s="1"/>
  <c r="X69" i="6" s="1"/>
  <c r="M58" i="6"/>
  <c r="N58" i="6" s="1"/>
  <c r="O73" i="6" s="1"/>
  <c r="P73" i="6" s="1"/>
  <c r="X73" i="6" s="1"/>
  <c r="M66" i="6"/>
  <c r="T81" i="6" s="1"/>
  <c r="U81" i="6" s="1"/>
  <c r="V81" i="6" s="1"/>
  <c r="CB81" i="6" s="1"/>
  <c r="M49" i="6"/>
  <c r="N49" i="6" s="1"/>
  <c r="O64" i="6" s="1"/>
  <c r="P64" i="6" s="1"/>
  <c r="X64" i="6" s="1"/>
  <c r="M241" i="6"/>
  <c r="N241" i="6" s="1"/>
  <c r="O256" i="6" s="1"/>
  <c r="P256" i="6" s="1"/>
  <c r="X256" i="6" s="1"/>
  <c r="M219" i="6"/>
  <c r="T234" i="6" s="1"/>
  <c r="U234" i="6" s="1"/>
  <c r="V234" i="6" s="1"/>
  <c r="CB234" i="6" s="1"/>
  <c r="M206" i="6"/>
  <c r="N206" i="6" s="1"/>
  <c r="O221" i="6" s="1"/>
  <c r="P221" i="6" s="1"/>
  <c r="X221" i="6" s="1"/>
  <c r="M195" i="6"/>
  <c r="N195" i="6" s="1"/>
  <c r="O210" i="6" s="1"/>
  <c r="P210" i="6" s="1"/>
  <c r="X210" i="6" s="1"/>
  <c r="M172" i="6"/>
  <c r="N172" i="6" s="1"/>
  <c r="O187" i="6" s="1"/>
  <c r="P187" i="6" s="1"/>
  <c r="X187" i="6" s="1"/>
  <c r="M158" i="6"/>
  <c r="N158" i="6" s="1"/>
  <c r="O173" i="6" s="1"/>
  <c r="P173" i="6" s="1"/>
  <c r="X173" i="6" s="1"/>
  <c r="M152" i="6"/>
  <c r="T167" i="6" s="1"/>
  <c r="U167" i="6" s="1"/>
  <c r="V167" i="6" s="1"/>
  <c r="CB167" i="6" s="1"/>
  <c r="M233" i="6"/>
  <c r="T248" i="6" s="1"/>
  <c r="U248" i="6" s="1"/>
  <c r="V248" i="6" s="1"/>
  <c r="CB248" i="6" s="1"/>
  <c r="M196" i="6"/>
  <c r="T211" i="6" s="1"/>
  <c r="U211" i="6" s="1"/>
  <c r="V211" i="6" s="1"/>
  <c r="CB211" i="6" s="1"/>
  <c r="M184" i="6"/>
  <c r="N184" i="6" s="1"/>
  <c r="O199" i="6" s="1"/>
  <c r="P199" i="6" s="1"/>
  <c r="X199" i="6" s="1"/>
  <c r="M178" i="6"/>
  <c r="N178" i="6" s="1"/>
  <c r="O193" i="6" s="1"/>
  <c r="P193" i="6" s="1"/>
  <c r="X193" i="6" s="1"/>
  <c r="M162" i="6"/>
  <c r="N162" i="6" s="1"/>
  <c r="O177" i="6" s="1"/>
  <c r="P177" i="6" s="1"/>
  <c r="X177" i="6" s="1"/>
  <c r="M183" i="6"/>
  <c r="N183" i="6" s="1"/>
  <c r="O198" i="6" s="1"/>
  <c r="P198" i="6" s="1"/>
  <c r="X198" i="6" s="1"/>
  <c r="M150" i="6"/>
  <c r="N150" i="6" s="1"/>
  <c r="O165" i="6" s="1"/>
  <c r="P165" i="6" s="1"/>
  <c r="X165" i="6" s="1"/>
  <c r="M122" i="6"/>
  <c r="N122" i="6" s="1"/>
  <c r="O137" i="6" s="1"/>
  <c r="P137" i="6" s="1"/>
  <c r="X137" i="6" s="1"/>
  <c r="M199" i="6"/>
  <c r="N199" i="6" s="1"/>
  <c r="O214" i="6" s="1"/>
  <c r="P214" i="6" s="1"/>
  <c r="X214" i="6" s="1"/>
  <c r="M141" i="6"/>
  <c r="N141" i="6" s="1"/>
  <c r="O156" i="6" s="1"/>
  <c r="P156" i="6" s="1"/>
  <c r="X156" i="6" s="1"/>
  <c r="M238" i="6"/>
  <c r="T253" i="6" s="1"/>
  <c r="U253" i="6" s="1"/>
  <c r="V253" i="6" s="1"/>
  <c r="CB253" i="6" s="1"/>
  <c r="M148" i="6"/>
  <c r="T163" i="6" s="1"/>
  <c r="U163" i="6" s="1"/>
  <c r="V163" i="6" s="1"/>
  <c r="CB163" i="6" s="1"/>
  <c r="M111" i="6"/>
  <c r="T126" i="6" s="1"/>
  <c r="U126" i="6" s="1"/>
  <c r="V126" i="6" s="1"/>
  <c r="CB126" i="6" s="1"/>
  <c r="M79" i="6"/>
  <c r="T94" i="6" s="1"/>
  <c r="U94" i="6" s="1"/>
  <c r="V94" i="6" s="1"/>
  <c r="CB94" i="6" s="1"/>
  <c r="M202" i="6"/>
  <c r="N202" i="6" s="1"/>
  <c r="O217" i="6" s="1"/>
  <c r="P217" i="6" s="1"/>
  <c r="X217" i="6" s="1"/>
  <c r="M103" i="6"/>
  <c r="T118" i="6" s="1"/>
  <c r="U118" i="6" s="1"/>
  <c r="V118" i="6" s="1"/>
  <c r="CB118" i="6" s="1"/>
  <c r="M71" i="6"/>
  <c r="T86" i="6" s="1"/>
  <c r="U86" i="6" s="1"/>
  <c r="V86" i="6" s="1"/>
  <c r="CB86" i="6" s="1"/>
  <c r="M174" i="6"/>
  <c r="T189" i="6" s="1"/>
  <c r="U189" i="6" s="1"/>
  <c r="V189" i="6" s="1"/>
  <c r="CB189" i="6" s="1"/>
  <c r="M102" i="6"/>
  <c r="T117" i="6" s="1"/>
  <c r="U117" i="6" s="1"/>
  <c r="V117" i="6" s="1"/>
  <c r="CB117" i="6" s="1"/>
  <c r="M51" i="6"/>
  <c r="T66" i="6" s="1"/>
  <c r="U66" i="6" s="1"/>
  <c r="V66" i="6" s="1"/>
  <c r="CB66" i="6" s="1"/>
  <c r="M115" i="6"/>
  <c r="T130" i="6" s="1"/>
  <c r="U130" i="6" s="1"/>
  <c r="V130" i="6" s="1"/>
  <c r="CB130" i="6" s="1"/>
  <c r="M90" i="6"/>
  <c r="N90" i="6" s="1"/>
  <c r="O105" i="6" s="1"/>
  <c r="P105" i="6" s="1"/>
  <c r="X105" i="6" s="1"/>
  <c r="M53" i="6"/>
  <c r="T68" i="6" s="1"/>
  <c r="U68" i="6" s="1"/>
  <c r="V68" i="6" s="1"/>
  <c r="CB68" i="6" s="1"/>
  <c r="M50" i="6"/>
  <c r="N50" i="6" s="1"/>
  <c r="O65" i="6" s="1"/>
  <c r="P65" i="6" s="1"/>
  <c r="X65" i="6" s="1"/>
  <c r="M94" i="6"/>
  <c r="T109" i="6" s="1"/>
  <c r="U109" i="6" s="1"/>
  <c r="V109" i="6" s="1"/>
  <c r="CB109" i="6" s="1"/>
  <c r="O130" i="2"/>
  <c r="P130" i="2"/>
  <c r="H130" i="2"/>
  <c r="G130" i="2"/>
  <c r="N130" i="2"/>
  <c r="J130" i="2"/>
  <c r="F130" i="2"/>
  <c r="A132" i="2"/>
  <c r="B131" i="2"/>
  <c r="F21" i="2" l="1"/>
  <c r="F41" i="2"/>
  <c r="F35" i="2"/>
  <c r="N189" i="6"/>
  <c r="O204" i="6" s="1"/>
  <c r="P204" i="6" s="1"/>
  <c r="X204" i="6" s="1"/>
  <c r="N167" i="6"/>
  <c r="O182" i="6" s="1"/>
  <c r="P182" i="6" s="1"/>
  <c r="X182" i="6" s="1"/>
  <c r="T122" i="6"/>
  <c r="U122" i="6" s="1"/>
  <c r="V122" i="6" s="1"/>
  <c r="T162" i="6"/>
  <c r="U162" i="6" s="1"/>
  <c r="V162" i="6" s="1"/>
  <c r="T120" i="6"/>
  <c r="U120" i="6" s="1"/>
  <c r="V120" i="6" s="1"/>
  <c r="T124" i="6"/>
  <c r="U124" i="6" s="1"/>
  <c r="V124" i="6" s="1"/>
  <c r="N165" i="6"/>
  <c r="O180" i="6" s="1"/>
  <c r="P180" i="6" s="1"/>
  <c r="X180" i="6" s="1"/>
  <c r="T184" i="6"/>
  <c r="U184" i="6" s="1"/>
  <c r="V184" i="6" s="1"/>
  <c r="T216" i="6"/>
  <c r="U216" i="6" s="1"/>
  <c r="V216" i="6" s="1"/>
  <c r="T98" i="6"/>
  <c r="U98" i="6" s="1"/>
  <c r="V98" i="6" s="1"/>
  <c r="T127" i="6"/>
  <c r="U127" i="6" s="1"/>
  <c r="V127" i="6" s="1"/>
  <c r="N148" i="6"/>
  <c r="O163" i="6" s="1"/>
  <c r="P163" i="6" s="1"/>
  <c r="X163" i="6" s="1"/>
  <c r="N103" i="6"/>
  <c r="O118" i="6" s="1"/>
  <c r="P118" i="6" s="1"/>
  <c r="X118" i="6" s="1"/>
  <c r="N110" i="6"/>
  <c r="O125" i="6" s="1"/>
  <c r="P125" i="6" s="1"/>
  <c r="X125" i="6" s="1"/>
  <c r="T150" i="6"/>
  <c r="U150" i="6" s="1"/>
  <c r="V150" i="6" s="1"/>
  <c r="T135" i="6"/>
  <c r="U135" i="6" s="1"/>
  <c r="V135" i="6" s="1"/>
  <c r="N55" i="6"/>
  <c r="O70" i="6" s="1"/>
  <c r="P70" i="6" s="1"/>
  <c r="X70" i="6" s="1"/>
  <c r="T264" i="6"/>
  <c r="U264" i="6" s="1"/>
  <c r="V264" i="6" s="1"/>
  <c r="T111" i="6"/>
  <c r="U111" i="6" s="1"/>
  <c r="V111" i="6" s="1"/>
  <c r="N233" i="6"/>
  <c r="O248" i="6" s="1"/>
  <c r="P248" i="6" s="1"/>
  <c r="X248" i="6" s="1"/>
  <c r="N52" i="6"/>
  <c r="O67" i="6" s="1"/>
  <c r="P67" i="6" s="1"/>
  <c r="X67" i="6" s="1"/>
  <c r="T102" i="6"/>
  <c r="U102" i="6" s="1"/>
  <c r="V102" i="6" s="1"/>
  <c r="N91" i="6"/>
  <c r="O106" i="6" s="1"/>
  <c r="P106" i="6" s="1"/>
  <c r="X106" i="6" s="1"/>
  <c r="N176" i="6"/>
  <c r="O191" i="6" s="1"/>
  <c r="P191" i="6" s="1"/>
  <c r="X191" i="6" s="1"/>
  <c r="T132" i="6"/>
  <c r="U132" i="6" s="1"/>
  <c r="V132" i="6" s="1"/>
  <c r="T89" i="6"/>
  <c r="U89" i="6" s="1"/>
  <c r="V89" i="6" s="1"/>
  <c r="N130" i="6"/>
  <c r="O145" i="6" s="1"/>
  <c r="P145" i="6" s="1"/>
  <c r="X145" i="6" s="1"/>
  <c r="T137" i="6"/>
  <c r="U137" i="6" s="1"/>
  <c r="V137" i="6" s="1"/>
  <c r="N51" i="6"/>
  <c r="O66" i="6" s="1"/>
  <c r="P66" i="6" s="1"/>
  <c r="X66" i="6" s="1"/>
  <c r="T100" i="6"/>
  <c r="U100" i="6" s="1"/>
  <c r="V100" i="6" s="1"/>
  <c r="N66" i="6"/>
  <c r="O81" i="6" s="1"/>
  <c r="P81" i="6" s="1"/>
  <c r="X81" i="6" s="1"/>
  <c r="N174" i="6"/>
  <c r="O189" i="6" s="1"/>
  <c r="P189" i="6" s="1"/>
  <c r="X189" i="6" s="1"/>
  <c r="T255" i="6"/>
  <c r="U255" i="6" s="1"/>
  <c r="V255" i="6" s="1"/>
  <c r="N60" i="6"/>
  <c r="O75" i="6" s="1"/>
  <c r="P75" i="6" s="1"/>
  <c r="X75" i="6" s="1"/>
  <c r="T153" i="6"/>
  <c r="U153" i="6" s="1"/>
  <c r="V153" i="6" s="1"/>
  <c r="N65" i="6"/>
  <c r="O80" i="6" s="1"/>
  <c r="P80" i="6" s="1"/>
  <c r="X80" i="6" s="1"/>
  <c r="N142" i="6"/>
  <c r="O157" i="6" s="1"/>
  <c r="P157" i="6" s="1"/>
  <c r="X157" i="6" s="1"/>
  <c r="T256" i="6"/>
  <c r="U256" i="6" s="1"/>
  <c r="V256" i="6" s="1"/>
  <c r="T205" i="6"/>
  <c r="U205" i="6" s="1"/>
  <c r="V205" i="6" s="1"/>
  <c r="N191" i="6"/>
  <c r="O206" i="6" s="1"/>
  <c r="P206" i="6" s="1"/>
  <c r="X206" i="6" s="1"/>
  <c r="N196" i="6"/>
  <c r="O211" i="6" s="1"/>
  <c r="P211" i="6" s="1"/>
  <c r="X211" i="6" s="1"/>
  <c r="N248" i="6"/>
  <c r="O263" i="6" s="1"/>
  <c r="P263" i="6" s="1"/>
  <c r="X263" i="6" s="1"/>
  <c r="N221" i="6"/>
  <c r="O236" i="6" s="1"/>
  <c r="P236" i="6" s="1"/>
  <c r="X236" i="6" s="1"/>
  <c r="N129" i="6"/>
  <c r="O144" i="6" s="1"/>
  <c r="P144" i="6" s="1"/>
  <c r="X144" i="6" s="1"/>
  <c r="N204" i="6"/>
  <c r="O219" i="6" s="1"/>
  <c r="P219" i="6" s="1"/>
  <c r="X219" i="6" s="1"/>
  <c r="T230" i="6"/>
  <c r="U230" i="6" s="1"/>
  <c r="V230" i="6" s="1"/>
  <c r="T198" i="6"/>
  <c r="U198" i="6" s="1"/>
  <c r="V198" i="6" s="1"/>
  <c r="T233" i="6"/>
  <c r="U233" i="6" s="1"/>
  <c r="V233" i="6" s="1"/>
  <c r="T193" i="6"/>
  <c r="U193" i="6" s="1"/>
  <c r="V193" i="6" s="1"/>
  <c r="T221" i="6"/>
  <c r="U221" i="6" s="1"/>
  <c r="V221" i="6" s="1"/>
  <c r="N72" i="6"/>
  <c r="O87" i="6" s="1"/>
  <c r="P87" i="6" s="1"/>
  <c r="X87" i="6" s="1"/>
  <c r="N226" i="6"/>
  <c r="O241" i="6" s="1"/>
  <c r="P241" i="6" s="1"/>
  <c r="X241" i="6" s="1"/>
  <c r="N137" i="6"/>
  <c r="O152" i="6" s="1"/>
  <c r="P152" i="6" s="1"/>
  <c r="X152" i="6" s="1"/>
  <c r="T105" i="6"/>
  <c r="U105" i="6" s="1"/>
  <c r="V105" i="6" s="1"/>
  <c r="T260" i="6"/>
  <c r="U260" i="6" s="1"/>
  <c r="V260" i="6" s="1"/>
  <c r="N99" i="6"/>
  <c r="O114" i="6" s="1"/>
  <c r="P114" i="6" s="1"/>
  <c r="X114" i="6" s="1"/>
  <c r="T202" i="6"/>
  <c r="U202" i="6" s="1"/>
  <c r="V202" i="6" s="1"/>
  <c r="N222" i="6"/>
  <c r="O237" i="6" s="1"/>
  <c r="P237" i="6" s="1"/>
  <c r="X237" i="6" s="1"/>
  <c r="N61" i="6"/>
  <c r="O76" i="6" s="1"/>
  <c r="P76" i="6" s="1"/>
  <c r="X76" i="6" s="1"/>
  <c r="N84" i="6"/>
  <c r="O99" i="6" s="1"/>
  <c r="P99" i="6" s="1"/>
  <c r="X99" i="6" s="1"/>
  <c r="N243" i="6"/>
  <c r="O258" i="6" s="1"/>
  <c r="P258" i="6" s="1"/>
  <c r="X258" i="6" s="1"/>
  <c r="T151" i="6"/>
  <c r="U151" i="6" s="1"/>
  <c r="V151" i="6" s="1"/>
  <c r="T181" i="6"/>
  <c r="U181" i="6" s="1"/>
  <c r="V181" i="6" s="1"/>
  <c r="T143" i="6"/>
  <c r="U143" i="6" s="1"/>
  <c r="V143" i="6" s="1"/>
  <c r="T240" i="6"/>
  <c r="U240" i="6" s="1"/>
  <c r="V240" i="6" s="1"/>
  <c r="N211" i="6"/>
  <c r="O226" i="6" s="1"/>
  <c r="P226" i="6" s="1"/>
  <c r="X226" i="6" s="1"/>
  <c r="T82" i="6"/>
  <c r="U82" i="6" s="1"/>
  <c r="V82" i="6" s="1"/>
  <c r="N94" i="6"/>
  <c r="O109" i="6" s="1"/>
  <c r="P109" i="6" s="1"/>
  <c r="X109" i="6" s="1"/>
  <c r="T149" i="6"/>
  <c r="U149" i="6" s="1"/>
  <c r="V149" i="6" s="1"/>
  <c r="N188" i="6"/>
  <c r="O203" i="6" s="1"/>
  <c r="P203" i="6" s="1"/>
  <c r="X203" i="6" s="1"/>
  <c r="T140" i="6"/>
  <c r="U140" i="6" s="1"/>
  <c r="V140" i="6" s="1"/>
  <c r="N111" i="6"/>
  <c r="O126" i="6" s="1"/>
  <c r="P126" i="6" s="1"/>
  <c r="X126" i="6" s="1"/>
  <c r="N247" i="6"/>
  <c r="O262" i="6" s="1"/>
  <c r="P262" i="6" s="1"/>
  <c r="X262" i="6" s="1"/>
  <c r="N200" i="6"/>
  <c r="O215" i="6" s="1"/>
  <c r="P215" i="6" s="1"/>
  <c r="X215" i="6" s="1"/>
  <c r="T214" i="6"/>
  <c r="U214" i="6" s="1"/>
  <c r="V214" i="6" s="1"/>
  <c r="T209" i="6"/>
  <c r="U209" i="6" s="1"/>
  <c r="V209" i="6" s="1"/>
  <c r="N175" i="6"/>
  <c r="O190" i="6" s="1"/>
  <c r="P190" i="6" s="1"/>
  <c r="X190" i="6" s="1"/>
  <c r="T200" i="6"/>
  <c r="U200" i="6" s="1"/>
  <c r="V200" i="6" s="1"/>
  <c r="T249" i="6"/>
  <c r="U249" i="6" s="1"/>
  <c r="V249" i="6" s="1"/>
  <c r="T247" i="6"/>
  <c r="U247" i="6" s="1"/>
  <c r="V247" i="6" s="1"/>
  <c r="T133" i="6"/>
  <c r="U133" i="6" s="1"/>
  <c r="V133" i="6" s="1"/>
  <c r="N168" i="6"/>
  <c r="O183" i="6" s="1"/>
  <c r="P183" i="6" s="1"/>
  <c r="X183" i="6" s="1"/>
  <c r="N237" i="6"/>
  <c r="O252" i="6" s="1"/>
  <c r="P252" i="6" s="1"/>
  <c r="X252" i="6" s="1"/>
  <c r="N86" i="6"/>
  <c r="O101" i="6" s="1"/>
  <c r="P101" i="6" s="1"/>
  <c r="X101" i="6" s="1"/>
  <c r="N179" i="6"/>
  <c r="O194" i="6" s="1"/>
  <c r="P194" i="6" s="1"/>
  <c r="X194" i="6" s="1"/>
  <c r="N71" i="6"/>
  <c r="O86" i="6" s="1"/>
  <c r="P86" i="6" s="1"/>
  <c r="X86" i="6" s="1"/>
  <c r="N68" i="6"/>
  <c r="O83" i="6" s="1"/>
  <c r="P83" i="6" s="1"/>
  <c r="X83" i="6" s="1"/>
  <c r="T223" i="6"/>
  <c r="U223" i="6" s="1"/>
  <c r="V223" i="6" s="1"/>
  <c r="N73" i="6"/>
  <c r="O88" i="6" s="1"/>
  <c r="P88" i="6" s="1"/>
  <c r="X88" i="6" s="1"/>
  <c r="N145" i="6"/>
  <c r="O160" i="6" s="1"/>
  <c r="P160" i="6" s="1"/>
  <c r="X160" i="6" s="1"/>
  <c r="T64" i="6"/>
  <c r="U64" i="6" s="1"/>
  <c r="V64" i="6" s="1"/>
  <c r="T129" i="6"/>
  <c r="U129" i="6" s="1"/>
  <c r="V129" i="6" s="1"/>
  <c r="N69" i="6"/>
  <c r="O84" i="6" s="1"/>
  <c r="P84" i="6" s="1"/>
  <c r="X84" i="6" s="1"/>
  <c r="N121" i="6"/>
  <c r="O136" i="6" s="1"/>
  <c r="P136" i="6" s="1"/>
  <c r="X136" i="6" s="1"/>
  <c r="N163" i="6"/>
  <c r="O178" i="6" s="1"/>
  <c r="P178" i="6" s="1"/>
  <c r="X178" i="6" s="1"/>
  <c r="T156" i="6"/>
  <c r="U156" i="6" s="1"/>
  <c r="V156" i="6" s="1"/>
  <c r="N149" i="6"/>
  <c r="O164" i="6" s="1"/>
  <c r="P164" i="6" s="1"/>
  <c r="X164" i="6" s="1"/>
  <c r="T197" i="6"/>
  <c r="U197" i="6" s="1"/>
  <c r="V197" i="6" s="1"/>
  <c r="N209" i="6"/>
  <c r="O224" i="6" s="1"/>
  <c r="P224" i="6" s="1"/>
  <c r="X224" i="6" s="1"/>
  <c r="T65" i="6"/>
  <c r="U65" i="6" s="1"/>
  <c r="V65" i="6" s="1"/>
  <c r="N152" i="6"/>
  <c r="O167" i="6" s="1"/>
  <c r="P167" i="6" s="1"/>
  <c r="X167" i="6" s="1"/>
  <c r="T90" i="6"/>
  <c r="U90" i="6" s="1"/>
  <c r="V90" i="6" s="1"/>
  <c r="N57" i="6"/>
  <c r="O72" i="6" s="1"/>
  <c r="P72" i="6" s="1"/>
  <c r="X72" i="6" s="1"/>
  <c r="N81" i="6"/>
  <c r="O96" i="6" s="1"/>
  <c r="P96" i="6" s="1"/>
  <c r="X96" i="6" s="1"/>
  <c r="T85" i="6"/>
  <c r="U85" i="6" s="1"/>
  <c r="V85" i="6" s="1"/>
  <c r="N224" i="6"/>
  <c r="O239" i="6" s="1"/>
  <c r="P239" i="6" s="1"/>
  <c r="X239" i="6" s="1"/>
  <c r="T176" i="6"/>
  <c r="U176" i="6" s="1"/>
  <c r="V176" i="6" s="1"/>
  <c r="N80" i="6"/>
  <c r="O95" i="6" s="1"/>
  <c r="P95" i="6" s="1"/>
  <c r="X95" i="6" s="1"/>
  <c r="AB117" i="6"/>
  <c r="BD117" i="6"/>
  <c r="Z165" i="6"/>
  <c r="Y165" i="6"/>
  <c r="Y73" i="6"/>
  <c r="Z73" i="6"/>
  <c r="BD119" i="6"/>
  <c r="AB119" i="6"/>
  <c r="Y244" i="6"/>
  <c r="Z244" i="6"/>
  <c r="AB168" i="6"/>
  <c r="BD168" i="6"/>
  <c r="AB154" i="6"/>
  <c r="BD154" i="6"/>
  <c r="AB157" i="6"/>
  <c r="BD157" i="6"/>
  <c r="Z138" i="6"/>
  <c r="Y138" i="6"/>
  <c r="Y254" i="6"/>
  <c r="Z254" i="6"/>
  <c r="Z146" i="6"/>
  <c r="Y146" i="6"/>
  <c r="Y243" i="6"/>
  <c r="Z243" i="6"/>
  <c r="BD121" i="6"/>
  <c r="AB121" i="6"/>
  <c r="AB86" i="6"/>
  <c r="BD86" i="6"/>
  <c r="Y177" i="6"/>
  <c r="Z177" i="6"/>
  <c r="BD95" i="6"/>
  <c r="AB95" i="6"/>
  <c r="BD160" i="6"/>
  <c r="AB160" i="6"/>
  <c r="BD203" i="6"/>
  <c r="AB203" i="6"/>
  <c r="AB190" i="6"/>
  <c r="BD190" i="6"/>
  <c r="Y129" i="6"/>
  <c r="Z129" i="6"/>
  <c r="Y115" i="6"/>
  <c r="Z115" i="6"/>
  <c r="Y149" i="6"/>
  <c r="Z149" i="6"/>
  <c r="AB164" i="6"/>
  <c r="BD164" i="6"/>
  <c r="AB224" i="6"/>
  <c r="BD224" i="6"/>
  <c r="AB178" i="6"/>
  <c r="BD178" i="6"/>
  <c r="AB239" i="6"/>
  <c r="BD239" i="6"/>
  <c r="Z77" i="6"/>
  <c r="Y77" i="6"/>
  <c r="BD183" i="6"/>
  <c r="AB183" i="6"/>
  <c r="Z143" i="6"/>
  <c r="Y143" i="6"/>
  <c r="Z223" i="6"/>
  <c r="Y223" i="6"/>
  <c r="AB101" i="6"/>
  <c r="BD101" i="6"/>
  <c r="BD246" i="6"/>
  <c r="AB246" i="6"/>
  <c r="Z65" i="6"/>
  <c r="Y65" i="6"/>
  <c r="Z193" i="6"/>
  <c r="Y193" i="6"/>
  <c r="AB87" i="6"/>
  <c r="BD87" i="6"/>
  <c r="Y188" i="6"/>
  <c r="Z188" i="6"/>
  <c r="BD236" i="6"/>
  <c r="AB236" i="6"/>
  <c r="BD212" i="6"/>
  <c r="AB212" i="6"/>
  <c r="AB114" i="6"/>
  <c r="BD114" i="6"/>
  <c r="AB96" i="6"/>
  <c r="BD96" i="6"/>
  <c r="AB219" i="6"/>
  <c r="AF219" i="6" s="1"/>
  <c r="BD219" i="6"/>
  <c r="AB241" i="6"/>
  <c r="BD241" i="6"/>
  <c r="AB237" i="6"/>
  <c r="BD237" i="6"/>
  <c r="Y85" i="6"/>
  <c r="Z85" i="6"/>
  <c r="Z82" i="6"/>
  <c r="Y82" i="6"/>
  <c r="AB83" i="6"/>
  <c r="AF83" i="6" s="1"/>
  <c r="BD83" i="6"/>
  <c r="Z240" i="6"/>
  <c r="Y240" i="6"/>
  <c r="Y181" i="6"/>
  <c r="Z181" i="6"/>
  <c r="AB68" i="6"/>
  <c r="BD68" i="6"/>
  <c r="Z217" i="6"/>
  <c r="Y217" i="6"/>
  <c r="Z173" i="6"/>
  <c r="Y173" i="6"/>
  <c r="BD110" i="6"/>
  <c r="AB110" i="6"/>
  <c r="BD147" i="6"/>
  <c r="AB147" i="6"/>
  <c r="Z195" i="6"/>
  <c r="Y195" i="6"/>
  <c r="AB75" i="6"/>
  <c r="BD75" i="6"/>
  <c r="AB80" i="6"/>
  <c r="BD80" i="6"/>
  <c r="Z123" i="6"/>
  <c r="Y123" i="6"/>
  <c r="AB196" i="6"/>
  <c r="BD196" i="6"/>
  <c r="Z218" i="6"/>
  <c r="Y218" i="6"/>
  <c r="AB231" i="6"/>
  <c r="BD231" i="6"/>
  <c r="BD78" i="6"/>
  <c r="AB78" i="6"/>
  <c r="Z139" i="6"/>
  <c r="Y139" i="6"/>
  <c r="Y222" i="6"/>
  <c r="Z222" i="6"/>
  <c r="BD259" i="6"/>
  <c r="AB259" i="6"/>
  <c r="BD93" i="6"/>
  <c r="AB93" i="6"/>
  <c r="BD155" i="6"/>
  <c r="AB155" i="6"/>
  <c r="Y208" i="6"/>
  <c r="Z208" i="6"/>
  <c r="Z105" i="6"/>
  <c r="Y105" i="6"/>
  <c r="Y156" i="6"/>
  <c r="Z156" i="6"/>
  <c r="Z198" i="6"/>
  <c r="Y198" i="6"/>
  <c r="AB211" i="6"/>
  <c r="BD211" i="6"/>
  <c r="Y69" i="6"/>
  <c r="Z69" i="6"/>
  <c r="Z102" i="6"/>
  <c r="Y102" i="6"/>
  <c r="AB228" i="6"/>
  <c r="BD228" i="6"/>
  <c r="Z133" i="6"/>
  <c r="Y133" i="6"/>
  <c r="BD152" i="6"/>
  <c r="AB152" i="6"/>
  <c r="Y255" i="6"/>
  <c r="Z255" i="6"/>
  <c r="AB88" i="6"/>
  <c r="BD88" i="6"/>
  <c r="BD245" i="6"/>
  <c r="AB245" i="6"/>
  <c r="Z153" i="6"/>
  <c r="Y153" i="6"/>
  <c r="BD263" i="6"/>
  <c r="AB263" i="6"/>
  <c r="BD226" i="6"/>
  <c r="AB226" i="6"/>
  <c r="Z205" i="6"/>
  <c r="Y205" i="6"/>
  <c r="Y169" i="6"/>
  <c r="Z169" i="6"/>
  <c r="Z230" i="6"/>
  <c r="Y230" i="6"/>
  <c r="Y90" i="6"/>
  <c r="Z90" i="6"/>
  <c r="Z235" i="6"/>
  <c r="Y235" i="6"/>
  <c r="BD144" i="6"/>
  <c r="AB144" i="6"/>
  <c r="BD113" i="6"/>
  <c r="AB113" i="6"/>
  <c r="AB170" i="6"/>
  <c r="BD170" i="6"/>
  <c r="AB76" i="6"/>
  <c r="BD76" i="6"/>
  <c r="BD142" i="6"/>
  <c r="AB142" i="6"/>
  <c r="Y233" i="6"/>
  <c r="Z233" i="6"/>
  <c r="Z184" i="6"/>
  <c r="Y184" i="6"/>
  <c r="Z137" i="6"/>
  <c r="Y137" i="6"/>
  <c r="Y162" i="6"/>
  <c r="Z162" i="6"/>
  <c r="Z122" i="6"/>
  <c r="Y122" i="6"/>
  <c r="Y199" i="6"/>
  <c r="Z199" i="6"/>
  <c r="AB74" i="6"/>
  <c r="BD74" i="6"/>
  <c r="Y229" i="6"/>
  <c r="Z229" i="6"/>
  <c r="Z71" i="6"/>
  <c r="Y71" i="6"/>
  <c r="BD134" i="6"/>
  <c r="AB134" i="6"/>
  <c r="Y257" i="6"/>
  <c r="Z257" i="6"/>
  <c r="AB251" i="6"/>
  <c r="BD251" i="6"/>
  <c r="Z264" i="6"/>
  <c r="Y264" i="6"/>
  <c r="Y171" i="6"/>
  <c r="Z171" i="6"/>
  <c r="T173" i="6"/>
  <c r="U173" i="6" s="1"/>
  <c r="V173" i="6" s="1"/>
  <c r="CB173" i="6" s="1"/>
  <c r="CC173" i="6" s="1"/>
  <c r="T217" i="6"/>
  <c r="U217" i="6" s="1"/>
  <c r="V217" i="6" s="1"/>
  <c r="CB217" i="6" s="1"/>
  <c r="CC217" i="6" s="1"/>
  <c r="T138" i="6"/>
  <c r="U138" i="6" s="1"/>
  <c r="V138" i="6" s="1"/>
  <c r="CB138" i="6" s="1"/>
  <c r="CC138" i="6" s="1"/>
  <c r="T146" i="6"/>
  <c r="U146" i="6" s="1"/>
  <c r="V146" i="6" s="1"/>
  <c r="CB146" i="6" s="1"/>
  <c r="CC146" i="6" s="1"/>
  <c r="CD146" i="6" s="1"/>
  <c r="CG146" i="6" s="1"/>
  <c r="T232" i="6"/>
  <c r="U232" i="6" s="1"/>
  <c r="V232" i="6" s="1"/>
  <c r="CB232" i="6" s="1"/>
  <c r="CC232" i="6" s="1"/>
  <c r="N95" i="6"/>
  <c r="O110" i="6" s="1"/>
  <c r="P110" i="6" s="1"/>
  <c r="X110" i="6" s="1"/>
  <c r="N153" i="6"/>
  <c r="O168" i="6" s="1"/>
  <c r="P168" i="6" s="1"/>
  <c r="X168" i="6" s="1"/>
  <c r="AB191" i="6"/>
  <c r="BD191" i="6"/>
  <c r="Y64" i="6"/>
  <c r="Z64" i="6"/>
  <c r="T199" i="6"/>
  <c r="U199" i="6" s="1"/>
  <c r="V199" i="6" s="1"/>
  <c r="CB199" i="6" s="1"/>
  <c r="CC199" i="6" s="1"/>
  <c r="N159" i="6"/>
  <c r="O174" i="6" s="1"/>
  <c r="P174" i="6" s="1"/>
  <c r="X174" i="6" s="1"/>
  <c r="T186" i="6"/>
  <c r="U186" i="6" s="1"/>
  <c r="V186" i="6" s="1"/>
  <c r="CB186" i="6" s="1"/>
  <c r="CC186" i="6" s="1"/>
  <c r="T222" i="6"/>
  <c r="U222" i="6" s="1"/>
  <c r="V222" i="6" s="1"/>
  <c r="CB222" i="6" s="1"/>
  <c r="CC222" i="6" s="1"/>
  <c r="Y140" i="6"/>
  <c r="Z140" i="6"/>
  <c r="N92" i="6"/>
  <c r="O107" i="6" s="1"/>
  <c r="P107" i="6" s="1"/>
  <c r="X107" i="6" s="1"/>
  <c r="N64" i="6"/>
  <c r="O79" i="6" s="1"/>
  <c r="P79" i="6" s="1"/>
  <c r="X79" i="6" s="1"/>
  <c r="AB84" i="6"/>
  <c r="BD84" i="6"/>
  <c r="BD125" i="6"/>
  <c r="AB125" i="6"/>
  <c r="T195" i="6"/>
  <c r="U195" i="6" s="1"/>
  <c r="V195" i="6" s="1"/>
  <c r="CB195" i="6" s="1"/>
  <c r="CC195" i="6" s="1"/>
  <c r="N113" i="6"/>
  <c r="O128" i="6" s="1"/>
  <c r="P128" i="6" s="1"/>
  <c r="X128" i="6" s="1"/>
  <c r="N223" i="6"/>
  <c r="O238" i="6" s="1"/>
  <c r="P238" i="6" s="1"/>
  <c r="X238" i="6" s="1"/>
  <c r="Y132" i="6"/>
  <c r="Z132" i="6"/>
  <c r="Z150" i="6"/>
  <c r="Y150" i="6"/>
  <c r="BD182" i="6"/>
  <c r="AB182" i="6"/>
  <c r="T208" i="6"/>
  <c r="U208" i="6" s="1"/>
  <c r="V208" i="6" s="1"/>
  <c r="CB208" i="6" s="1"/>
  <c r="CC208" i="6" s="1"/>
  <c r="CD208" i="6" s="1"/>
  <c r="CG208" i="6" s="1"/>
  <c r="Y98" i="6"/>
  <c r="Z98" i="6"/>
  <c r="N104" i="6"/>
  <c r="O119" i="6" s="1"/>
  <c r="P119" i="6" s="1"/>
  <c r="X119" i="6" s="1"/>
  <c r="N101" i="6"/>
  <c r="O116" i="6" s="1"/>
  <c r="P116" i="6" s="1"/>
  <c r="X116" i="6" s="1"/>
  <c r="T254" i="6"/>
  <c r="U254" i="6" s="1"/>
  <c r="V254" i="6" s="1"/>
  <c r="CB254" i="6" s="1"/>
  <c r="CC254" i="6" s="1"/>
  <c r="CD254" i="6" s="1"/>
  <c r="CG254" i="6" s="1"/>
  <c r="BD67" i="6"/>
  <c r="AB67" i="6"/>
  <c r="AB204" i="6"/>
  <c r="BD204" i="6"/>
  <c r="Y135" i="6"/>
  <c r="Z135" i="6"/>
  <c r="N63" i="6"/>
  <c r="O78" i="6" s="1"/>
  <c r="P78" i="6" s="1"/>
  <c r="X78" i="6" s="1"/>
  <c r="BD145" i="6"/>
  <c r="AB145" i="6"/>
  <c r="AB109" i="6"/>
  <c r="BD109" i="6"/>
  <c r="BD130" i="6"/>
  <c r="AB130" i="6"/>
  <c r="BD126" i="6"/>
  <c r="AB126" i="6"/>
  <c r="Z214" i="6"/>
  <c r="Y214" i="6"/>
  <c r="Z210" i="6"/>
  <c r="Y210" i="6"/>
  <c r="AB215" i="6"/>
  <c r="BD215" i="6"/>
  <c r="AB91" i="6"/>
  <c r="BD91" i="6"/>
  <c r="Z249" i="6"/>
  <c r="Y249" i="6"/>
  <c r="Y225" i="6"/>
  <c r="Z225" i="6"/>
  <c r="AB242" i="6"/>
  <c r="BD242" i="6"/>
  <c r="AB72" i="6"/>
  <c r="BD72" i="6"/>
  <c r="AB136" i="6"/>
  <c r="BD136" i="6"/>
  <c r="AB207" i="6"/>
  <c r="BD207" i="6"/>
  <c r="Y103" i="6"/>
  <c r="Z103" i="6"/>
  <c r="Y247" i="6"/>
  <c r="Z247" i="6"/>
  <c r="AB206" i="6"/>
  <c r="BD206" i="6"/>
  <c r="Y161" i="6"/>
  <c r="Z161" i="6"/>
  <c r="Z192" i="6"/>
  <c r="Y192" i="6"/>
  <c r="Y209" i="6"/>
  <c r="Z209" i="6"/>
  <c r="AB262" i="6"/>
  <c r="BD262" i="6"/>
  <c r="T235" i="6"/>
  <c r="U235" i="6" s="1"/>
  <c r="V235" i="6" s="1"/>
  <c r="CB235" i="6" s="1"/>
  <c r="CC235" i="6" s="1"/>
  <c r="N213" i="6"/>
  <c r="O228" i="6" s="1"/>
  <c r="P228" i="6" s="1"/>
  <c r="X228" i="6" s="1"/>
  <c r="T69" i="6"/>
  <c r="U69" i="6" s="1"/>
  <c r="V69" i="6" s="1"/>
  <c r="CB69" i="6" s="1"/>
  <c r="CC69" i="6" s="1"/>
  <c r="CD69" i="6" s="1"/>
  <c r="CG69" i="6" s="1"/>
  <c r="N76" i="6"/>
  <c r="O91" i="6" s="1"/>
  <c r="P91" i="6" s="1"/>
  <c r="X91" i="6" s="1"/>
  <c r="N227" i="6"/>
  <c r="O242" i="6" s="1"/>
  <c r="P242" i="6" s="1"/>
  <c r="X242" i="6" s="1"/>
  <c r="T243" i="6"/>
  <c r="U243" i="6" s="1"/>
  <c r="V243" i="6" s="1"/>
  <c r="CB243" i="6" s="1"/>
  <c r="CC243" i="6" s="1"/>
  <c r="T225" i="6"/>
  <c r="U225" i="6" s="1"/>
  <c r="V225" i="6" s="1"/>
  <c r="CB225" i="6" s="1"/>
  <c r="CC225" i="6" s="1"/>
  <c r="N133" i="6"/>
  <c r="O148" i="6" s="1"/>
  <c r="P148" i="6" s="1"/>
  <c r="X148" i="6" s="1"/>
  <c r="N53" i="6"/>
  <c r="O68" i="6" s="1"/>
  <c r="P68" i="6" s="1"/>
  <c r="X68" i="6" s="1"/>
  <c r="T177" i="6"/>
  <c r="U177" i="6" s="1"/>
  <c r="V177" i="6" s="1"/>
  <c r="CB177" i="6" s="1"/>
  <c r="CC177" i="6" s="1"/>
  <c r="CD177" i="6" s="1"/>
  <c r="CG177" i="6" s="1"/>
  <c r="T166" i="6"/>
  <c r="U166" i="6" s="1"/>
  <c r="V166" i="6" s="1"/>
  <c r="CB166" i="6" s="1"/>
  <c r="CC166" i="6" s="1"/>
  <c r="T123" i="6"/>
  <c r="U123" i="6" s="1"/>
  <c r="V123" i="6" s="1"/>
  <c r="CB123" i="6" s="1"/>
  <c r="CC123" i="6" s="1"/>
  <c r="CD123" i="6" s="1"/>
  <c r="CG123" i="6" s="1"/>
  <c r="N197" i="6"/>
  <c r="O212" i="6" s="1"/>
  <c r="P212" i="6" s="1"/>
  <c r="X212" i="6" s="1"/>
  <c r="N115" i="6"/>
  <c r="O130" i="6" s="1"/>
  <c r="P130" i="6" s="1"/>
  <c r="X130" i="6" s="1"/>
  <c r="T115" i="6"/>
  <c r="U115" i="6" s="1"/>
  <c r="V115" i="6" s="1"/>
  <c r="CB115" i="6" s="1"/>
  <c r="CC115" i="6" s="1"/>
  <c r="T220" i="6"/>
  <c r="U220" i="6" s="1"/>
  <c r="V220" i="6" s="1"/>
  <c r="CB220" i="6" s="1"/>
  <c r="CC220" i="6" s="1"/>
  <c r="T73" i="6"/>
  <c r="U73" i="6" s="1"/>
  <c r="V73" i="6" s="1"/>
  <c r="CB73" i="6" s="1"/>
  <c r="CC73" i="6" s="1"/>
  <c r="T161" i="6"/>
  <c r="U161" i="6" s="1"/>
  <c r="V161" i="6" s="1"/>
  <c r="CB161" i="6" s="1"/>
  <c r="CC161" i="6" s="1"/>
  <c r="CD161" i="6" s="1"/>
  <c r="CG161" i="6" s="1"/>
  <c r="N230" i="6"/>
  <c r="O245" i="6" s="1"/>
  <c r="P245" i="6" s="1"/>
  <c r="X245" i="6" s="1"/>
  <c r="N102" i="6"/>
  <c r="O117" i="6" s="1"/>
  <c r="P117" i="6" s="1"/>
  <c r="X117" i="6" s="1"/>
  <c r="N155" i="6"/>
  <c r="O170" i="6" s="1"/>
  <c r="P170" i="6" s="1"/>
  <c r="X170" i="6" s="1"/>
  <c r="N236" i="6"/>
  <c r="O251" i="6" s="1"/>
  <c r="P251" i="6" s="1"/>
  <c r="X251" i="6" s="1"/>
  <c r="T77" i="6"/>
  <c r="U77" i="6" s="1"/>
  <c r="V77" i="6" s="1"/>
  <c r="CB77" i="6" s="1"/>
  <c r="CC77" i="6" s="1"/>
  <c r="CE77" i="6" s="1"/>
  <c r="CH77" i="6" s="1"/>
  <c r="N231" i="6"/>
  <c r="O246" i="6" s="1"/>
  <c r="P246" i="6" s="1"/>
  <c r="X246" i="6" s="1"/>
  <c r="T141" i="6"/>
  <c r="U141" i="6" s="1"/>
  <c r="V141" i="6" s="1"/>
  <c r="CB141" i="6" s="1"/>
  <c r="CC141" i="6" s="1"/>
  <c r="N89" i="6"/>
  <c r="O104" i="6" s="1"/>
  <c r="P104" i="6" s="1"/>
  <c r="X104" i="6" s="1"/>
  <c r="N143" i="6"/>
  <c r="O158" i="6" s="1"/>
  <c r="P158" i="6" s="1"/>
  <c r="X158" i="6" s="1"/>
  <c r="N127" i="6"/>
  <c r="O142" i="6" s="1"/>
  <c r="P142" i="6" s="1"/>
  <c r="X142" i="6" s="1"/>
  <c r="T179" i="6"/>
  <c r="U179" i="6" s="1"/>
  <c r="V179" i="6" s="1"/>
  <c r="CB179" i="6" s="1"/>
  <c r="CC179" i="6" s="1"/>
  <c r="CE179" i="6" s="1"/>
  <c r="CH179" i="6" s="1"/>
  <c r="N192" i="6"/>
  <c r="O207" i="6" s="1"/>
  <c r="P207" i="6" s="1"/>
  <c r="X207" i="6" s="1"/>
  <c r="T244" i="6"/>
  <c r="U244" i="6" s="1"/>
  <c r="V244" i="6" s="1"/>
  <c r="CB244" i="6" s="1"/>
  <c r="CC244" i="6" s="1"/>
  <c r="CE244" i="6" s="1"/>
  <c r="CH244" i="6" s="1"/>
  <c r="N98" i="6"/>
  <c r="O113" i="6" s="1"/>
  <c r="P113" i="6" s="1"/>
  <c r="X113" i="6" s="1"/>
  <c r="N93" i="6"/>
  <c r="O108" i="6" s="1"/>
  <c r="P108" i="6" s="1"/>
  <c r="X108" i="6" s="1"/>
  <c r="T169" i="6"/>
  <c r="U169" i="6" s="1"/>
  <c r="V169" i="6" s="1"/>
  <c r="CB169" i="6" s="1"/>
  <c r="CC169" i="6" s="1"/>
  <c r="N186" i="6"/>
  <c r="O201" i="6" s="1"/>
  <c r="P201" i="6" s="1"/>
  <c r="X201" i="6" s="1"/>
  <c r="T188" i="6"/>
  <c r="U188" i="6" s="1"/>
  <c r="V188" i="6" s="1"/>
  <c r="CB188" i="6" s="1"/>
  <c r="CC188" i="6" s="1"/>
  <c r="N170" i="6"/>
  <c r="O185" i="6" s="1"/>
  <c r="P185" i="6" s="1"/>
  <c r="X185" i="6" s="1"/>
  <c r="N140" i="6"/>
  <c r="O155" i="6" s="1"/>
  <c r="P155" i="6" s="1"/>
  <c r="X155" i="6" s="1"/>
  <c r="N244" i="6"/>
  <c r="O259" i="6" s="1"/>
  <c r="P259" i="6" s="1"/>
  <c r="X259" i="6" s="1"/>
  <c r="T131" i="6"/>
  <c r="U131" i="6" s="1"/>
  <c r="V131" i="6" s="1"/>
  <c r="CB131" i="6" s="1"/>
  <c r="CC131" i="6" s="1"/>
  <c r="BD163" i="6"/>
  <c r="AB163" i="6"/>
  <c r="Z256" i="6"/>
  <c r="Y256" i="6"/>
  <c r="Y111" i="6"/>
  <c r="Z111" i="6"/>
  <c r="Y127" i="6"/>
  <c r="Z127" i="6"/>
  <c r="BD253" i="6"/>
  <c r="AB253" i="6"/>
  <c r="AB234" i="6"/>
  <c r="BD234" i="6"/>
  <c r="BD238" i="6"/>
  <c r="AB238" i="6"/>
  <c r="Z179" i="6"/>
  <c r="Y179" i="6"/>
  <c r="AB104" i="6"/>
  <c r="BD104" i="6"/>
  <c r="AB112" i="6"/>
  <c r="BD112" i="6"/>
  <c r="Y131" i="6"/>
  <c r="Z131" i="6"/>
  <c r="BD227" i="6"/>
  <c r="AB227" i="6"/>
  <c r="Z232" i="6"/>
  <c r="Y232" i="6"/>
  <c r="N132" i="6"/>
  <c r="O147" i="6" s="1"/>
  <c r="P147" i="6" s="1"/>
  <c r="X147" i="6" s="1"/>
  <c r="Z151" i="6"/>
  <c r="Y151" i="6"/>
  <c r="T165" i="6"/>
  <c r="U165" i="6" s="1"/>
  <c r="V165" i="6" s="1"/>
  <c r="CB165" i="6" s="1"/>
  <c r="CC165" i="6" s="1"/>
  <c r="T218" i="6"/>
  <c r="U218" i="6" s="1"/>
  <c r="V218" i="6" s="1"/>
  <c r="CB218" i="6" s="1"/>
  <c r="CC218" i="6" s="1"/>
  <c r="CD218" i="6" s="1"/>
  <c r="CG218" i="6" s="1"/>
  <c r="N139" i="6"/>
  <c r="O154" i="6" s="1"/>
  <c r="P154" i="6" s="1"/>
  <c r="X154" i="6" s="1"/>
  <c r="N78" i="6"/>
  <c r="O93" i="6" s="1"/>
  <c r="P93" i="6" s="1"/>
  <c r="X93" i="6" s="1"/>
  <c r="N238" i="6"/>
  <c r="O253" i="6" s="1"/>
  <c r="P253" i="6" s="1"/>
  <c r="X253" i="6" s="1"/>
  <c r="N106" i="6"/>
  <c r="O121" i="6" s="1"/>
  <c r="P121" i="6" s="1"/>
  <c r="X121" i="6" s="1"/>
  <c r="T139" i="6"/>
  <c r="U139" i="6" s="1"/>
  <c r="V139" i="6" s="1"/>
  <c r="CB139" i="6" s="1"/>
  <c r="CC139" i="6" s="1"/>
  <c r="N216" i="6"/>
  <c r="O231" i="6" s="1"/>
  <c r="P231" i="6" s="1"/>
  <c r="X231" i="6" s="1"/>
  <c r="N181" i="6"/>
  <c r="O196" i="6" s="1"/>
  <c r="P196" i="6" s="1"/>
  <c r="X196" i="6" s="1"/>
  <c r="N97" i="6"/>
  <c r="O112" i="6" s="1"/>
  <c r="P112" i="6" s="1"/>
  <c r="X112" i="6" s="1"/>
  <c r="N212" i="6"/>
  <c r="O227" i="6" s="1"/>
  <c r="P227" i="6" s="1"/>
  <c r="X227" i="6" s="1"/>
  <c r="AB70" i="6"/>
  <c r="BD70" i="6"/>
  <c r="Z89" i="6"/>
  <c r="Y89" i="6"/>
  <c r="AB189" i="6"/>
  <c r="BD189" i="6"/>
  <c r="BD94" i="6"/>
  <c r="AB94" i="6"/>
  <c r="Y187" i="6"/>
  <c r="Z187" i="6"/>
  <c r="AB201" i="6"/>
  <c r="BD201" i="6"/>
  <c r="AB174" i="6"/>
  <c r="BD174" i="6"/>
  <c r="Y260" i="6"/>
  <c r="Z260" i="6"/>
  <c r="AB213" i="6"/>
  <c r="BD213" i="6"/>
  <c r="AB108" i="6"/>
  <c r="BD108" i="6"/>
  <c r="AB128" i="6"/>
  <c r="BD128" i="6"/>
  <c r="AB99" i="6"/>
  <c r="BD99" i="6"/>
  <c r="AB79" i="6"/>
  <c r="BD79" i="6"/>
  <c r="BD185" i="6"/>
  <c r="AB185" i="6"/>
  <c r="Z166" i="6"/>
  <c r="Y166" i="6"/>
  <c r="AB107" i="6"/>
  <c r="BD107" i="6"/>
  <c r="AB97" i="6"/>
  <c r="BD97" i="6"/>
  <c r="AB172" i="6"/>
  <c r="BD172" i="6"/>
  <c r="AB116" i="6"/>
  <c r="BD116" i="6"/>
  <c r="Z92" i="6"/>
  <c r="Y92" i="6"/>
  <c r="AB159" i="6"/>
  <c r="BD159" i="6"/>
  <c r="AB175" i="6"/>
  <c r="BD175" i="6"/>
  <c r="Z176" i="6"/>
  <c r="Y176" i="6"/>
  <c r="Y186" i="6"/>
  <c r="Z186" i="6"/>
  <c r="AB250" i="6"/>
  <c r="BD250" i="6"/>
  <c r="N82" i="6"/>
  <c r="O97" i="6" s="1"/>
  <c r="P97" i="6" s="1"/>
  <c r="X97" i="6" s="1"/>
  <c r="T92" i="6"/>
  <c r="U92" i="6" s="1"/>
  <c r="V92" i="6" s="1"/>
  <c r="CB92" i="6" s="1"/>
  <c r="CC92" i="6" s="1"/>
  <c r="Y200" i="6"/>
  <c r="Z200" i="6"/>
  <c r="N144" i="6"/>
  <c r="O159" i="6" s="1"/>
  <c r="P159" i="6" s="1"/>
  <c r="X159" i="6" s="1"/>
  <c r="T187" i="6"/>
  <c r="U187" i="6" s="1"/>
  <c r="V187" i="6" s="1"/>
  <c r="CB187" i="6" s="1"/>
  <c r="CC187" i="6" s="1"/>
  <c r="T229" i="6"/>
  <c r="U229" i="6" s="1"/>
  <c r="V229" i="6" s="1"/>
  <c r="CB229" i="6" s="1"/>
  <c r="CC229" i="6" s="1"/>
  <c r="CD229" i="6" s="1"/>
  <c r="CG229" i="6" s="1"/>
  <c r="N198" i="6"/>
  <c r="O213" i="6" s="1"/>
  <c r="P213" i="6" s="1"/>
  <c r="X213" i="6" s="1"/>
  <c r="Y120" i="6"/>
  <c r="Z120" i="6"/>
  <c r="N235" i="6"/>
  <c r="O250" i="6" s="1"/>
  <c r="P250" i="6" s="1"/>
  <c r="X250" i="6" s="1"/>
  <c r="AB248" i="6"/>
  <c r="BD248" i="6"/>
  <c r="BD81" i="6"/>
  <c r="AB81" i="6"/>
  <c r="N219" i="6"/>
  <c r="O234" i="6" s="1"/>
  <c r="P234" i="6" s="1"/>
  <c r="X234" i="6" s="1"/>
  <c r="Z216" i="6"/>
  <c r="Y216" i="6"/>
  <c r="AB106" i="6"/>
  <c r="BD106" i="6"/>
  <c r="BD66" i="6"/>
  <c r="AB66" i="6"/>
  <c r="BD118" i="6"/>
  <c r="AB118" i="6"/>
  <c r="BD167" i="6"/>
  <c r="AB167" i="6"/>
  <c r="Y221" i="6"/>
  <c r="Z221" i="6"/>
  <c r="BD252" i="6"/>
  <c r="AB252" i="6"/>
  <c r="Y100" i="6"/>
  <c r="Z100" i="6"/>
  <c r="Z202" i="6"/>
  <c r="Y202" i="6"/>
  <c r="AB158" i="6"/>
  <c r="BD158" i="6"/>
  <c r="AB194" i="6"/>
  <c r="BD194" i="6"/>
  <c r="BD261" i="6"/>
  <c r="AB261" i="6"/>
  <c r="AB180" i="6"/>
  <c r="BD180" i="6"/>
  <c r="AB148" i="6"/>
  <c r="BD148" i="6"/>
  <c r="Z124" i="6"/>
  <c r="Y124" i="6"/>
  <c r="Z141" i="6"/>
  <c r="Y141" i="6"/>
  <c r="Y197" i="6"/>
  <c r="Z197" i="6"/>
  <c r="AB258" i="6"/>
  <c r="BD258" i="6"/>
  <c r="Z220" i="6"/>
  <c r="Y220" i="6"/>
  <c r="N160" i="6"/>
  <c r="O175" i="6" s="1"/>
  <c r="P175" i="6" s="1"/>
  <c r="X175" i="6" s="1"/>
  <c r="T103" i="6"/>
  <c r="U103" i="6" s="1"/>
  <c r="V103" i="6" s="1"/>
  <c r="CB103" i="6" s="1"/>
  <c r="CC103" i="6" s="1"/>
  <c r="T192" i="6"/>
  <c r="U192" i="6" s="1"/>
  <c r="V192" i="6" s="1"/>
  <c r="CB192" i="6" s="1"/>
  <c r="CC192" i="6" s="1"/>
  <c r="T257" i="6"/>
  <c r="U257" i="6" s="1"/>
  <c r="V257" i="6" s="1"/>
  <c r="CB257" i="6" s="1"/>
  <c r="CC257" i="6" s="1"/>
  <c r="T171" i="6"/>
  <c r="U171" i="6" s="1"/>
  <c r="V171" i="6" s="1"/>
  <c r="CB171" i="6" s="1"/>
  <c r="CC171" i="6" s="1"/>
  <c r="CD171" i="6" s="1"/>
  <c r="CG171" i="6" s="1"/>
  <c r="N59" i="6"/>
  <c r="O74" i="6" s="1"/>
  <c r="P74" i="6" s="1"/>
  <c r="X74" i="6" s="1"/>
  <c r="T210" i="6"/>
  <c r="U210" i="6" s="1"/>
  <c r="V210" i="6" s="1"/>
  <c r="CB210" i="6" s="1"/>
  <c r="CC210" i="6" s="1"/>
  <c r="CE210" i="6" s="1"/>
  <c r="CH210" i="6" s="1"/>
  <c r="N79" i="6"/>
  <c r="O94" i="6" s="1"/>
  <c r="P94" i="6" s="1"/>
  <c r="X94" i="6" s="1"/>
  <c r="T71" i="6"/>
  <c r="U71" i="6" s="1"/>
  <c r="V71" i="6" s="1"/>
  <c r="CB71" i="6" s="1"/>
  <c r="CC71" i="6" s="1"/>
  <c r="N246" i="6"/>
  <c r="O261" i="6" s="1"/>
  <c r="P261" i="6" s="1"/>
  <c r="X261" i="6" s="1"/>
  <c r="N119" i="6"/>
  <c r="O134" i="6" s="1"/>
  <c r="P134" i="6" s="1"/>
  <c r="X134" i="6" s="1"/>
  <c r="N157" i="6"/>
  <c r="O172" i="6" s="1"/>
  <c r="P172" i="6" s="1"/>
  <c r="X172" i="6" s="1"/>
  <c r="N131" i="2"/>
  <c r="J131" i="2"/>
  <c r="H131" i="2"/>
  <c r="P131" i="2"/>
  <c r="O131" i="2"/>
  <c r="G131" i="2"/>
  <c r="F131" i="2"/>
  <c r="B132" i="2"/>
  <c r="A133" i="2"/>
  <c r="BH96" i="6" l="1"/>
  <c r="AF224" i="6"/>
  <c r="AH224" i="6" s="1"/>
  <c r="AB176" i="6"/>
  <c r="AF176" i="6" s="1"/>
  <c r="AG176" i="6" s="1"/>
  <c r="CB176" i="6"/>
  <c r="CC176" i="6" s="1"/>
  <c r="CE176" i="6" s="1"/>
  <c r="CH176" i="6" s="1"/>
  <c r="BD64" i="6"/>
  <c r="BE64" i="6" s="1"/>
  <c r="CB64" i="6"/>
  <c r="CC64" i="6" s="1"/>
  <c r="BD214" i="6"/>
  <c r="BF214" i="6" s="1"/>
  <c r="CB214" i="6"/>
  <c r="CC214" i="6" s="1"/>
  <c r="CE214" i="6" s="1"/>
  <c r="CH214" i="6" s="1"/>
  <c r="BD198" i="6"/>
  <c r="BE198" i="6" s="1"/>
  <c r="CB198" i="6"/>
  <c r="CC198" i="6" s="1"/>
  <c r="CD198" i="6" s="1"/>
  <c r="CG198" i="6" s="1"/>
  <c r="AB150" i="6"/>
  <c r="AD150" i="6" s="1"/>
  <c r="CB150" i="6"/>
  <c r="CC150" i="6" s="1"/>
  <c r="CE150" i="6" s="1"/>
  <c r="CH150" i="6" s="1"/>
  <c r="AB127" i="6"/>
  <c r="AC127" i="6" s="1"/>
  <c r="CB127" i="6"/>
  <c r="CC127" i="6" s="1"/>
  <c r="CE127" i="6" s="1"/>
  <c r="CH127" i="6" s="1"/>
  <c r="AB122" i="6"/>
  <c r="AF122" i="6" s="1"/>
  <c r="AG122" i="6" s="1"/>
  <c r="CB122" i="6"/>
  <c r="CC122" i="6" s="1"/>
  <c r="CE122" i="6" s="1"/>
  <c r="CH122" i="6" s="1"/>
  <c r="BD90" i="6"/>
  <c r="BH90" i="6" s="1"/>
  <c r="CB90" i="6"/>
  <c r="CC90" i="6" s="1"/>
  <c r="CD90" i="6" s="1"/>
  <c r="CG90" i="6" s="1"/>
  <c r="BD151" i="6"/>
  <c r="BH151" i="6" s="1"/>
  <c r="CB151" i="6"/>
  <c r="CC151" i="6" s="1"/>
  <c r="CD151" i="6" s="1"/>
  <c r="CG151" i="6" s="1"/>
  <c r="AB105" i="6"/>
  <c r="AC105" i="6" s="1"/>
  <c r="CB105" i="6"/>
  <c r="CC105" i="6" s="1"/>
  <c r="CE105" i="6" s="1"/>
  <c r="CH105" i="6" s="1"/>
  <c r="BD256" i="6"/>
  <c r="BF256" i="6" s="1"/>
  <c r="CB256" i="6"/>
  <c r="CC256" i="6" s="1"/>
  <c r="CE256" i="6" s="1"/>
  <c r="CH256" i="6" s="1"/>
  <c r="BD100" i="6"/>
  <c r="BH100" i="6" s="1"/>
  <c r="BJ100" i="6" s="1"/>
  <c r="BM100" i="6" s="1"/>
  <c r="CB100" i="6"/>
  <c r="CC100" i="6" s="1"/>
  <c r="CD100" i="6" s="1"/>
  <c r="CG100" i="6" s="1"/>
  <c r="BD85" i="6"/>
  <c r="BF85" i="6" s="1"/>
  <c r="CB85" i="6"/>
  <c r="CC85" i="6" s="1"/>
  <c r="CD85" i="6" s="1"/>
  <c r="CG85" i="6" s="1"/>
  <c r="BD133" i="6"/>
  <c r="BE133" i="6" s="1"/>
  <c r="CB133" i="6"/>
  <c r="CC133" i="6" s="1"/>
  <c r="CE133" i="6" s="1"/>
  <c r="CH133" i="6" s="1"/>
  <c r="AB149" i="6"/>
  <c r="AF149" i="6" s="1"/>
  <c r="CB149" i="6"/>
  <c r="CC149" i="6" s="1"/>
  <c r="CE149" i="6" s="1"/>
  <c r="CH149" i="6" s="1"/>
  <c r="AB240" i="6"/>
  <c r="AD240" i="6" s="1"/>
  <c r="CB240" i="6"/>
  <c r="CC240" i="6" s="1"/>
  <c r="CD240" i="6" s="1"/>
  <c r="CG240" i="6" s="1"/>
  <c r="BD202" i="6"/>
  <c r="BH202" i="6" s="1"/>
  <c r="BI202" i="6" s="1"/>
  <c r="BL202" i="6" s="1"/>
  <c r="CB202" i="6"/>
  <c r="CC202" i="6" s="1"/>
  <c r="CD202" i="6" s="1"/>
  <c r="CG202" i="6" s="1"/>
  <c r="BD193" i="6"/>
  <c r="BF193" i="6" s="1"/>
  <c r="CB193" i="6"/>
  <c r="CC193" i="6" s="1"/>
  <c r="CD193" i="6" s="1"/>
  <c r="CG193" i="6" s="1"/>
  <c r="AB255" i="6"/>
  <c r="AF255" i="6" s="1"/>
  <c r="CB255" i="6"/>
  <c r="CC255" i="6" s="1"/>
  <c r="CE255" i="6" s="1"/>
  <c r="CH255" i="6" s="1"/>
  <c r="AB132" i="6"/>
  <c r="AF132" i="6" s="1"/>
  <c r="CB132" i="6"/>
  <c r="CC132" i="6" s="1"/>
  <c r="CE132" i="6" s="1"/>
  <c r="CH132" i="6" s="1"/>
  <c r="AB216" i="6"/>
  <c r="AF216" i="6" s="1"/>
  <c r="CB216" i="6"/>
  <c r="CC216" i="6" s="1"/>
  <c r="CE216" i="6" s="1"/>
  <c r="CH216" i="6" s="1"/>
  <c r="AB120" i="6"/>
  <c r="AF120" i="6" s="1"/>
  <c r="CB120" i="6"/>
  <c r="CC120" i="6" s="1"/>
  <c r="CD120" i="6" s="1"/>
  <c r="CG120" i="6" s="1"/>
  <c r="BD249" i="6"/>
  <c r="BF249" i="6" s="1"/>
  <c r="CB249" i="6"/>
  <c r="CC249" i="6" s="1"/>
  <c r="CE249" i="6" s="1"/>
  <c r="CH249" i="6" s="1"/>
  <c r="AB140" i="6"/>
  <c r="AD140" i="6" s="1"/>
  <c r="CB140" i="6"/>
  <c r="CC140" i="6" s="1"/>
  <c r="CE140" i="6" s="1"/>
  <c r="CH140" i="6" s="1"/>
  <c r="AB82" i="6"/>
  <c r="AF82" i="6" s="1"/>
  <c r="CB82" i="6"/>
  <c r="CC82" i="6" s="1"/>
  <c r="CD82" i="6" s="1"/>
  <c r="CG82" i="6" s="1"/>
  <c r="AB181" i="6"/>
  <c r="AF181" i="6" s="1"/>
  <c r="AH181" i="6" s="1"/>
  <c r="CB181" i="6"/>
  <c r="CC181" i="6" s="1"/>
  <c r="CD181" i="6" s="1"/>
  <c r="CG181" i="6" s="1"/>
  <c r="AB260" i="6"/>
  <c r="AF260" i="6" s="1"/>
  <c r="AH260" i="6" s="1"/>
  <c r="CB260" i="6"/>
  <c r="CC260" i="6" s="1"/>
  <c r="CE260" i="6" s="1"/>
  <c r="CH260" i="6" s="1"/>
  <c r="BD205" i="6"/>
  <c r="BE205" i="6" s="1"/>
  <c r="CB205" i="6"/>
  <c r="CC205" i="6" s="1"/>
  <c r="CD205" i="6" s="1"/>
  <c r="CG205" i="6" s="1"/>
  <c r="BD153" i="6"/>
  <c r="BF153" i="6" s="1"/>
  <c r="CB153" i="6"/>
  <c r="CC153" i="6" s="1"/>
  <c r="CD153" i="6" s="1"/>
  <c r="CG153" i="6" s="1"/>
  <c r="AB111" i="6"/>
  <c r="AD111" i="6" s="1"/>
  <c r="CB111" i="6"/>
  <c r="CC111" i="6" s="1"/>
  <c r="CD111" i="6" s="1"/>
  <c r="CG111" i="6" s="1"/>
  <c r="AB197" i="6"/>
  <c r="AF197" i="6" s="1"/>
  <c r="AH197" i="6" s="1"/>
  <c r="CB197" i="6"/>
  <c r="CC197" i="6" s="1"/>
  <c r="CE197" i="6" s="1"/>
  <c r="CH197" i="6" s="1"/>
  <c r="BD200" i="6"/>
  <c r="BF200" i="6" s="1"/>
  <c r="CB200" i="6"/>
  <c r="CC200" i="6" s="1"/>
  <c r="CE200" i="6" s="1"/>
  <c r="CH200" i="6" s="1"/>
  <c r="AB221" i="6"/>
  <c r="AF221" i="6" s="1"/>
  <c r="AH221" i="6" s="1"/>
  <c r="CB221" i="6"/>
  <c r="CC221" i="6" s="1"/>
  <c r="CD221" i="6" s="1"/>
  <c r="CG221" i="6" s="1"/>
  <c r="AB230" i="6"/>
  <c r="AC230" i="6" s="1"/>
  <c r="CB230" i="6"/>
  <c r="CC230" i="6" s="1"/>
  <c r="CD230" i="6" s="1"/>
  <c r="CG230" i="6" s="1"/>
  <c r="BD89" i="6"/>
  <c r="BH89" i="6" s="1"/>
  <c r="CB89" i="6"/>
  <c r="CC89" i="6" s="1"/>
  <c r="CE89" i="6" s="1"/>
  <c r="CH89" i="6" s="1"/>
  <c r="AB102" i="6"/>
  <c r="AD102" i="6" s="1"/>
  <c r="CB102" i="6"/>
  <c r="CC102" i="6" s="1"/>
  <c r="CE102" i="6" s="1"/>
  <c r="CH102" i="6" s="1"/>
  <c r="AB264" i="6"/>
  <c r="AF264" i="6" s="1"/>
  <c r="AH264" i="6" s="1"/>
  <c r="CB264" i="6"/>
  <c r="CC264" i="6" s="1"/>
  <c r="CE264" i="6" s="1"/>
  <c r="CH264" i="6" s="1"/>
  <c r="AB98" i="6"/>
  <c r="AD98" i="6" s="1"/>
  <c r="CB98" i="6"/>
  <c r="CC98" i="6" s="1"/>
  <c r="CD98" i="6" s="1"/>
  <c r="CG98" i="6" s="1"/>
  <c r="BD124" i="6"/>
  <c r="BE124" i="6" s="1"/>
  <c r="CB124" i="6"/>
  <c r="CC124" i="6" s="1"/>
  <c r="CE124" i="6" s="1"/>
  <c r="CH124" i="6" s="1"/>
  <c r="BD65" i="6"/>
  <c r="BE65" i="6" s="1"/>
  <c r="CB65" i="6"/>
  <c r="CC65" i="6" s="1"/>
  <c r="CE65" i="6" s="1"/>
  <c r="CH65" i="6" s="1"/>
  <c r="AB156" i="6"/>
  <c r="AF156" i="6" s="1"/>
  <c r="CB156" i="6"/>
  <c r="CC156" i="6" s="1"/>
  <c r="CE156" i="6" s="1"/>
  <c r="CH156" i="6" s="1"/>
  <c r="AB129" i="6"/>
  <c r="AC129" i="6" s="1"/>
  <c r="CB129" i="6"/>
  <c r="CC129" i="6" s="1"/>
  <c r="CD129" i="6" s="1"/>
  <c r="CG129" i="6" s="1"/>
  <c r="BD223" i="6"/>
  <c r="BE223" i="6" s="1"/>
  <c r="CB223" i="6"/>
  <c r="CC223" i="6" s="1"/>
  <c r="CD223" i="6" s="1"/>
  <c r="CG223" i="6" s="1"/>
  <c r="BD247" i="6"/>
  <c r="BF247" i="6" s="1"/>
  <c r="CB247" i="6"/>
  <c r="CC247" i="6" s="1"/>
  <c r="CD247" i="6" s="1"/>
  <c r="CG247" i="6" s="1"/>
  <c r="AB209" i="6"/>
  <c r="AD209" i="6" s="1"/>
  <c r="CB209" i="6"/>
  <c r="CC209" i="6" s="1"/>
  <c r="CE209" i="6" s="1"/>
  <c r="CH209" i="6" s="1"/>
  <c r="AB143" i="6"/>
  <c r="AF143" i="6" s="1"/>
  <c r="AH143" i="6" s="1"/>
  <c r="CB143" i="6"/>
  <c r="CC143" i="6" s="1"/>
  <c r="CE143" i="6" s="1"/>
  <c r="CH143" i="6" s="1"/>
  <c r="BD233" i="6"/>
  <c r="BF233" i="6" s="1"/>
  <c r="CB233" i="6"/>
  <c r="CC233" i="6" s="1"/>
  <c r="CE233" i="6" s="1"/>
  <c r="CH233" i="6" s="1"/>
  <c r="AB137" i="6"/>
  <c r="AF137" i="6" s="1"/>
  <c r="CB137" i="6"/>
  <c r="CC137" i="6" s="1"/>
  <c r="CE137" i="6" s="1"/>
  <c r="CH137" i="6" s="1"/>
  <c r="BD135" i="6"/>
  <c r="BE135" i="6" s="1"/>
  <c r="CB135" i="6"/>
  <c r="CC135" i="6" s="1"/>
  <c r="CD135" i="6" s="1"/>
  <c r="CG135" i="6" s="1"/>
  <c r="BD184" i="6"/>
  <c r="BE184" i="6" s="1"/>
  <c r="CB184" i="6"/>
  <c r="CC184" i="6" s="1"/>
  <c r="CD184" i="6" s="1"/>
  <c r="CG184" i="6" s="1"/>
  <c r="BD162" i="6"/>
  <c r="BF162" i="6" s="1"/>
  <c r="CB162" i="6"/>
  <c r="CC162" i="6" s="1"/>
  <c r="CD162" i="6" s="1"/>
  <c r="CG162" i="6" s="1"/>
  <c r="CE229" i="6"/>
  <c r="CH229" i="6" s="1"/>
  <c r="CD169" i="6"/>
  <c r="CG169" i="6" s="1"/>
  <c r="CE169" i="6"/>
  <c r="CH169" i="6" s="1"/>
  <c r="CD139" i="6"/>
  <c r="CG139" i="6" s="1"/>
  <c r="CE139" i="6"/>
  <c r="CH139" i="6" s="1"/>
  <c r="CE69" i="6"/>
  <c r="CH69" i="6" s="1"/>
  <c r="CE218" i="6"/>
  <c r="CH218" i="6" s="1"/>
  <c r="CD186" i="6"/>
  <c r="CG186" i="6" s="1"/>
  <c r="CE186" i="6"/>
  <c r="CH186" i="6" s="1"/>
  <c r="CD166" i="6"/>
  <c r="CG166" i="6" s="1"/>
  <c r="CE166" i="6"/>
  <c r="CH166" i="6" s="1"/>
  <c r="CE220" i="6"/>
  <c r="CH220" i="6" s="1"/>
  <c r="CD220" i="6"/>
  <c r="CG220" i="6" s="1"/>
  <c r="CD103" i="6"/>
  <c r="CG103" i="6" s="1"/>
  <c r="CE103" i="6"/>
  <c r="CH103" i="6" s="1"/>
  <c r="CE115" i="6"/>
  <c r="CH115" i="6" s="1"/>
  <c r="CD115" i="6"/>
  <c r="CG115" i="6" s="1"/>
  <c r="CE222" i="6"/>
  <c r="CH222" i="6" s="1"/>
  <c r="CD222" i="6"/>
  <c r="CG222" i="6" s="1"/>
  <c r="CE173" i="6"/>
  <c r="CH173" i="6" s="1"/>
  <c r="CD173" i="6"/>
  <c r="CG173" i="6" s="1"/>
  <c r="CD199" i="6"/>
  <c r="CG199" i="6" s="1"/>
  <c r="CE199" i="6"/>
  <c r="CH199" i="6" s="1"/>
  <c r="CE141" i="6"/>
  <c r="CH141" i="6" s="1"/>
  <c r="CD141" i="6"/>
  <c r="CG141" i="6" s="1"/>
  <c r="CD244" i="6"/>
  <c r="CG244" i="6" s="1"/>
  <c r="CE161" i="6"/>
  <c r="CH161" i="6" s="1"/>
  <c r="CD77" i="6"/>
  <c r="CG77" i="6" s="1"/>
  <c r="CD195" i="6"/>
  <c r="CG195" i="6" s="1"/>
  <c r="CE195" i="6"/>
  <c r="CH195" i="6" s="1"/>
  <c r="CD243" i="6"/>
  <c r="CG243" i="6" s="1"/>
  <c r="CE243" i="6"/>
  <c r="CH243" i="6" s="1"/>
  <c r="CD217" i="6"/>
  <c r="CG217" i="6" s="1"/>
  <c r="CE217" i="6"/>
  <c r="CH217" i="6" s="1"/>
  <c r="CC175" i="6"/>
  <c r="CD175" i="6" s="1"/>
  <c r="CG175" i="6" s="1"/>
  <c r="CC250" i="6"/>
  <c r="CC93" i="6"/>
  <c r="CD93" i="6" s="1"/>
  <c r="CG93" i="6" s="1"/>
  <c r="CC185" i="6"/>
  <c r="CC212" i="6"/>
  <c r="CD212" i="6" s="1"/>
  <c r="CG212" i="6" s="1"/>
  <c r="CC242" i="6"/>
  <c r="CE171" i="6"/>
  <c r="CH171" i="6" s="1"/>
  <c r="CE192" i="6"/>
  <c r="CH192" i="6" s="1"/>
  <c r="CD192" i="6"/>
  <c r="CG192" i="6" s="1"/>
  <c r="CD225" i="6"/>
  <c r="CG225" i="6" s="1"/>
  <c r="CE225" i="6"/>
  <c r="CH225" i="6" s="1"/>
  <c r="CE71" i="6"/>
  <c r="CH71" i="6" s="1"/>
  <c r="CD71" i="6"/>
  <c r="CG71" i="6" s="1"/>
  <c r="CE235" i="6"/>
  <c r="CH235" i="6" s="1"/>
  <c r="CD235" i="6"/>
  <c r="CG235" i="6" s="1"/>
  <c r="CE232" i="6"/>
  <c r="CH232" i="6" s="1"/>
  <c r="CD232" i="6"/>
  <c r="CG232" i="6" s="1"/>
  <c r="CE138" i="6"/>
  <c r="CH138" i="6" s="1"/>
  <c r="CD138" i="6"/>
  <c r="CG138" i="6" s="1"/>
  <c r="CE187" i="6"/>
  <c r="CH187" i="6" s="1"/>
  <c r="CD187" i="6"/>
  <c r="CG187" i="6" s="1"/>
  <c r="CC231" i="6"/>
  <c r="CC108" i="6"/>
  <c r="CC170" i="6"/>
  <c r="CC68" i="6"/>
  <c r="CC119" i="6"/>
  <c r="CD257" i="6"/>
  <c r="CG257" i="6" s="1"/>
  <c r="CE257" i="6"/>
  <c r="CH257" i="6" s="1"/>
  <c r="CD73" i="6"/>
  <c r="CG73" i="6" s="1"/>
  <c r="CE73" i="6"/>
  <c r="CH73" i="6" s="1"/>
  <c r="CE177" i="6"/>
  <c r="CH177" i="6" s="1"/>
  <c r="CD131" i="6"/>
  <c r="CG131" i="6" s="1"/>
  <c r="CE131" i="6"/>
  <c r="CH131" i="6" s="1"/>
  <c r="CD165" i="6"/>
  <c r="CG165" i="6" s="1"/>
  <c r="CE165" i="6"/>
  <c r="CH165" i="6" s="1"/>
  <c r="CD92" i="6"/>
  <c r="CG92" i="6" s="1"/>
  <c r="CE92" i="6"/>
  <c r="CH92" i="6" s="1"/>
  <c r="CE188" i="6"/>
  <c r="CH188" i="6" s="1"/>
  <c r="CD188" i="6"/>
  <c r="CG188" i="6" s="1"/>
  <c r="CC172" i="6"/>
  <c r="CC154" i="6"/>
  <c r="CE154" i="6" s="1"/>
  <c r="CH154" i="6" s="1"/>
  <c r="CC113" i="6"/>
  <c r="CC246" i="6"/>
  <c r="CC148" i="6"/>
  <c r="CD210" i="6"/>
  <c r="CG210" i="6" s="1"/>
  <c r="CE254" i="6"/>
  <c r="CH254" i="6" s="1"/>
  <c r="CC134" i="6"/>
  <c r="CC159" i="6"/>
  <c r="CC97" i="6"/>
  <c r="CC112" i="6"/>
  <c r="CC121" i="6"/>
  <c r="CC147" i="6"/>
  <c r="CC259" i="6"/>
  <c r="CC201" i="6"/>
  <c r="CC158" i="6"/>
  <c r="CC245" i="6"/>
  <c r="CC238" i="6"/>
  <c r="CC107" i="6"/>
  <c r="CC110" i="6"/>
  <c r="CE146" i="6"/>
  <c r="CH146" i="6" s="1"/>
  <c r="CE123" i="6"/>
  <c r="CH123" i="6" s="1"/>
  <c r="CE208" i="6"/>
  <c r="CH208" i="6" s="1"/>
  <c r="CD179" i="6"/>
  <c r="CG179" i="6" s="1"/>
  <c r="CC94" i="6"/>
  <c r="CD94" i="6" s="1"/>
  <c r="CG94" i="6" s="1"/>
  <c r="CC227" i="6"/>
  <c r="CC142" i="6"/>
  <c r="CE142" i="6" s="1"/>
  <c r="CH142" i="6" s="1"/>
  <c r="CC117" i="6"/>
  <c r="CC91" i="6"/>
  <c r="CD91" i="6" s="1"/>
  <c r="CG91" i="6" s="1"/>
  <c r="CC79" i="6"/>
  <c r="CC168" i="6"/>
  <c r="CD168" i="6" s="1"/>
  <c r="CG168" i="6" s="1"/>
  <c r="CC261" i="6"/>
  <c r="CC74" i="6"/>
  <c r="CC234" i="6"/>
  <c r="CC213" i="6"/>
  <c r="CC196" i="6"/>
  <c r="CC253" i="6"/>
  <c r="CC155" i="6"/>
  <c r="CC207" i="6"/>
  <c r="CD207" i="6" s="1"/>
  <c r="CG207" i="6" s="1"/>
  <c r="CC104" i="6"/>
  <c r="CC251" i="6"/>
  <c r="CC130" i="6"/>
  <c r="CC228" i="6"/>
  <c r="CD228" i="6" s="1"/>
  <c r="CG228" i="6" s="1"/>
  <c r="CC78" i="6"/>
  <c r="CC116" i="6"/>
  <c r="CD116" i="6" s="1"/>
  <c r="CG116" i="6" s="1"/>
  <c r="CC128" i="6"/>
  <c r="CC174" i="6"/>
  <c r="CE174" i="6" s="1"/>
  <c r="CH174" i="6" s="1"/>
  <c r="Y167" i="6"/>
  <c r="CC167" i="6"/>
  <c r="Z84" i="6"/>
  <c r="CC84" i="6"/>
  <c r="Z194" i="6"/>
  <c r="CC194" i="6"/>
  <c r="Z190" i="6"/>
  <c r="CC190" i="6"/>
  <c r="Z258" i="6"/>
  <c r="CC258" i="6"/>
  <c r="Y152" i="6"/>
  <c r="CC152" i="6"/>
  <c r="Y219" i="6"/>
  <c r="CC219" i="6"/>
  <c r="Z157" i="6"/>
  <c r="CC157" i="6"/>
  <c r="Y66" i="6"/>
  <c r="CC66" i="6"/>
  <c r="Z67" i="6"/>
  <c r="CC67" i="6"/>
  <c r="Z118" i="6"/>
  <c r="CC118" i="6"/>
  <c r="Y95" i="6"/>
  <c r="CC95" i="6"/>
  <c r="Y101" i="6"/>
  <c r="CC101" i="6"/>
  <c r="Y114" i="6"/>
  <c r="CC114" i="6"/>
  <c r="Y206" i="6"/>
  <c r="CC206" i="6"/>
  <c r="Y189" i="6"/>
  <c r="CC189" i="6"/>
  <c r="Y191" i="6"/>
  <c r="CC191" i="6"/>
  <c r="Y72" i="6"/>
  <c r="CC72" i="6"/>
  <c r="Z224" i="6"/>
  <c r="CC224" i="6"/>
  <c r="Y178" i="6"/>
  <c r="CC178" i="6"/>
  <c r="Z83" i="6"/>
  <c r="CC83" i="6"/>
  <c r="Z252" i="6"/>
  <c r="CC252" i="6"/>
  <c r="Y76" i="6"/>
  <c r="CC76" i="6"/>
  <c r="Z87" i="6"/>
  <c r="CC87" i="6"/>
  <c r="Y236" i="6"/>
  <c r="CC236" i="6"/>
  <c r="Z81" i="6"/>
  <c r="CC81" i="6"/>
  <c r="Z145" i="6"/>
  <c r="CC145" i="6"/>
  <c r="Z106" i="6"/>
  <c r="CC106" i="6"/>
  <c r="Z180" i="6"/>
  <c r="CC180" i="6"/>
  <c r="Z164" i="6"/>
  <c r="CC164" i="6"/>
  <c r="Y88" i="6"/>
  <c r="CC88" i="6"/>
  <c r="Z262" i="6"/>
  <c r="CC262" i="6"/>
  <c r="Y211" i="6"/>
  <c r="CC211" i="6"/>
  <c r="Z70" i="6"/>
  <c r="CC70" i="6"/>
  <c r="Z204" i="6"/>
  <c r="CC204" i="6"/>
  <c r="Z96" i="6"/>
  <c r="CC96" i="6"/>
  <c r="Y126" i="6"/>
  <c r="CC126" i="6"/>
  <c r="Y109" i="6"/>
  <c r="CC109" i="6"/>
  <c r="Z99" i="6"/>
  <c r="CC99" i="6"/>
  <c r="Z241" i="6"/>
  <c r="CC241" i="6"/>
  <c r="Z144" i="6"/>
  <c r="CC144" i="6"/>
  <c r="Y80" i="6"/>
  <c r="CC80" i="6"/>
  <c r="Y248" i="6"/>
  <c r="CC248" i="6"/>
  <c r="Z163" i="6"/>
  <c r="CC163" i="6"/>
  <c r="Z239" i="6"/>
  <c r="CC239" i="6"/>
  <c r="Z136" i="6"/>
  <c r="CC136" i="6"/>
  <c r="Z160" i="6"/>
  <c r="CC160" i="6"/>
  <c r="Z86" i="6"/>
  <c r="CC86" i="6"/>
  <c r="Y183" i="6"/>
  <c r="CC183" i="6"/>
  <c r="Y215" i="6"/>
  <c r="CC215" i="6"/>
  <c r="Y203" i="6"/>
  <c r="CC203" i="6"/>
  <c r="Z226" i="6"/>
  <c r="CC226" i="6"/>
  <c r="Y237" i="6"/>
  <c r="CC237" i="6"/>
  <c r="Z263" i="6"/>
  <c r="CC263" i="6"/>
  <c r="Z75" i="6"/>
  <c r="CC75" i="6"/>
  <c r="Z125" i="6"/>
  <c r="CC125" i="6"/>
  <c r="Z182" i="6"/>
  <c r="CC182" i="6"/>
  <c r="Y182" i="6"/>
  <c r="BH182" i="6"/>
  <c r="BI182" i="6" s="1"/>
  <c r="BL182" i="6" s="1"/>
  <c r="Y204" i="6"/>
  <c r="AF204" i="6"/>
  <c r="AH204" i="6" s="1"/>
  <c r="BD122" i="6"/>
  <c r="BH122" i="6" s="1"/>
  <c r="AB162" i="6"/>
  <c r="AF162" i="6" s="1"/>
  <c r="AG162" i="6" s="1"/>
  <c r="BD120" i="6"/>
  <c r="BH120" i="6" s="1"/>
  <c r="BJ120" i="6" s="1"/>
  <c r="BM120" i="6" s="1"/>
  <c r="Y163" i="6"/>
  <c r="Y180" i="6"/>
  <c r="AB124" i="6"/>
  <c r="AF124" i="6" s="1"/>
  <c r="AG124" i="6" s="1"/>
  <c r="BD98" i="6"/>
  <c r="BF98" i="6" s="1"/>
  <c r="AF180" i="6"/>
  <c r="AH180" i="6" s="1"/>
  <c r="AB184" i="6"/>
  <c r="AC184" i="6" s="1"/>
  <c r="BD216" i="6"/>
  <c r="BF216" i="6" s="1"/>
  <c r="AF80" i="6"/>
  <c r="AH80" i="6" s="1"/>
  <c r="AB133" i="6"/>
  <c r="AD133" i="6" s="1"/>
  <c r="Y118" i="6"/>
  <c r="BH241" i="6"/>
  <c r="BJ241" i="6" s="1"/>
  <c r="BM241" i="6" s="1"/>
  <c r="BD127" i="6"/>
  <c r="BE127" i="6" s="1"/>
  <c r="Z109" i="6"/>
  <c r="BD102" i="6"/>
  <c r="BF102" i="6" s="1"/>
  <c r="AB233" i="6"/>
  <c r="AC233" i="6" s="1"/>
  <c r="AB223" i="6"/>
  <c r="AF223" i="6" s="1"/>
  <c r="AG223" i="6" s="1"/>
  <c r="Y241" i="6"/>
  <c r="BD264" i="6"/>
  <c r="BF264" i="6" s="1"/>
  <c r="BD111" i="6"/>
  <c r="BF111" i="6" s="1"/>
  <c r="Y106" i="6"/>
  <c r="BD150" i="6"/>
  <c r="BH150" i="6" s="1"/>
  <c r="AB214" i="6"/>
  <c r="AD214" i="6" s="1"/>
  <c r="AB135" i="6"/>
  <c r="AD135" i="6" s="1"/>
  <c r="Y70" i="6"/>
  <c r="Y125" i="6"/>
  <c r="BD129" i="6"/>
  <c r="BF129" i="6" s="1"/>
  <c r="AF126" i="6"/>
  <c r="AG126" i="6" s="1"/>
  <c r="Z191" i="6"/>
  <c r="AF75" i="6"/>
  <c r="AG75" i="6" s="1"/>
  <c r="AB249" i="6"/>
  <c r="AD249" i="6" s="1"/>
  <c r="AB151" i="6"/>
  <c r="AF151" i="6" s="1"/>
  <c r="BD176" i="6"/>
  <c r="BF176" i="6" s="1"/>
  <c r="Z66" i="6"/>
  <c r="BD181" i="6"/>
  <c r="BH181" i="6" s="1"/>
  <c r="BI181" i="6" s="1"/>
  <c r="BL181" i="6" s="1"/>
  <c r="BD132" i="6"/>
  <c r="BF132" i="6" s="1"/>
  <c r="Z248" i="6"/>
  <c r="AF67" i="6"/>
  <c r="AG67" i="6" s="1"/>
  <c r="Z189" i="6"/>
  <c r="Y226" i="6"/>
  <c r="Y67" i="6"/>
  <c r="Z72" i="6"/>
  <c r="Z236" i="6"/>
  <c r="Z80" i="6"/>
  <c r="BH252" i="6"/>
  <c r="BI252" i="6" s="1"/>
  <c r="BL252" i="6" s="1"/>
  <c r="Y87" i="6"/>
  <c r="AB64" i="6"/>
  <c r="AF64" i="6" s="1"/>
  <c r="AG64" i="6" s="1"/>
  <c r="BH72" i="6"/>
  <c r="BI72" i="6" s="1"/>
  <c r="BL72" i="6" s="1"/>
  <c r="BD140" i="6"/>
  <c r="BF140" i="6" s="1"/>
  <c r="BH87" i="6"/>
  <c r="BI87" i="6" s="1"/>
  <c r="BL87" i="6" s="1"/>
  <c r="BD137" i="6"/>
  <c r="BE137" i="6" s="1"/>
  <c r="Y224" i="6"/>
  <c r="Y252" i="6"/>
  <c r="BD82" i="6"/>
  <c r="BH82" i="6" s="1"/>
  <c r="BI82" i="6" s="1"/>
  <c r="BL82" i="6" s="1"/>
  <c r="AB153" i="6"/>
  <c r="AF153" i="6" s="1"/>
  <c r="AH153" i="6" s="1"/>
  <c r="Y83" i="6"/>
  <c r="AB205" i="6"/>
  <c r="AC205" i="6" s="1"/>
  <c r="BH80" i="6"/>
  <c r="BI80" i="6" s="1"/>
  <c r="BL80" i="6" s="1"/>
  <c r="AB198" i="6"/>
  <c r="AF198" i="6" s="1"/>
  <c r="Z76" i="6"/>
  <c r="BD260" i="6"/>
  <c r="BH260" i="6" s="1"/>
  <c r="BI260" i="6" s="1"/>
  <c r="BL260" i="6" s="1"/>
  <c r="BH76" i="6"/>
  <c r="BI76" i="6" s="1"/>
  <c r="BL76" i="6" s="1"/>
  <c r="Z178" i="6"/>
  <c r="Y86" i="6"/>
  <c r="Y136" i="6"/>
  <c r="AF76" i="6"/>
  <c r="AH76" i="6" s="1"/>
  <c r="BH236" i="6"/>
  <c r="BJ236" i="6" s="1"/>
  <c r="BM236" i="6" s="1"/>
  <c r="AF87" i="6"/>
  <c r="AH87" i="6" s="1"/>
  <c r="AF178" i="6"/>
  <c r="AG178" i="6" s="1"/>
  <c r="AB85" i="6"/>
  <c r="AF85" i="6" s="1"/>
  <c r="Y145" i="6"/>
  <c r="AB202" i="6"/>
  <c r="AD202" i="6" s="1"/>
  <c r="AB100" i="6"/>
  <c r="AF100" i="6" s="1"/>
  <c r="AG100" i="6" s="1"/>
  <c r="BD143" i="6"/>
  <c r="BF143" i="6" s="1"/>
  <c r="Z126" i="6"/>
  <c r="AB89" i="6"/>
  <c r="AD89" i="6" s="1"/>
  <c r="Y81" i="6"/>
  <c r="Y99" i="6"/>
  <c r="BD156" i="6"/>
  <c r="BH156" i="6" s="1"/>
  <c r="BI156" i="6" s="1"/>
  <c r="BL156" i="6" s="1"/>
  <c r="BH167" i="6"/>
  <c r="BJ167" i="6" s="1"/>
  <c r="BM167" i="6" s="1"/>
  <c r="BD149" i="6"/>
  <c r="BH149" i="6" s="1"/>
  <c r="BJ149" i="6" s="1"/>
  <c r="BM149" i="6" s="1"/>
  <c r="BD240" i="6"/>
  <c r="BE240" i="6" s="1"/>
  <c r="Y262" i="6"/>
  <c r="Z95" i="6"/>
  <c r="AB65" i="6"/>
  <c r="AC65" i="6" s="1"/>
  <c r="AB193" i="6"/>
  <c r="AD193" i="6" s="1"/>
  <c r="BH99" i="6"/>
  <c r="BI99" i="6" s="1"/>
  <c r="BL99" i="6" s="1"/>
  <c r="BD209" i="6"/>
  <c r="BH209" i="6" s="1"/>
  <c r="BJ209" i="6" s="1"/>
  <c r="BM209" i="6" s="1"/>
  <c r="Y75" i="6"/>
  <c r="Y157" i="6"/>
  <c r="BH84" i="6"/>
  <c r="BI84" i="6" s="1"/>
  <c r="BL84" i="6" s="1"/>
  <c r="Z114" i="6"/>
  <c r="Z152" i="6"/>
  <c r="Z101" i="6"/>
  <c r="Z206" i="6"/>
  <c r="Y96" i="6"/>
  <c r="AB247" i="6"/>
  <c r="AD247" i="6" s="1"/>
  <c r="Y258" i="6"/>
  <c r="Y144" i="6"/>
  <c r="Y84" i="6"/>
  <c r="Z211" i="6"/>
  <c r="BH211" i="6"/>
  <c r="BI211" i="6" s="1"/>
  <c r="BL211" i="6" s="1"/>
  <c r="BH219" i="6"/>
  <c r="BJ219" i="6" s="1"/>
  <c r="BM219" i="6" s="1"/>
  <c r="BH101" i="6"/>
  <c r="BJ101" i="6" s="1"/>
  <c r="BM101" i="6" s="1"/>
  <c r="BD105" i="6"/>
  <c r="BF105" i="6" s="1"/>
  <c r="Y160" i="6"/>
  <c r="Z183" i="6"/>
  <c r="AB256" i="6"/>
  <c r="AF256" i="6" s="1"/>
  <c r="AH256" i="6" s="1"/>
  <c r="BD255" i="6"/>
  <c r="BE255" i="6" s="1"/>
  <c r="AF164" i="6"/>
  <c r="AH164" i="6" s="1"/>
  <c r="Z167" i="6"/>
  <c r="Z219" i="6"/>
  <c r="Y239" i="6"/>
  <c r="Z203" i="6"/>
  <c r="Z215" i="6"/>
  <c r="AF203" i="6"/>
  <c r="AH203" i="6" s="1"/>
  <c r="BD197" i="6"/>
  <c r="BH197" i="6" s="1"/>
  <c r="BI197" i="6" s="1"/>
  <c r="BL197" i="6" s="1"/>
  <c r="Y263" i="6"/>
  <c r="BD230" i="6"/>
  <c r="BH230" i="6" s="1"/>
  <c r="BI230" i="6" s="1"/>
  <c r="BL230" i="6" s="1"/>
  <c r="BD221" i="6"/>
  <c r="BE221" i="6" s="1"/>
  <c r="Y190" i="6"/>
  <c r="Y164" i="6"/>
  <c r="Z237" i="6"/>
  <c r="Y194" i="6"/>
  <c r="AB90" i="6"/>
  <c r="AD90" i="6" s="1"/>
  <c r="AB200" i="6"/>
  <c r="AF200" i="6" s="1"/>
  <c r="AG200" i="6" s="1"/>
  <c r="BH152" i="6"/>
  <c r="BI152" i="6" s="1"/>
  <c r="BL152" i="6" s="1"/>
  <c r="BH239" i="6"/>
  <c r="BJ239" i="6" s="1"/>
  <c r="BM239" i="6" s="1"/>
  <c r="BH126" i="6"/>
  <c r="BJ126" i="6" s="1"/>
  <c r="BM126" i="6" s="1"/>
  <c r="AF109" i="6"/>
  <c r="AG109" i="6" s="1"/>
  <c r="BH144" i="6"/>
  <c r="BI144" i="6" s="1"/>
  <c r="BL144" i="6" s="1"/>
  <c r="BH226" i="6"/>
  <c r="BI226" i="6" s="1"/>
  <c r="BL226" i="6" s="1"/>
  <c r="AF241" i="6"/>
  <c r="AH241" i="6" s="1"/>
  <c r="BH203" i="6"/>
  <c r="BI203" i="6" s="1"/>
  <c r="BL203" i="6" s="1"/>
  <c r="AF86" i="6"/>
  <c r="AH86" i="6" s="1"/>
  <c r="AF99" i="6"/>
  <c r="AG99" i="6" s="1"/>
  <c r="AF136" i="6"/>
  <c r="AG136" i="6" s="1"/>
  <c r="BH263" i="6"/>
  <c r="BI263" i="6" s="1"/>
  <c r="BL263" i="6" s="1"/>
  <c r="AF237" i="6"/>
  <c r="AG237" i="6" s="1"/>
  <c r="AF114" i="6"/>
  <c r="AH114" i="6" s="1"/>
  <c r="BH88" i="6"/>
  <c r="BI88" i="6" s="1"/>
  <c r="BL88" i="6" s="1"/>
  <c r="AF72" i="6"/>
  <c r="AG72" i="6" s="1"/>
  <c r="Z88" i="6"/>
  <c r="AF262" i="6"/>
  <c r="AG262" i="6" s="1"/>
  <c r="AF84" i="6"/>
  <c r="AH84" i="6" s="1"/>
  <c r="BJ96" i="6"/>
  <c r="BM96" i="6" s="1"/>
  <c r="BI96" i="6"/>
  <c r="BL96" i="6" s="1"/>
  <c r="Y74" i="6"/>
  <c r="AF74" i="6"/>
  <c r="BH74" i="6"/>
  <c r="Z74" i="6"/>
  <c r="BE158" i="6"/>
  <c r="BF158" i="6"/>
  <c r="AD66" i="6"/>
  <c r="AC66" i="6"/>
  <c r="BH106" i="6"/>
  <c r="BE106" i="6"/>
  <c r="BF106" i="6"/>
  <c r="AF66" i="6"/>
  <c r="BH172" i="6"/>
  <c r="AF172" i="6"/>
  <c r="Z172" i="6"/>
  <c r="Y172" i="6"/>
  <c r="Y94" i="6"/>
  <c r="Z94" i="6"/>
  <c r="BH94" i="6"/>
  <c r="AF94" i="6"/>
  <c r="BD257" i="6"/>
  <c r="AB257" i="6"/>
  <c r="BF258" i="6"/>
  <c r="BE258" i="6"/>
  <c r="BF180" i="6"/>
  <c r="BE180" i="6"/>
  <c r="BE194" i="6"/>
  <c r="BF194" i="6"/>
  <c r="AC252" i="6"/>
  <c r="AD252" i="6"/>
  <c r="AD118" i="6"/>
  <c r="AC118" i="6"/>
  <c r="BH81" i="6"/>
  <c r="BF81" i="6"/>
  <c r="BE81" i="6"/>
  <c r="BD187" i="6"/>
  <c r="AB187" i="6"/>
  <c r="Z159" i="6"/>
  <c r="Y159" i="6"/>
  <c r="AF159" i="6"/>
  <c r="BH159" i="6"/>
  <c r="AD250" i="6"/>
  <c r="AC250" i="6"/>
  <c r="AC175" i="6"/>
  <c r="AD175" i="6"/>
  <c r="AC116" i="6"/>
  <c r="AD116" i="6"/>
  <c r="AC97" i="6"/>
  <c r="AD97" i="6"/>
  <c r="AD79" i="6"/>
  <c r="AC79" i="6"/>
  <c r="AD128" i="6"/>
  <c r="AC128" i="6"/>
  <c r="AC213" i="6"/>
  <c r="AD213" i="6"/>
  <c r="AC201" i="6"/>
  <c r="AD201" i="6"/>
  <c r="AC189" i="6"/>
  <c r="AD189" i="6"/>
  <c r="BH258" i="6"/>
  <c r="AF189" i="6"/>
  <c r="BD139" i="6"/>
  <c r="AB139" i="6"/>
  <c r="Y154" i="6"/>
  <c r="Z154" i="6"/>
  <c r="BH154" i="6"/>
  <c r="AF154" i="6"/>
  <c r="AC112" i="6"/>
  <c r="AD112" i="6"/>
  <c r="BF238" i="6"/>
  <c r="BE238" i="6"/>
  <c r="BF253" i="6"/>
  <c r="BE253" i="6"/>
  <c r="BH163" i="6"/>
  <c r="BE163" i="6"/>
  <c r="BF163" i="6"/>
  <c r="AB131" i="6"/>
  <c r="BD131" i="6"/>
  <c r="AB188" i="6"/>
  <c r="BD188" i="6"/>
  <c r="Z113" i="6"/>
  <c r="Y113" i="6"/>
  <c r="BH113" i="6"/>
  <c r="AF113" i="6"/>
  <c r="Z142" i="6"/>
  <c r="Y142" i="6"/>
  <c r="Y246" i="6"/>
  <c r="Z246" i="6"/>
  <c r="Y117" i="6"/>
  <c r="Z117" i="6"/>
  <c r="BH117" i="6"/>
  <c r="BD220" i="6"/>
  <c r="AB220" i="6"/>
  <c r="AB123" i="6"/>
  <c r="BD123" i="6"/>
  <c r="Z148" i="6"/>
  <c r="BH148" i="6"/>
  <c r="AF148" i="6"/>
  <c r="Y148" i="6"/>
  <c r="BH91" i="6"/>
  <c r="Z91" i="6"/>
  <c r="AF91" i="6"/>
  <c r="Y91" i="6"/>
  <c r="BF262" i="6"/>
  <c r="BE262" i="6"/>
  <c r="BE206" i="6"/>
  <c r="BF206" i="6"/>
  <c r="BE136" i="6"/>
  <c r="BF136" i="6"/>
  <c r="BF242" i="6"/>
  <c r="BE242" i="6"/>
  <c r="BF215" i="6"/>
  <c r="BE215" i="6"/>
  <c r="AD130" i="6"/>
  <c r="AC130" i="6"/>
  <c r="AF145" i="6"/>
  <c r="AD145" i="6"/>
  <c r="AC145" i="6"/>
  <c r="BH204" i="6"/>
  <c r="BF204" i="6"/>
  <c r="BE204" i="6"/>
  <c r="AD67" i="6"/>
  <c r="AC67" i="6"/>
  <c r="Y119" i="6"/>
  <c r="Z119" i="6"/>
  <c r="AC182" i="6"/>
  <c r="AD182" i="6"/>
  <c r="BD195" i="6"/>
  <c r="AB195" i="6"/>
  <c r="BH125" i="6"/>
  <c r="BE125" i="6"/>
  <c r="BF125" i="6"/>
  <c r="AB199" i="6"/>
  <c r="BD199" i="6"/>
  <c r="AF191" i="6"/>
  <c r="AD191" i="6"/>
  <c r="AC191" i="6"/>
  <c r="BD217" i="6"/>
  <c r="AB217" i="6"/>
  <c r="AD134" i="6"/>
  <c r="AC134" i="6"/>
  <c r="BE74" i="6"/>
  <c r="BF74" i="6"/>
  <c r="BF76" i="6"/>
  <c r="BE76" i="6"/>
  <c r="AD113" i="6"/>
  <c r="AC113" i="6"/>
  <c r="AC226" i="6"/>
  <c r="AD226" i="6"/>
  <c r="BH245" i="6"/>
  <c r="BE245" i="6"/>
  <c r="BF245" i="6"/>
  <c r="AF155" i="6"/>
  <c r="AD155" i="6"/>
  <c r="AC155" i="6"/>
  <c r="AF259" i="6"/>
  <c r="AD259" i="6"/>
  <c r="AC259" i="6"/>
  <c r="AF78" i="6"/>
  <c r="AD78" i="6"/>
  <c r="AC78" i="6"/>
  <c r="AC196" i="6"/>
  <c r="AD196" i="6"/>
  <c r="AC75" i="6"/>
  <c r="AD75" i="6"/>
  <c r="BH147" i="6"/>
  <c r="BE147" i="6"/>
  <c r="BF147" i="6"/>
  <c r="AF68" i="6"/>
  <c r="AD68" i="6"/>
  <c r="AC68" i="6"/>
  <c r="AC83" i="6"/>
  <c r="AD83" i="6"/>
  <c r="BE237" i="6"/>
  <c r="BF237" i="6"/>
  <c r="BE219" i="6"/>
  <c r="BF219" i="6"/>
  <c r="BF114" i="6"/>
  <c r="BE114" i="6"/>
  <c r="AF236" i="6"/>
  <c r="AD236" i="6"/>
  <c r="AC236" i="6"/>
  <c r="BF101" i="6"/>
  <c r="BE101" i="6"/>
  <c r="BE178" i="6"/>
  <c r="BF178" i="6"/>
  <c r="BF164" i="6"/>
  <c r="BE164" i="6"/>
  <c r="AC203" i="6"/>
  <c r="AD203" i="6"/>
  <c r="AC95" i="6"/>
  <c r="AD95" i="6"/>
  <c r="AF121" i="6"/>
  <c r="AC121" i="6"/>
  <c r="AD121" i="6"/>
  <c r="BF157" i="6"/>
  <c r="BE157" i="6"/>
  <c r="BE168" i="6"/>
  <c r="BF168" i="6"/>
  <c r="Y134" i="6"/>
  <c r="Z134" i="6"/>
  <c r="AF134" i="6"/>
  <c r="BH134" i="6"/>
  <c r="AB210" i="6"/>
  <c r="BD210" i="6"/>
  <c r="BD192" i="6"/>
  <c r="AB192" i="6"/>
  <c r="AD258" i="6"/>
  <c r="AC258" i="6"/>
  <c r="AD180" i="6"/>
  <c r="AC180" i="6"/>
  <c r="AC194" i="6"/>
  <c r="AD194" i="6"/>
  <c r="BE252" i="6"/>
  <c r="BF252" i="6"/>
  <c r="BF118" i="6"/>
  <c r="BE118" i="6"/>
  <c r="BH118" i="6"/>
  <c r="BH248" i="6"/>
  <c r="BE248" i="6"/>
  <c r="BF248" i="6"/>
  <c r="AF213" i="6"/>
  <c r="BH213" i="6"/>
  <c r="Z213" i="6"/>
  <c r="Y213" i="6"/>
  <c r="BD229" i="6"/>
  <c r="AB229" i="6"/>
  <c r="BH178" i="6"/>
  <c r="AB92" i="6"/>
  <c r="BD92" i="6"/>
  <c r="BE159" i="6"/>
  <c r="BF159" i="6"/>
  <c r="BF172" i="6"/>
  <c r="BE172" i="6"/>
  <c r="BF107" i="6"/>
  <c r="BE107" i="6"/>
  <c r="AC185" i="6"/>
  <c r="AD185" i="6"/>
  <c r="BE99" i="6"/>
  <c r="BF99" i="6"/>
  <c r="BF108" i="6"/>
  <c r="BE108" i="6"/>
  <c r="BF174" i="6"/>
  <c r="BE174" i="6"/>
  <c r="AC94" i="6"/>
  <c r="AD94" i="6"/>
  <c r="BH70" i="6"/>
  <c r="BF70" i="6"/>
  <c r="BE70" i="6"/>
  <c r="Y231" i="6"/>
  <c r="Z231" i="6"/>
  <c r="Y121" i="6"/>
  <c r="Z121" i="6"/>
  <c r="BD218" i="6"/>
  <c r="AB218" i="6"/>
  <c r="AD227" i="6"/>
  <c r="AC227" i="6"/>
  <c r="BF104" i="6"/>
  <c r="BE104" i="6"/>
  <c r="BF234" i="6"/>
  <c r="BE234" i="6"/>
  <c r="BH157" i="6"/>
  <c r="Z259" i="6"/>
  <c r="Y259" i="6"/>
  <c r="Z201" i="6"/>
  <c r="BH201" i="6"/>
  <c r="Y201" i="6"/>
  <c r="AF201" i="6"/>
  <c r="BD244" i="6"/>
  <c r="AB244" i="6"/>
  <c r="BH158" i="6"/>
  <c r="Z158" i="6"/>
  <c r="Y158" i="6"/>
  <c r="AF158" i="6"/>
  <c r="BD77" i="6"/>
  <c r="AB77" i="6"/>
  <c r="Y245" i="6"/>
  <c r="Z245" i="6"/>
  <c r="AF245" i="6"/>
  <c r="AB115" i="6"/>
  <c r="BD115" i="6"/>
  <c r="BD166" i="6"/>
  <c r="AB166" i="6"/>
  <c r="BD225" i="6"/>
  <c r="AB225" i="6"/>
  <c r="AB69" i="6"/>
  <c r="BD69" i="6"/>
  <c r="AD262" i="6"/>
  <c r="AC262" i="6"/>
  <c r="AC206" i="6"/>
  <c r="AD206" i="6"/>
  <c r="AD136" i="6"/>
  <c r="AC136" i="6"/>
  <c r="AD242" i="6"/>
  <c r="AC242" i="6"/>
  <c r="AD215" i="6"/>
  <c r="AC215" i="6"/>
  <c r="BF130" i="6"/>
  <c r="BE130" i="6"/>
  <c r="BH145" i="6"/>
  <c r="BE145" i="6"/>
  <c r="BF145" i="6"/>
  <c r="AC204" i="6"/>
  <c r="AD204" i="6"/>
  <c r="BH67" i="6"/>
  <c r="BE67" i="6"/>
  <c r="BF67" i="6"/>
  <c r="BF182" i="6"/>
  <c r="BE182" i="6"/>
  <c r="BF84" i="6"/>
  <c r="BE84" i="6"/>
  <c r="Y79" i="6"/>
  <c r="AF79" i="6"/>
  <c r="BH79" i="6"/>
  <c r="Z79" i="6"/>
  <c r="AB222" i="6"/>
  <c r="BD222" i="6"/>
  <c r="AG219" i="6"/>
  <c r="AH219" i="6"/>
  <c r="AF226" i="6"/>
  <c r="Z168" i="6"/>
  <c r="Y168" i="6"/>
  <c r="BH168" i="6"/>
  <c r="AF194" i="6"/>
  <c r="Z110" i="6"/>
  <c r="Y110" i="6"/>
  <c r="BD232" i="6"/>
  <c r="AB232" i="6"/>
  <c r="BD173" i="6"/>
  <c r="AB173" i="6"/>
  <c r="BF134" i="6"/>
  <c r="BE134" i="6"/>
  <c r="AC74" i="6"/>
  <c r="AD74" i="6"/>
  <c r="AF215" i="6"/>
  <c r="AC76" i="6"/>
  <c r="AD76" i="6"/>
  <c r="BF113" i="6"/>
  <c r="BE113" i="6"/>
  <c r="BF226" i="6"/>
  <c r="BE226" i="6"/>
  <c r="BE88" i="6"/>
  <c r="BF88" i="6"/>
  <c r="AF152" i="6"/>
  <c r="AC152" i="6"/>
  <c r="AD152" i="6"/>
  <c r="BE211" i="6"/>
  <c r="BF211" i="6"/>
  <c r="BF155" i="6"/>
  <c r="BE155" i="6"/>
  <c r="BH259" i="6"/>
  <c r="BE259" i="6"/>
  <c r="BF259" i="6"/>
  <c r="BH78" i="6"/>
  <c r="BE78" i="6"/>
  <c r="BF78" i="6"/>
  <c r="BF80" i="6"/>
  <c r="BE80" i="6"/>
  <c r="AF110" i="6"/>
  <c r="AC110" i="6"/>
  <c r="AD110" i="6"/>
  <c r="AC237" i="6"/>
  <c r="AD237" i="6"/>
  <c r="AC219" i="6"/>
  <c r="AD219" i="6"/>
  <c r="AD114" i="6"/>
  <c r="AC114" i="6"/>
  <c r="BF236" i="6"/>
  <c r="BE236" i="6"/>
  <c r="BE87" i="6"/>
  <c r="BF87" i="6"/>
  <c r="AF101" i="6"/>
  <c r="AC101" i="6"/>
  <c r="AD101" i="6"/>
  <c r="AF183" i="6"/>
  <c r="AC183" i="6"/>
  <c r="AD183" i="6"/>
  <c r="AD178" i="6"/>
  <c r="AC178" i="6"/>
  <c r="AC164" i="6"/>
  <c r="AD164" i="6"/>
  <c r="BF203" i="6"/>
  <c r="BE203" i="6"/>
  <c r="BH95" i="6"/>
  <c r="BE95" i="6"/>
  <c r="BF95" i="6"/>
  <c r="BH121" i="6"/>
  <c r="BF121" i="6"/>
  <c r="BE121" i="6"/>
  <c r="AF157" i="6"/>
  <c r="AD157" i="6"/>
  <c r="AC157" i="6"/>
  <c r="AF168" i="6"/>
  <c r="AD168" i="6"/>
  <c r="AC168" i="6"/>
  <c r="AF119" i="6"/>
  <c r="AC119" i="6"/>
  <c r="AD119" i="6"/>
  <c r="Y261" i="6"/>
  <c r="Z261" i="6"/>
  <c r="AF261" i="6"/>
  <c r="BH261" i="6"/>
  <c r="BD103" i="6"/>
  <c r="AB103" i="6"/>
  <c r="BE148" i="6"/>
  <c r="BF148" i="6"/>
  <c r="AC261" i="6"/>
  <c r="AD261" i="6"/>
  <c r="AD167" i="6"/>
  <c r="AC167" i="6"/>
  <c r="AF234" i="6"/>
  <c r="BH234" i="6"/>
  <c r="Y234" i="6"/>
  <c r="Z234" i="6"/>
  <c r="AF248" i="6"/>
  <c r="AD248" i="6"/>
  <c r="AC248" i="6"/>
  <c r="Z97" i="6"/>
  <c r="BH97" i="6"/>
  <c r="AF97" i="6"/>
  <c r="Y97" i="6"/>
  <c r="AD159" i="6"/>
  <c r="AC159" i="6"/>
  <c r="AD172" i="6"/>
  <c r="AC172" i="6"/>
  <c r="AC107" i="6"/>
  <c r="AD107" i="6"/>
  <c r="BE185" i="6"/>
  <c r="BF185" i="6"/>
  <c r="AD99" i="6"/>
  <c r="AC99" i="6"/>
  <c r="AC108" i="6"/>
  <c r="AD108" i="6"/>
  <c r="AC174" i="6"/>
  <c r="AD174" i="6"/>
  <c r="BE94" i="6"/>
  <c r="BF94" i="6"/>
  <c r="AD70" i="6"/>
  <c r="AC70" i="6"/>
  <c r="BH112" i="6"/>
  <c r="Z112" i="6"/>
  <c r="Y112" i="6"/>
  <c r="AF112" i="6"/>
  <c r="Z253" i="6"/>
  <c r="AF253" i="6"/>
  <c r="BH253" i="6"/>
  <c r="Y253" i="6"/>
  <c r="BD165" i="6"/>
  <c r="AB165" i="6"/>
  <c r="Z147" i="6"/>
  <c r="Y147" i="6"/>
  <c r="AF147" i="6"/>
  <c r="BF227" i="6"/>
  <c r="BE227" i="6"/>
  <c r="AC104" i="6"/>
  <c r="AD104" i="6"/>
  <c r="AD234" i="6"/>
  <c r="AC234" i="6"/>
  <c r="Y155" i="6"/>
  <c r="Z155" i="6"/>
  <c r="BH155" i="6"/>
  <c r="AB169" i="6"/>
  <c r="BD169" i="6"/>
  <c r="Y207" i="6"/>
  <c r="AF207" i="6"/>
  <c r="Z207" i="6"/>
  <c r="BH207" i="6"/>
  <c r="BH104" i="6"/>
  <c r="Y104" i="6"/>
  <c r="Z104" i="6"/>
  <c r="AF104" i="6"/>
  <c r="Z251" i="6"/>
  <c r="BH251" i="6"/>
  <c r="Y251" i="6"/>
  <c r="AF251" i="6"/>
  <c r="BD161" i="6"/>
  <c r="AB161" i="6"/>
  <c r="Y130" i="6"/>
  <c r="AF130" i="6"/>
  <c r="BH130" i="6"/>
  <c r="Z130" i="6"/>
  <c r="BD177" i="6"/>
  <c r="AB177" i="6"/>
  <c r="BD243" i="6"/>
  <c r="AB243" i="6"/>
  <c r="Z228" i="6"/>
  <c r="Y228" i="6"/>
  <c r="BH228" i="6"/>
  <c r="BF207" i="6"/>
  <c r="BE207" i="6"/>
  <c r="BE72" i="6"/>
  <c r="BF72" i="6"/>
  <c r="BE91" i="6"/>
  <c r="BF91" i="6"/>
  <c r="AC126" i="6"/>
  <c r="AD126" i="6"/>
  <c r="BF109" i="6"/>
  <c r="BE109" i="6"/>
  <c r="Z78" i="6"/>
  <c r="Y78" i="6"/>
  <c r="AB254" i="6"/>
  <c r="BD254" i="6"/>
  <c r="AF238" i="6"/>
  <c r="Y238" i="6"/>
  <c r="BH238" i="6"/>
  <c r="Z238" i="6"/>
  <c r="AC84" i="6"/>
  <c r="AD84" i="6"/>
  <c r="Y107" i="6"/>
  <c r="Z107" i="6"/>
  <c r="AF107" i="6"/>
  <c r="BH107" i="6"/>
  <c r="AB186" i="6"/>
  <c r="BD186" i="6"/>
  <c r="AH83" i="6"/>
  <c r="AG83" i="6"/>
  <c r="BH194" i="6"/>
  <c r="AB138" i="6"/>
  <c r="BD138" i="6"/>
  <c r="BH206" i="6"/>
  <c r="BF251" i="6"/>
  <c r="BE251" i="6"/>
  <c r="BH215" i="6"/>
  <c r="AF70" i="6"/>
  <c r="AF142" i="6"/>
  <c r="AD142" i="6"/>
  <c r="AC142" i="6"/>
  <c r="BH170" i="6"/>
  <c r="BF170" i="6"/>
  <c r="BE170" i="6"/>
  <c r="AF144" i="6"/>
  <c r="AD144" i="6"/>
  <c r="AC144" i="6"/>
  <c r="AC263" i="6"/>
  <c r="AD263" i="6"/>
  <c r="AF88" i="6"/>
  <c r="AC88" i="6"/>
  <c r="AD88" i="6"/>
  <c r="BE152" i="6"/>
  <c r="BF152" i="6"/>
  <c r="BE228" i="6"/>
  <c r="BF228" i="6"/>
  <c r="AF211" i="6"/>
  <c r="AD211" i="6"/>
  <c r="AC211" i="6"/>
  <c r="AD93" i="6"/>
  <c r="AC93" i="6"/>
  <c r="BH231" i="6"/>
  <c r="BF231" i="6"/>
  <c r="BE231" i="6"/>
  <c r="AC80" i="6"/>
  <c r="AD80" i="6"/>
  <c r="BH110" i="6"/>
  <c r="BF110" i="6"/>
  <c r="BE110" i="6"/>
  <c r="BE241" i="6"/>
  <c r="BF241" i="6"/>
  <c r="BE96" i="6"/>
  <c r="BF96" i="6"/>
  <c r="AF212" i="6"/>
  <c r="AC212" i="6"/>
  <c r="AD212" i="6"/>
  <c r="AC87" i="6"/>
  <c r="AD87" i="6"/>
  <c r="AF246" i="6"/>
  <c r="AD246" i="6"/>
  <c r="AC246" i="6"/>
  <c r="BH183" i="6"/>
  <c r="BE183" i="6"/>
  <c r="BF183" i="6"/>
  <c r="BF239" i="6"/>
  <c r="BE239" i="6"/>
  <c r="BH224" i="6"/>
  <c r="BF224" i="6"/>
  <c r="BE224" i="6"/>
  <c r="BH190" i="6"/>
  <c r="BE190" i="6"/>
  <c r="BF190" i="6"/>
  <c r="AC160" i="6"/>
  <c r="AD160" i="6"/>
  <c r="BF86" i="6"/>
  <c r="BE86" i="6"/>
  <c r="BE154" i="6"/>
  <c r="BF154" i="6"/>
  <c r="BH119" i="6"/>
  <c r="BF119" i="6"/>
  <c r="BE119" i="6"/>
  <c r="BF117" i="6"/>
  <c r="BE117" i="6"/>
  <c r="AB71" i="6"/>
  <c r="BD71" i="6"/>
  <c r="AB171" i="6"/>
  <c r="BD171" i="6"/>
  <c r="AF175" i="6"/>
  <c r="BH175" i="6"/>
  <c r="Y175" i="6"/>
  <c r="Z175" i="6"/>
  <c r="AD148" i="6"/>
  <c r="AC148" i="6"/>
  <c r="BE261" i="6"/>
  <c r="BF261" i="6"/>
  <c r="AC158" i="6"/>
  <c r="AD158" i="6"/>
  <c r="BE167" i="6"/>
  <c r="BF167" i="6"/>
  <c r="BE66" i="6"/>
  <c r="BF66" i="6"/>
  <c r="AC106" i="6"/>
  <c r="AD106" i="6"/>
  <c r="AF118" i="6"/>
  <c r="BH66" i="6"/>
  <c r="AF81" i="6"/>
  <c r="AC81" i="6"/>
  <c r="AD81" i="6"/>
  <c r="AF250" i="6"/>
  <c r="BH250" i="6"/>
  <c r="Y250" i="6"/>
  <c r="Z250" i="6"/>
  <c r="AF182" i="6"/>
  <c r="AF95" i="6"/>
  <c r="BH109" i="6"/>
  <c r="BF250" i="6"/>
  <c r="BE250" i="6"/>
  <c r="BF175" i="6"/>
  <c r="BE175" i="6"/>
  <c r="BF116" i="6"/>
  <c r="BE116" i="6"/>
  <c r="BF97" i="6"/>
  <c r="BE97" i="6"/>
  <c r="BF79" i="6"/>
  <c r="BE79" i="6"/>
  <c r="BF128" i="6"/>
  <c r="BE128" i="6"/>
  <c r="BF213" i="6"/>
  <c r="BE213" i="6"/>
  <c r="BF201" i="6"/>
  <c r="BE201" i="6"/>
  <c r="BF189" i="6"/>
  <c r="BE189" i="6"/>
  <c r="AF258" i="6"/>
  <c r="BH189" i="6"/>
  <c r="AF227" i="6"/>
  <c r="Y227" i="6"/>
  <c r="Z227" i="6"/>
  <c r="BH227" i="6"/>
  <c r="BH86" i="6"/>
  <c r="Z196" i="6"/>
  <c r="Y196" i="6"/>
  <c r="AF196" i="6"/>
  <c r="AF252" i="6"/>
  <c r="Y93" i="6"/>
  <c r="Z93" i="6"/>
  <c r="AF93" i="6"/>
  <c r="BH164" i="6"/>
  <c r="BF112" i="6"/>
  <c r="BE112" i="6"/>
  <c r="AC238" i="6"/>
  <c r="AD238" i="6"/>
  <c r="AC253" i="6"/>
  <c r="AD253" i="6"/>
  <c r="AF106" i="6"/>
  <c r="BH180" i="6"/>
  <c r="AF163" i="6"/>
  <c r="AC163" i="6"/>
  <c r="AD163" i="6"/>
  <c r="BH185" i="6"/>
  <c r="Y185" i="6"/>
  <c r="Z185" i="6"/>
  <c r="AF185" i="6"/>
  <c r="BH108" i="6"/>
  <c r="Z108" i="6"/>
  <c r="Y108" i="6"/>
  <c r="AF108" i="6"/>
  <c r="BD179" i="6"/>
  <c r="AB179" i="6"/>
  <c r="BD141" i="6"/>
  <c r="AB141" i="6"/>
  <c r="Z170" i="6"/>
  <c r="Y170" i="6"/>
  <c r="AF170" i="6"/>
  <c r="BD73" i="6"/>
  <c r="AB73" i="6"/>
  <c r="Y212" i="6"/>
  <c r="Z212" i="6"/>
  <c r="BH212" i="6"/>
  <c r="Y68" i="6"/>
  <c r="Z68" i="6"/>
  <c r="BH68" i="6"/>
  <c r="BH242" i="6"/>
  <c r="Z242" i="6"/>
  <c r="Y242" i="6"/>
  <c r="AF242" i="6"/>
  <c r="AB235" i="6"/>
  <c r="BD235" i="6"/>
  <c r="AD207" i="6"/>
  <c r="AC207" i="6"/>
  <c r="AD72" i="6"/>
  <c r="AC72" i="6"/>
  <c r="AC91" i="6"/>
  <c r="AD91" i="6"/>
  <c r="BF126" i="6"/>
  <c r="BE126" i="6"/>
  <c r="AD109" i="6"/>
  <c r="AC109" i="6"/>
  <c r="Y116" i="6"/>
  <c r="Z116" i="6"/>
  <c r="BH116" i="6"/>
  <c r="AF116" i="6"/>
  <c r="BD208" i="6"/>
  <c r="AB208" i="6"/>
  <c r="AF128" i="6"/>
  <c r="BH128" i="6"/>
  <c r="Y128" i="6"/>
  <c r="Z128" i="6"/>
  <c r="AF125" i="6"/>
  <c r="AD125" i="6"/>
  <c r="AC125" i="6"/>
  <c r="Z174" i="6"/>
  <c r="Y174" i="6"/>
  <c r="AF174" i="6"/>
  <c r="BH174" i="6"/>
  <c r="BH114" i="6"/>
  <c r="AF167" i="6"/>
  <c r="AF160" i="6"/>
  <c r="BH191" i="6"/>
  <c r="BF191" i="6"/>
  <c r="BE191" i="6"/>
  <c r="BH237" i="6"/>
  <c r="AF263" i="6"/>
  <c r="AB146" i="6"/>
  <c r="BD146" i="6"/>
  <c r="AF206" i="6"/>
  <c r="AD251" i="6"/>
  <c r="AC251" i="6"/>
  <c r="BH262" i="6"/>
  <c r="BH136" i="6"/>
  <c r="BH142" i="6"/>
  <c r="BE142" i="6"/>
  <c r="BF142" i="6"/>
  <c r="AC170" i="6"/>
  <c r="AD170" i="6"/>
  <c r="BE144" i="6"/>
  <c r="BF144" i="6"/>
  <c r="BE263" i="6"/>
  <c r="BF263" i="6"/>
  <c r="AD245" i="6"/>
  <c r="AC245" i="6"/>
  <c r="AF228" i="6"/>
  <c r="AC228" i="6"/>
  <c r="AD228" i="6"/>
  <c r="BH93" i="6"/>
  <c r="BE93" i="6"/>
  <c r="BF93" i="6"/>
  <c r="AF231" i="6"/>
  <c r="AD231" i="6"/>
  <c r="AC231" i="6"/>
  <c r="BH196" i="6"/>
  <c r="BF196" i="6"/>
  <c r="BE196" i="6"/>
  <c r="BH75" i="6"/>
  <c r="BE75" i="6"/>
  <c r="BF75" i="6"/>
  <c r="AC147" i="6"/>
  <c r="AD147" i="6"/>
  <c r="BE68" i="6"/>
  <c r="BF68" i="6"/>
  <c r="BH83" i="6"/>
  <c r="BE83" i="6"/>
  <c r="BF83" i="6"/>
  <c r="AC241" i="6"/>
  <c r="AD241" i="6"/>
  <c r="AF96" i="6"/>
  <c r="AC96" i="6"/>
  <c r="AD96" i="6"/>
  <c r="BF212" i="6"/>
  <c r="BE212" i="6"/>
  <c r="BH246" i="6"/>
  <c r="BE246" i="6"/>
  <c r="BF246" i="6"/>
  <c r="AF239" i="6"/>
  <c r="AC239" i="6"/>
  <c r="AD239" i="6"/>
  <c r="AD224" i="6"/>
  <c r="AC224" i="6"/>
  <c r="AF190" i="6"/>
  <c r="AC190" i="6"/>
  <c r="AD190" i="6"/>
  <c r="BH160" i="6"/>
  <c r="BE160" i="6"/>
  <c r="BF160" i="6"/>
  <c r="AC86" i="6"/>
  <c r="AD86" i="6"/>
  <c r="AC154" i="6"/>
  <c r="AD154" i="6"/>
  <c r="AF117" i="6"/>
  <c r="AC117" i="6"/>
  <c r="AD117" i="6"/>
  <c r="G132" i="2"/>
  <c r="P132" i="2"/>
  <c r="H132" i="2"/>
  <c r="O132" i="2"/>
  <c r="J132" i="2"/>
  <c r="N132" i="2"/>
  <c r="F132" i="2"/>
  <c r="A134" i="2"/>
  <c r="B133" i="2"/>
  <c r="AD230" i="6" l="1"/>
  <c r="AH162" i="6"/>
  <c r="CE223" i="6"/>
  <c r="CH223" i="6" s="1"/>
  <c r="AG224" i="6"/>
  <c r="AC181" i="6"/>
  <c r="AC240" i="6"/>
  <c r="AD127" i="6"/>
  <c r="BE247" i="6"/>
  <c r="AD132" i="6"/>
  <c r="AC260" i="6"/>
  <c r="BH162" i="6"/>
  <c r="BI162" i="6" s="1"/>
  <c r="BL162" i="6" s="1"/>
  <c r="BE214" i="6"/>
  <c r="AD197" i="6"/>
  <c r="BH223" i="6"/>
  <c r="BJ223" i="6" s="1"/>
  <c r="BM223" i="6" s="1"/>
  <c r="AC176" i="6"/>
  <c r="BF135" i="6"/>
  <c r="BE202" i="6"/>
  <c r="BH124" i="6"/>
  <c r="BI124" i="6" s="1"/>
  <c r="BL124" i="6" s="1"/>
  <c r="BF124" i="6"/>
  <c r="BE256" i="6"/>
  <c r="AD149" i="6"/>
  <c r="BJ202" i="6"/>
  <c r="BM202" i="6" s="1"/>
  <c r="BH233" i="6"/>
  <c r="BI233" i="6" s="1"/>
  <c r="BL233" i="6" s="1"/>
  <c r="BH249" i="6"/>
  <c r="BI249" i="6" s="1"/>
  <c r="BL249" i="6" s="1"/>
  <c r="AD156" i="6"/>
  <c r="BH214" i="6"/>
  <c r="BJ214" i="6" s="1"/>
  <c r="BM214" i="6" s="1"/>
  <c r="AD255" i="6"/>
  <c r="BE85" i="6"/>
  <c r="BE249" i="6"/>
  <c r="AD122" i="6"/>
  <c r="BE153" i="6"/>
  <c r="AC150" i="6"/>
  <c r="AC221" i="6"/>
  <c r="AC209" i="6"/>
  <c r="BH193" i="6"/>
  <c r="BI193" i="6" s="1"/>
  <c r="BL193" i="6" s="1"/>
  <c r="BH198" i="6"/>
  <c r="BJ198" i="6" s="1"/>
  <c r="BM198" i="6" s="1"/>
  <c r="BH133" i="6"/>
  <c r="BJ133" i="6" s="1"/>
  <c r="BM133" i="6" s="1"/>
  <c r="AG143" i="6"/>
  <c r="AD143" i="6"/>
  <c r="BF133" i="6"/>
  <c r="AH122" i="6"/>
  <c r="AC255" i="6"/>
  <c r="BH256" i="6"/>
  <c r="BI256" i="6" s="1"/>
  <c r="BL256" i="6" s="1"/>
  <c r="AC149" i="6"/>
  <c r="AC197" i="6"/>
  <c r="BE89" i="6"/>
  <c r="AF209" i="6"/>
  <c r="AG209" i="6" s="1"/>
  <c r="BF151" i="6"/>
  <c r="BH135" i="6"/>
  <c r="BI135" i="6" s="1"/>
  <c r="BL135" i="6" s="1"/>
  <c r="AG264" i="6"/>
  <c r="AG260" i="6"/>
  <c r="BH85" i="6"/>
  <c r="BI85" i="6" s="1"/>
  <c r="BL85" i="6" s="1"/>
  <c r="AC264" i="6"/>
  <c r="AC216" i="6"/>
  <c r="AG197" i="6"/>
  <c r="AD82" i="6"/>
  <c r="BF223" i="6"/>
  <c r="BF89" i="6"/>
  <c r="BE162" i="6"/>
  <c r="BE233" i="6"/>
  <c r="AH176" i="6"/>
  <c r="BE151" i="6"/>
  <c r="AG221" i="6"/>
  <c r="AD176" i="6"/>
  <c r="AC156" i="6"/>
  <c r="BH153" i="6"/>
  <c r="BI153" i="6" s="1"/>
  <c r="BL153" i="6" s="1"/>
  <c r="AF150" i="6"/>
  <c r="AH150" i="6" s="1"/>
  <c r="AD216" i="6"/>
  <c r="AD260" i="6"/>
  <c r="AC82" i="6"/>
  <c r="AC122" i="6"/>
  <c r="BF202" i="6"/>
  <c r="AD264" i="6"/>
  <c r="AD221" i="6"/>
  <c r="BF205" i="6"/>
  <c r="BF90" i="6"/>
  <c r="BF100" i="6"/>
  <c r="BH205" i="6"/>
  <c r="BI205" i="6" s="1"/>
  <c r="BL205" i="6" s="1"/>
  <c r="BE90" i="6"/>
  <c r="BF65" i="6"/>
  <c r="BH200" i="6"/>
  <c r="BI200" i="6" s="1"/>
  <c r="BL200" i="6" s="1"/>
  <c r="CD150" i="6"/>
  <c r="CG150" i="6" s="1"/>
  <c r="CD122" i="6"/>
  <c r="CG122" i="6" s="1"/>
  <c r="CE151" i="6"/>
  <c r="CH151" i="6" s="1"/>
  <c r="CD149" i="6"/>
  <c r="CG149" i="6" s="1"/>
  <c r="CE202" i="6"/>
  <c r="CH202" i="6" s="1"/>
  <c r="CD156" i="6"/>
  <c r="CG156" i="6" s="1"/>
  <c r="CE85" i="6"/>
  <c r="CH85" i="6" s="1"/>
  <c r="AF230" i="6"/>
  <c r="AG230" i="6" s="1"/>
  <c r="AF98" i="6"/>
  <c r="AG98" i="6" s="1"/>
  <c r="AG181" i="6"/>
  <c r="AD120" i="6"/>
  <c r="AF102" i="6"/>
  <c r="AH102" i="6" s="1"/>
  <c r="AC140" i="6"/>
  <c r="AF240" i="6"/>
  <c r="AG240" i="6" s="1"/>
  <c r="AD105" i="6"/>
  <c r="AF127" i="6"/>
  <c r="AG127" i="6" s="1"/>
  <c r="AC111" i="6"/>
  <c r="BH184" i="6"/>
  <c r="BI184" i="6" s="1"/>
  <c r="BL184" i="6" s="1"/>
  <c r="AF129" i="6"/>
  <c r="AG129" i="6" s="1"/>
  <c r="BH247" i="6"/>
  <c r="BJ247" i="6" s="1"/>
  <c r="BM247" i="6" s="1"/>
  <c r="BF64" i="6"/>
  <c r="AC120" i="6"/>
  <c r="AF140" i="6"/>
  <c r="AH140" i="6" s="1"/>
  <c r="BF198" i="6"/>
  <c r="AF105" i="6"/>
  <c r="AG105" i="6" s="1"/>
  <c r="AD129" i="6"/>
  <c r="AC137" i="6"/>
  <c r="CE162" i="6"/>
  <c r="CH162" i="6" s="1"/>
  <c r="CE221" i="6"/>
  <c r="CH221" i="6" s="1"/>
  <c r="CD124" i="6"/>
  <c r="CG124" i="6" s="1"/>
  <c r="CD255" i="6"/>
  <c r="CG255" i="6" s="1"/>
  <c r="CE205" i="6"/>
  <c r="CH205" i="6" s="1"/>
  <c r="CD260" i="6"/>
  <c r="CG260" i="6" s="1"/>
  <c r="CD200" i="6"/>
  <c r="CG200" i="6" s="1"/>
  <c r="CE100" i="6"/>
  <c r="CH100" i="6" s="1"/>
  <c r="CD176" i="6"/>
  <c r="CG176" i="6" s="1"/>
  <c r="CD249" i="6"/>
  <c r="CG249" i="6" s="1"/>
  <c r="CD233" i="6"/>
  <c r="CG233" i="6" s="1"/>
  <c r="CE240" i="6"/>
  <c r="CH240" i="6" s="1"/>
  <c r="CD127" i="6"/>
  <c r="CG127" i="6" s="1"/>
  <c r="CD256" i="6"/>
  <c r="CG256" i="6" s="1"/>
  <c r="CD216" i="6"/>
  <c r="CG216" i="6" s="1"/>
  <c r="CE153" i="6"/>
  <c r="CH153" i="6" s="1"/>
  <c r="CE135" i="6"/>
  <c r="CH135" i="6" s="1"/>
  <c r="CE82" i="6"/>
  <c r="CH82" i="6" s="1"/>
  <c r="CD89" i="6"/>
  <c r="CG89" i="6" s="1"/>
  <c r="CD214" i="6"/>
  <c r="CG214" i="6" s="1"/>
  <c r="CD197" i="6"/>
  <c r="CG197" i="6" s="1"/>
  <c r="CD133" i="6"/>
  <c r="CG133" i="6" s="1"/>
  <c r="CE247" i="6"/>
  <c r="CH247" i="6" s="1"/>
  <c r="CD65" i="6"/>
  <c r="CG65" i="6" s="1"/>
  <c r="CD209" i="6"/>
  <c r="CG209" i="6" s="1"/>
  <c r="CD64" i="6"/>
  <c r="CG64" i="6" s="1"/>
  <c r="CE64" i="6"/>
  <c r="CH64" i="6" s="1"/>
  <c r="CD132" i="6"/>
  <c r="CG132" i="6" s="1"/>
  <c r="CD105" i="6"/>
  <c r="CG105" i="6" s="1"/>
  <c r="CE129" i="6"/>
  <c r="CH129" i="6" s="1"/>
  <c r="CE120" i="6"/>
  <c r="CH120" i="6" s="1"/>
  <c r="AC102" i="6"/>
  <c r="BE200" i="6"/>
  <c r="AF111" i="6"/>
  <c r="AG111" i="6" s="1"/>
  <c r="AC132" i="6"/>
  <c r="BE193" i="6"/>
  <c r="BF184" i="6"/>
  <c r="AD137" i="6"/>
  <c r="BI100" i="6"/>
  <c r="BL100" i="6" s="1"/>
  <c r="CE98" i="6"/>
  <c r="CH98" i="6" s="1"/>
  <c r="CE90" i="6"/>
  <c r="CH90" i="6" s="1"/>
  <c r="CE230" i="6"/>
  <c r="CH230" i="6" s="1"/>
  <c r="CD137" i="6"/>
  <c r="CG137" i="6" s="1"/>
  <c r="CE193" i="6"/>
  <c r="CH193" i="6" s="1"/>
  <c r="CD143" i="6"/>
  <c r="CG143" i="6" s="1"/>
  <c r="CE198" i="6"/>
  <c r="CH198" i="6" s="1"/>
  <c r="CE111" i="6"/>
  <c r="CH111" i="6" s="1"/>
  <c r="CD140" i="6"/>
  <c r="CG140" i="6" s="1"/>
  <c r="CE181" i="6"/>
  <c r="CH181" i="6" s="1"/>
  <c r="BH64" i="6"/>
  <c r="BI64" i="6" s="1"/>
  <c r="BL64" i="6" s="1"/>
  <c r="AC98" i="6"/>
  <c r="BH65" i="6"/>
  <c r="BI65" i="6" s="1"/>
  <c r="BL65" i="6" s="1"/>
  <c r="AC143" i="6"/>
  <c r="AD181" i="6"/>
  <c r="BE100" i="6"/>
  <c r="CD102" i="6"/>
  <c r="CG102" i="6" s="1"/>
  <c r="CD264" i="6"/>
  <c r="CG264" i="6" s="1"/>
  <c r="CE184" i="6"/>
  <c r="CH184" i="6" s="1"/>
  <c r="CD159" i="6"/>
  <c r="CG159" i="6" s="1"/>
  <c r="CE159" i="6"/>
  <c r="CH159" i="6" s="1"/>
  <c r="CD213" i="6"/>
  <c r="CG213" i="6" s="1"/>
  <c r="CE213" i="6"/>
  <c r="CH213" i="6" s="1"/>
  <c r="CE245" i="6"/>
  <c r="CH245" i="6" s="1"/>
  <c r="CD245" i="6"/>
  <c r="CG245" i="6" s="1"/>
  <c r="CD119" i="6"/>
  <c r="CG119" i="6" s="1"/>
  <c r="CE119" i="6"/>
  <c r="CH119" i="6" s="1"/>
  <c r="CD74" i="6"/>
  <c r="CG74" i="6" s="1"/>
  <c r="CE74" i="6"/>
  <c r="CH74" i="6" s="1"/>
  <c r="CD246" i="6"/>
  <c r="CG246" i="6" s="1"/>
  <c r="CE246" i="6"/>
  <c r="CH246" i="6" s="1"/>
  <c r="CD147" i="6"/>
  <c r="CG147" i="6" s="1"/>
  <c r="CE147" i="6"/>
  <c r="CH147" i="6" s="1"/>
  <c r="CE107" i="6"/>
  <c r="CH107" i="6" s="1"/>
  <c r="CD107" i="6"/>
  <c r="CG107" i="6" s="1"/>
  <c r="CD170" i="6"/>
  <c r="CG170" i="6" s="1"/>
  <c r="CE170" i="6"/>
  <c r="CH170" i="6" s="1"/>
  <c r="CD231" i="6"/>
  <c r="CG231" i="6" s="1"/>
  <c r="CE231" i="6"/>
  <c r="CH231" i="6" s="1"/>
  <c r="CE251" i="6"/>
  <c r="CH251" i="6" s="1"/>
  <c r="CD251" i="6"/>
  <c r="CG251" i="6" s="1"/>
  <c r="CD253" i="6"/>
  <c r="CG253" i="6" s="1"/>
  <c r="CE253" i="6"/>
  <c r="CH253" i="6" s="1"/>
  <c r="CD201" i="6"/>
  <c r="CG201" i="6" s="1"/>
  <c r="CE201" i="6"/>
  <c r="CH201" i="6" s="1"/>
  <c r="CE112" i="6"/>
  <c r="CH112" i="6" s="1"/>
  <c r="CD112" i="6"/>
  <c r="CG112" i="6" s="1"/>
  <c r="CE261" i="6"/>
  <c r="CH261" i="6" s="1"/>
  <c r="CD261" i="6"/>
  <c r="CG261" i="6" s="1"/>
  <c r="CD259" i="6"/>
  <c r="CG259" i="6" s="1"/>
  <c r="CE259" i="6"/>
  <c r="CH259" i="6" s="1"/>
  <c r="CD108" i="6"/>
  <c r="CG108" i="6" s="1"/>
  <c r="CE108" i="6"/>
  <c r="CH108" i="6" s="1"/>
  <c r="CE130" i="6"/>
  <c r="CH130" i="6" s="1"/>
  <c r="CD130" i="6"/>
  <c r="CG130" i="6" s="1"/>
  <c r="CD227" i="6"/>
  <c r="CG227" i="6" s="1"/>
  <c r="CE227" i="6"/>
  <c r="CH227" i="6" s="1"/>
  <c r="CE134" i="6"/>
  <c r="CH134" i="6" s="1"/>
  <c r="CD134" i="6"/>
  <c r="CG134" i="6" s="1"/>
  <c r="CD68" i="6"/>
  <c r="CG68" i="6" s="1"/>
  <c r="CE68" i="6"/>
  <c r="CH68" i="6" s="1"/>
  <c r="CE78" i="6"/>
  <c r="CH78" i="6" s="1"/>
  <c r="CD78" i="6"/>
  <c r="CG78" i="6" s="1"/>
  <c r="CE196" i="6"/>
  <c r="CH196" i="6" s="1"/>
  <c r="CD196" i="6"/>
  <c r="CG196" i="6" s="1"/>
  <c r="CD117" i="6"/>
  <c r="CG117" i="6" s="1"/>
  <c r="CE117" i="6"/>
  <c r="CH117" i="6" s="1"/>
  <c r="CE238" i="6"/>
  <c r="CH238" i="6" s="1"/>
  <c r="CD238" i="6"/>
  <c r="CG238" i="6" s="1"/>
  <c r="CD97" i="6"/>
  <c r="CG97" i="6" s="1"/>
  <c r="CE97" i="6"/>
  <c r="CH97" i="6" s="1"/>
  <c r="CD250" i="6"/>
  <c r="CG250" i="6" s="1"/>
  <c r="CE250" i="6"/>
  <c r="CH250" i="6" s="1"/>
  <c r="CE104" i="6"/>
  <c r="CH104" i="6" s="1"/>
  <c r="CD104" i="6"/>
  <c r="CG104" i="6" s="1"/>
  <c r="CE113" i="6"/>
  <c r="CH113" i="6" s="1"/>
  <c r="CD113" i="6"/>
  <c r="CG113" i="6" s="1"/>
  <c r="CD242" i="6"/>
  <c r="CG242" i="6" s="1"/>
  <c r="CE242" i="6"/>
  <c r="CH242" i="6" s="1"/>
  <c r="CD234" i="6"/>
  <c r="CG234" i="6" s="1"/>
  <c r="CE234" i="6"/>
  <c r="CH234" i="6" s="1"/>
  <c r="CD158" i="6"/>
  <c r="CG158" i="6" s="1"/>
  <c r="CE158" i="6"/>
  <c r="CH158" i="6" s="1"/>
  <c r="CD148" i="6"/>
  <c r="CG148" i="6" s="1"/>
  <c r="CE148" i="6"/>
  <c r="CH148" i="6" s="1"/>
  <c r="CE128" i="6"/>
  <c r="CH128" i="6" s="1"/>
  <c r="CD128" i="6"/>
  <c r="CG128" i="6" s="1"/>
  <c r="CE155" i="6"/>
  <c r="CH155" i="6" s="1"/>
  <c r="CD155" i="6"/>
  <c r="CG155" i="6" s="1"/>
  <c r="CE79" i="6"/>
  <c r="CH79" i="6" s="1"/>
  <c r="CD79" i="6"/>
  <c r="CG79" i="6" s="1"/>
  <c r="CD110" i="6"/>
  <c r="CG110" i="6" s="1"/>
  <c r="CE110" i="6"/>
  <c r="CH110" i="6" s="1"/>
  <c r="CE121" i="6"/>
  <c r="CH121" i="6" s="1"/>
  <c r="CD121" i="6"/>
  <c r="CG121" i="6" s="1"/>
  <c r="CD172" i="6"/>
  <c r="CG172" i="6" s="1"/>
  <c r="CE172" i="6"/>
  <c r="CH172" i="6" s="1"/>
  <c r="CE185" i="6"/>
  <c r="CH185" i="6" s="1"/>
  <c r="CD185" i="6"/>
  <c r="CG185" i="6" s="1"/>
  <c r="CE212" i="6"/>
  <c r="CH212" i="6" s="1"/>
  <c r="CE175" i="6"/>
  <c r="CH175" i="6" s="1"/>
  <c r="CE116" i="6"/>
  <c r="CH116" i="6" s="1"/>
  <c r="CE207" i="6"/>
  <c r="CH207" i="6" s="1"/>
  <c r="CE168" i="6"/>
  <c r="CH168" i="6" s="1"/>
  <c r="CE91" i="6"/>
  <c r="CH91" i="6" s="1"/>
  <c r="CD142" i="6"/>
  <c r="CG142" i="6" s="1"/>
  <c r="CD154" i="6"/>
  <c r="CG154" i="6" s="1"/>
  <c r="CE94" i="6"/>
  <c r="CH94" i="6" s="1"/>
  <c r="CE93" i="6"/>
  <c r="CH93" i="6" s="1"/>
  <c r="CD174" i="6"/>
  <c r="CG174" i="6" s="1"/>
  <c r="CE228" i="6"/>
  <c r="CH228" i="6" s="1"/>
  <c r="CE263" i="6"/>
  <c r="CH263" i="6" s="1"/>
  <c r="CD263" i="6"/>
  <c r="CG263" i="6" s="1"/>
  <c r="CD215" i="6"/>
  <c r="CG215" i="6" s="1"/>
  <c r="CE215" i="6"/>
  <c r="CH215" i="6" s="1"/>
  <c r="CD136" i="6"/>
  <c r="CG136" i="6" s="1"/>
  <c r="CE136" i="6"/>
  <c r="CH136" i="6" s="1"/>
  <c r="CE144" i="6"/>
  <c r="CH144" i="6" s="1"/>
  <c r="CD144" i="6"/>
  <c r="CG144" i="6" s="1"/>
  <c r="CD126" i="6"/>
  <c r="CG126" i="6" s="1"/>
  <c r="CE126" i="6"/>
  <c r="CH126" i="6" s="1"/>
  <c r="CE88" i="6"/>
  <c r="CH88" i="6" s="1"/>
  <c r="CD88" i="6"/>
  <c r="CG88" i="6" s="1"/>
  <c r="CE81" i="6"/>
  <c r="CH81" i="6" s="1"/>
  <c r="CD81" i="6"/>
  <c r="CG81" i="6" s="1"/>
  <c r="CD252" i="6"/>
  <c r="CG252" i="6" s="1"/>
  <c r="CE252" i="6"/>
  <c r="CH252" i="6" s="1"/>
  <c r="CE72" i="6"/>
  <c r="CH72" i="6" s="1"/>
  <c r="CD72" i="6"/>
  <c r="CG72" i="6" s="1"/>
  <c r="CE114" i="6"/>
  <c r="CH114" i="6" s="1"/>
  <c r="CD114" i="6"/>
  <c r="CG114" i="6" s="1"/>
  <c r="CE118" i="6"/>
  <c r="CH118" i="6" s="1"/>
  <c r="CD118" i="6"/>
  <c r="CG118" i="6" s="1"/>
  <c r="CE219" i="6"/>
  <c r="CH219" i="6" s="1"/>
  <c r="CD219" i="6"/>
  <c r="CG219" i="6" s="1"/>
  <c r="CD194" i="6"/>
  <c r="CG194" i="6" s="1"/>
  <c r="CE194" i="6"/>
  <c r="CH194" i="6" s="1"/>
  <c r="CE182" i="6"/>
  <c r="CH182" i="6" s="1"/>
  <c r="CD182" i="6"/>
  <c r="CG182" i="6" s="1"/>
  <c r="CD75" i="6"/>
  <c r="CG75" i="6" s="1"/>
  <c r="CE75" i="6"/>
  <c r="CH75" i="6" s="1"/>
  <c r="CE237" i="6"/>
  <c r="CH237" i="6" s="1"/>
  <c r="CD237" i="6"/>
  <c r="CG237" i="6" s="1"/>
  <c r="CD203" i="6"/>
  <c r="CG203" i="6" s="1"/>
  <c r="CE203" i="6"/>
  <c r="CH203" i="6" s="1"/>
  <c r="CD183" i="6"/>
  <c r="CG183" i="6" s="1"/>
  <c r="CE183" i="6"/>
  <c r="CH183" i="6" s="1"/>
  <c r="CE160" i="6"/>
  <c r="CH160" i="6" s="1"/>
  <c r="CD160" i="6"/>
  <c r="CG160" i="6" s="1"/>
  <c r="CD239" i="6"/>
  <c r="CG239" i="6" s="1"/>
  <c r="CE239" i="6"/>
  <c r="CH239" i="6" s="1"/>
  <c r="CD163" i="6"/>
  <c r="CG163" i="6" s="1"/>
  <c r="CE163" i="6"/>
  <c r="CH163" i="6" s="1"/>
  <c r="CE80" i="6"/>
  <c r="CH80" i="6" s="1"/>
  <c r="CD80" i="6"/>
  <c r="CG80" i="6" s="1"/>
  <c r="CE241" i="6"/>
  <c r="CH241" i="6" s="1"/>
  <c r="CD241" i="6"/>
  <c r="CG241" i="6" s="1"/>
  <c r="CE109" i="6"/>
  <c r="CH109" i="6" s="1"/>
  <c r="CD109" i="6"/>
  <c r="CG109" i="6" s="1"/>
  <c r="CD96" i="6"/>
  <c r="CG96" i="6" s="1"/>
  <c r="CE96" i="6"/>
  <c r="CH96" i="6" s="1"/>
  <c r="CE70" i="6"/>
  <c r="CH70" i="6" s="1"/>
  <c r="CD70" i="6"/>
  <c r="CG70" i="6" s="1"/>
  <c r="CE262" i="6"/>
  <c r="CH262" i="6" s="1"/>
  <c r="CD262" i="6"/>
  <c r="CG262" i="6" s="1"/>
  <c r="CD164" i="6"/>
  <c r="CG164" i="6" s="1"/>
  <c r="CE164" i="6"/>
  <c r="CH164" i="6" s="1"/>
  <c r="CE180" i="6"/>
  <c r="CH180" i="6" s="1"/>
  <c r="CD180" i="6"/>
  <c r="CG180" i="6" s="1"/>
  <c r="CD145" i="6"/>
  <c r="CG145" i="6" s="1"/>
  <c r="CE145" i="6"/>
  <c r="CH145" i="6" s="1"/>
  <c r="CD236" i="6"/>
  <c r="CG236" i="6" s="1"/>
  <c r="CE236" i="6"/>
  <c r="CH236" i="6" s="1"/>
  <c r="CE76" i="6"/>
  <c r="CH76" i="6" s="1"/>
  <c r="CD76" i="6"/>
  <c r="CG76" i="6" s="1"/>
  <c r="CD83" i="6"/>
  <c r="CG83" i="6" s="1"/>
  <c r="CE83" i="6"/>
  <c r="CH83" i="6" s="1"/>
  <c r="CE224" i="6"/>
  <c r="CH224" i="6" s="1"/>
  <c r="CD224" i="6"/>
  <c r="CG224" i="6" s="1"/>
  <c r="CE191" i="6"/>
  <c r="CH191" i="6" s="1"/>
  <c r="CD191" i="6"/>
  <c r="CG191" i="6" s="1"/>
  <c r="CE206" i="6"/>
  <c r="CH206" i="6" s="1"/>
  <c r="CD206" i="6"/>
  <c r="CG206" i="6" s="1"/>
  <c r="CE101" i="6"/>
  <c r="CH101" i="6" s="1"/>
  <c r="CD101" i="6"/>
  <c r="CG101" i="6" s="1"/>
  <c r="CE67" i="6"/>
  <c r="CH67" i="6" s="1"/>
  <c r="CD67" i="6"/>
  <c r="CG67" i="6" s="1"/>
  <c r="CD157" i="6"/>
  <c r="CG157" i="6" s="1"/>
  <c r="CE157" i="6"/>
  <c r="CH157" i="6" s="1"/>
  <c r="CE152" i="6"/>
  <c r="CH152" i="6" s="1"/>
  <c r="CD152" i="6"/>
  <c r="CG152" i="6" s="1"/>
  <c r="CD190" i="6"/>
  <c r="CG190" i="6" s="1"/>
  <c r="CE190" i="6"/>
  <c r="CH190" i="6" s="1"/>
  <c r="CE84" i="6"/>
  <c r="CH84" i="6" s="1"/>
  <c r="CD84" i="6"/>
  <c r="CG84" i="6" s="1"/>
  <c r="CD125" i="6"/>
  <c r="CG125" i="6" s="1"/>
  <c r="CE125" i="6"/>
  <c r="CH125" i="6" s="1"/>
  <c r="CE226" i="6"/>
  <c r="CH226" i="6" s="1"/>
  <c r="CD226" i="6"/>
  <c r="CG226" i="6" s="1"/>
  <c r="CD86" i="6"/>
  <c r="CG86" i="6" s="1"/>
  <c r="CE86" i="6"/>
  <c r="CH86" i="6" s="1"/>
  <c r="CD248" i="6"/>
  <c r="CG248" i="6" s="1"/>
  <c r="CE248" i="6"/>
  <c r="CH248" i="6" s="1"/>
  <c r="CE99" i="6"/>
  <c r="CH99" i="6" s="1"/>
  <c r="CD99" i="6"/>
  <c r="CG99" i="6" s="1"/>
  <c r="CD204" i="6"/>
  <c r="CG204" i="6" s="1"/>
  <c r="CE204" i="6"/>
  <c r="CH204" i="6" s="1"/>
  <c r="CE211" i="6"/>
  <c r="CH211" i="6" s="1"/>
  <c r="CD211" i="6"/>
  <c r="CG211" i="6" s="1"/>
  <c r="CE106" i="6"/>
  <c r="CH106" i="6" s="1"/>
  <c r="CD106" i="6"/>
  <c r="CG106" i="6" s="1"/>
  <c r="CD87" i="6"/>
  <c r="CG87" i="6" s="1"/>
  <c r="CE87" i="6"/>
  <c r="CH87" i="6" s="1"/>
  <c r="CE178" i="6"/>
  <c r="CH178" i="6" s="1"/>
  <c r="CD178" i="6"/>
  <c r="CG178" i="6" s="1"/>
  <c r="CD189" i="6"/>
  <c r="CG189" i="6" s="1"/>
  <c r="CE189" i="6"/>
  <c r="CH189" i="6" s="1"/>
  <c r="CD95" i="6"/>
  <c r="CG95" i="6" s="1"/>
  <c r="CE95" i="6"/>
  <c r="CH95" i="6" s="1"/>
  <c r="CE66" i="6"/>
  <c r="CH66" i="6" s="1"/>
  <c r="CD66" i="6"/>
  <c r="CG66" i="6" s="1"/>
  <c r="CD258" i="6"/>
  <c r="CG258" i="6" s="1"/>
  <c r="CE258" i="6"/>
  <c r="CH258" i="6" s="1"/>
  <c r="CD167" i="6"/>
  <c r="CG167" i="6" s="1"/>
  <c r="CE167" i="6"/>
  <c r="CH167" i="6" s="1"/>
  <c r="AD124" i="6"/>
  <c r="AG204" i="6"/>
  <c r="BI120" i="6"/>
  <c r="BL120" i="6" s="1"/>
  <c r="BJ182" i="6"/>
  <c r="BM182" i="6" s="1"/>
  <c r="BE122" i="6"/>
  <c r="BF122" i="6"/>
  <c r="AC162" i="6"/>
  <c r="AC124" i="6"/>
  <c r="AD162" i="6"/>
  <c r="BE120" i="6"/>
  <c r="BF120" i="6"/>
  <c r="BH98" i="6"/>
  <c r="BJ98" i="6" s="1"/>
  <c r="BM98" i="6" s="1"/>
  <c r="BH216" i="6"/>
  <c r="BJ216" i="6" s="1"/>
  <c r="BM216" i="6" s="1"/>
  <c r="AH124" i="6"/>
  <c r="BE216" i="6"/>
  <c r="BE98" i="6"/>
  <c r="AD184" i="6"/>
  <c r="AF184" i="6"/>
  <c r="AG184" i="6" s="1"/>
  <c r="AF133" i="6"/>
  <c r="AH133" i="6" s="1"/>
  <c r="AC133" i="6"/>
  <c r="AG180" i="6"/>
  <c r="AG80" i="6"/>
  <c r="BI241" i="6"/>
  <c r="BL241" i="6" s="1"/>
  <c r="BH127" i="6"/>
  <c r="BI127" i="6" s="1"/>
  <c r="BL127" i="6" s="1"/>
  <c r="AC198" i="6"/>
  <c r="BF127" i="6"/>
  <c r="BH111" i="6"/>
  <c r="BI111" i="6" s="1"/>
  <c r="BL111" i="6" s="1"/>
  <c r="BH102" i="6"/>
  <c r="BJ102" i="6" s="1"/>
  <c r="BM102" i="6" s="1"/>
  <c r="AC249" i="6"/>
  <c r="BE102" i="6"/>
  <c r="AD151" i="6"/>
  <c r="AC151" i="6"/>
  <c r="AC135" i="6"/>
  <c r="AD233" i="6"/>
  <c r="AF233" i="6"/>
  <c r="AG233" i="6" s="1"/>
  <c r="BE111" i="6"/>
  <c r="AD223" i="6"/>
  <c r="AF89" i="6"/>
  <c r="AG89" i="6" s="1"/>
  <c r="AF135" i="6"/>
  <c r="AH135" i="6" s="1"/>
  <c r="AH223" i="6"/>
  <c r="AC223" i="6"/>
  <c r="BH264" i="6"/>
  <c r="BJ264" i="6" s="1"/>
  <c r="BM264" i="6" s="1"/>
  <c r="BE264" i="6"/>
  <c r="AF214" i="6"/>
  <c r="AH214" i="6" s="1"/>
  <c r="BE181" i="6"/>
  <c r="BE150" i="6"/>
  <c r="BJ144" i="6"/>
  <c r="BM144" i="6" s="1"/>
  <c r="BF150" i="6"/>
  <c r="AC214" i="6"/>
  <c r="BJ181" i="6"/>
  <c r="BM181" i="6" s="1"/>
  <c r="BE156" i="6"/>
  <c r="BJ156" i="6"/>
  <c r="BM156" i="6" s="1"/>
  <c r="AF249" i="6"/>
  <c r="AH249" i="6" s="1"/>
  <c r="AD64" i="6"/>
  <c r="BE129" i="6"/>
  <c r="AC64" i="6"/>
  <c r="BF181" i="6"/>
  <c r="BH129" i="6"/>
  <c r="BI129" i="6" s="1"/>
  <c r="BL129" i="6" s="1"/>
  <c r="BF137" i="6"/>
  <c r="AH64" i="6"/>
  <c r="BH137" i="6"/>
  <c r="BJ137" i="6" s="1"/>
  <c r="BM137" i="6" s="1"/>
  <c r="AD198" i="6"/>
  <c r="AH75" i="6"/>
  <c r="AF205" i="6"/>
  <c r="AH205" i="6" s="1"/>
  <c r="BE143" i="6"/>
  <c r="AC85" i="6"/>
  <c r="BE132" i="6"/>
  <c r="BI101" i="6"/>
  <c r="BL101" i="6" s="1"/>
  <c r="BH132" i="6"/>
  <c r="BI132" i="6" s="1"/>
  <c r="BL132" i="6" s="1"/>
  <c r="BE176" i="6"/>
  <c r="AH126" i="6"/>
  <c r="BI167" i="6"/>
  <c r="BL167" i="6" s="1"/>
  <c r="BH105" i="6"/>
  <c r="BJ105" i="6" s="1"/>
  <c r="BM105" i="6" s="1"/>
  <c r="BH176" i="6"/>
  <c r="BJ176" i="6" s="1"/>
  <c r="BM176" i="6" s="1"/>
  <c r="BJ252" i="6"/>
  <c r="BM252" i="6" s="1"/>
  <c r="BJ80" i="6"/>
  <c r="BM80" i="6" s="1"/>
  <c r="AH67" i="6"/>
  <c r="AG76" i="6"/>
  <c r="BJ211" i="6"/>
  <c r="BM211" i="6" s="1"/>
  <c r="AC193" i="6"/>
  <c r="BE140" i="6"/>
  <c r="BJ260" i="6"/>
  <c r="BM260" i="6" s="1"/>
  <c r="BE260" i="6"/>
  <c r="AH262" i="6"/>
  <c r="BJ72" i="6"/>
  <c r="BM72" i="6" s="1"/>
  <c r="AH178" i="6"/>
  <c r="BE149" i="6"/>
  <c r="AD205" i="6"/>
  <c r="BH140" i="6"/>
  <c r="BI140" i="6" s="1"/>
  <c r="BL140" i="6" s="1"/>
  <c r="BF260" i="6"/>
  <c r="BI149" i="6"/>
  <c r="BL149" i="6" s="1"/>
  <c r="AC247" i="6"/>
  <c r="AH100" i="6"/>
  <c r="BJ87" i="6"/>
  <c r="BM87" i="6" s="1"/>
  <c r="AF193" i="6"/>
  <c r="AH193" i="6" s="1"/>
  <c r="BJ82" i="6"/>
  <c r="BM82" i="6" s="1"/>
  <c r="AD85" i="6"/>
  <c r="AC90" i="6"/>
  <c r="AH109" i="6"/>
  <c r="BE82" i="6"/>
  <c r="BJ263" i="6"/>
  <c r="BM263" i="6" s="1"/>
  <c r="BJ76" i="6"/>
  <c r="BM76" i="6" s="1"/>
  <c r="AD65" i="6"/>
  <c r="BJ197" i="6"/>
  <c r="BM197" i="6" s="1"/>
  <c r="BJ203" i="6"/>
  <c r="BM203" i="6" s="1"/>
  <c r="BF82" i="6"/>
  <c r="BH143" i="6"/>
  <c r="BI143" i="6" s="1"/>
  <c r="BL143" i="6" s="1"/>
  <c r="AF65" i="6"/>
  <c r="AH65" i="6" s="1"/>
  <c r="BH240" i="6"/>
  <c r="BJ240" i="6" s="1"/>
  <c r="BM240" i="6" s="1"/>
  <c r="BH255" i="6"/>
  <c r="BJ255" i="6" s="1"/>
  <c r="BM255" i="6" s="1"/>
  <c r="AH99" i="6"/>
  <c r="AF202" i="6"/>
  <c r="AH202" i="6" s="1"/>
  <c r="BF156" i="6"/>
  <c r="AG203" i="6"/>
  <c r="BI219" i="6"/>
  <c r="BL219" i="6" s="1"/>
  <c r="BF221" i="6"/>
  <c r="AD153" i="6"/>
  <c r="AG153" i="6"/>
  <c r="BI236" i="6"/>
  <c r="BL236" i="6" s="1"/>
  <c r="AG87" i="6"/>
  <c r="BJ99" i="6"/>
  <c r="BM99" i="6" s="1"/>
  <c r="AC202" i="6"/>
  <c r="BF209" i="6"/>
  <c r="BJ226" i="6"/>
  <c r="BM226" i="6" s="1"/>
  <c r="BE230" i="6"/>
  <c r="AC153" i="6"/>
  <c r="AD256" i="6"/>
  <c r="AC100" i="6"/>
  <c r="AF247" i="6"/>
  <c r="AH247" i="6" s="1"/>
  <c r="BI126" i="6"/>
  <c r="BL126" i="6" s="1"/>
  <c r="BF197" i="6"/>
  <c r="AF90" i="6"/>
  <c r="AG90" i="6" s="1"/>
  <c r="AC89" i="6"/>
  <c r="BE209" i="6"/>
  <c r="AD100" i="6"/>
  <c r="BI209" i="6"/>
  <c r="BL209" i="6" s="1"/>
  <c r="BF255" i="6"/>
  <c r="AG114" i="6"/>
  <c r="BE105" i="6"/>
  <c r="BE197" i="6"/>
  <c r="AG241" i="6"/>
  <c r="BJ88" i="6"/>
  <c r="BM88" i="6" s="1"/>
  <c r="BF149" i="6"/>
  <c r="BI239" i="6"/>
  <c r="BL239" i="6" s="1"/>
  <c r="AH136" i="6"/>
  <c r="AH72" i="6"/>
  <c r="BJ230" i="6"/>
  <c r="BM230" i="6" s="1"/>
  <c r="BF240" i="6"/>
  <c r="AG164" i="6"/>
  <c r="AH200" i="6"/>
  <c r="AD200" i="6"/>
  <c r="BJ84" i="6"/>
  <c r="BM84" i="6" s="1"/>
  <c r="BJ152" i="6"/>
  <c r="BM152" i="6" s="1"/>
  <c r="AG86" i="6"/>
  <c r="AH237" i="6"/>
  <c r="AC200" i="6"/>
  <c r="AC256" i="6"/>
  <c r="AG256" i="6"/>
  <c r="BH221" i="6"/>
  <c r="BJ221" i="6" s="1"/>
  <c r="BM221" i="6" s="1"/>
  <c r="BF230" i="6"/>
  <c r="AG84" i="6"/>
  <c r="BJ75" i="6"/>
  <c r="BM75" i="6" s="1"/>
  <c r="BI75" i="6"/>
  <c r="BL75" i="6" s="1"/>
  <c r="BJ136" i="6"/>
  <c r="BM136" i="6" s="1"/>
  <c r="BI136" i="6"/>
  <c r="BL136" i="6" s="1"/>
  <c r="AH206" i="6"/>
  <c r="AG206" i="6"/>
  <c r="BJ90" i="6"/>
  <c r="BM90" i="6" s="1"/>
  <c r="BI90" i="6"/>
  <c r="BL90" i="6" s="1"/>
  <c r="AG174" i="6"/>
  <c r="AH174" i="6"/>
  <c r="BE235" i="6"/>
  <c r="BF235" i="6"/>
  <c r="BH235" i="6"/>
  <c r="AF73" i="6"/>
  <c r="AC73" i="6"/>
  <c r="AD73" i="6"/>
  <c r="BI108" i="6"/>
  <c r="BL108" i="6" s="1"/>
  <c r="BJ108" i="6"/>
  <c r="BM108" i="6" s="1"/>
  <c r="BJ180" i="6"/>
  <c r="BM180" i="6" s="1"/>
  <c r="BI180" i="6"/>
  <c r="BL180" i="6" s="1"/>
  <c r="BI86" i="6"/>
  <c r="BL86" i="6" s="1"/>
  <c r="BJ86" i="6"/>
  <c r="BM86" i="6" s="1"/>
  <c r="AG118" i="6"/>
  <c r="AH118" i="6"/>
  <c r="AC171" i="6"/>
  <c r="AD171" i="6"/>
  <c r="AF171" i="6"/>
  <c r="AC138" i="6"/>
  <c r="AD138" i="6"/>
  <c r="AF138" i="6"/>
  <c r="BJ107" i="6"/>
  <c r="BM107" i="6" s="1"/>
  <c r="BI107" i="6"/>
  <c r="BL107" i="6" s="1"/>
  <c r="AH130" i="6"/>
  <c r="AG130" i="6"/>
  <c r="AG104" i="6"/>
  <c r="AH104" i="6"/>
  <c r="BF169" i="6"/>
  <c r="BE169" i="6"/>
  <c r="BH169" i="6"/>
  <c r="BI253" i="6"/>
  <c r="BL253" i="6" s="1"/>
  <c r="BJ253" i="6"/>
  <c r="BM253" i="6" s="1"/>
  <c r="BI261" i="6"/>
  <c r="BL261" i="6" s="1"/>
  <c r="BJ261" i="6"/>
  <c r="BM261" i="6" s="1"/>
  <c r="AG157" i="6"/>
  <c r="AH157" i="6"/>
  <c r="AF222" i="6"/>
  <c r="AC222" i="6"/>
  <c r="AD222" i="6"/>
  <c r="BH115" i="6"/>
  <c r="BF115" i="6"/>
  <c r="BE115" i="6"/>
  <c r="BF244" i="6"/>
  <c r="BE244" i="6"/>
  <c r="BH244" i="6"/>
  <c r="BF210" i="6"/>
  <c r="BE210" i="6"/>
  <c r="BH210" i="6"/>
  <c r="AH68" i="6"/>
  <c r="AG68" i="6"/>
  <c r="BH195" i="6"/>
  <c r="BF195" i="6"/>
  <c r="BE195" i="6"/>
  <c r="BE123" i="6"/>
  <c r="BF123" i="6"/>
  <c r="BH123" i="6"/>
  <c r="BI113" i="6"/>
  <c r="BL113" i="6" s="1"/>
  <c r="BJ113" i="6"/>
  <c r="BM113" i="6" s="1"/>
  <c r="AG132" i="6"/>
  <c r="AH132" i="6"/>
  <c r="BJ258" i="6"/>
  <c r="BM258" i="6" s="1"/>
  <c r="BI258" i="6"/>
  <c r="BL258" i="6" s="1"/>
  <c r="BF257" i="6"/>
  <c r="BE257" i="6"/>
  <c r="BH257" i="6"/>
  <c r="BI246" i="6"/>
  <c r="BL246" i="6" s="1"/>
  <c r="BJ246" i="6"/>
  <c r="BM246" i="6" s="1"/>
  <c r="BI83" i="6"/>
  <c r="BL83" i="6" s="1"/>
  <c r="BJ83" i="6"/>
  <c r="BM83" i="6" s="1"/>
  <c r="BI93" i="6"/>
  <c r="BL93" i="6" s="1"/>
  <c r="BJ93" i="6"/>
  <c r="BM93" i="6" s="1"/>
  <c r="BF146" i="6"/>
  <c r="BE146" i="6"/>
  <c r="BH146" i="6"/>
  <c r="AH167" i="6"/>
  <c r="AG167" i="6"/>
  <c r="BF208" i="6"/>
  <c r="BE208" i="6"/>
  <c r="BH208" i="6"/>
  <c r="BJ242" i="6"/>
  <c r="BM242" i="6" s="1"/>
  <c r="BI242" i="6"/>
  <c r="BL242" i="6" s="1"/>
  <c r="BF73" i="6"/>
  <c r="BE73" i="6"/>
  <c r="BH73" i="6"/>
  <c r="AH108" i="6"/>
  <c r="AG108" i="6"/>
  <c r="AG93" i="6"/>
  <c r="AH93" i="6"/>
  <c r="BJ175" i="6"/>
  <c r="BM175" i="6" s="1"/>
  <c r="BI175" i="6"/>
  <c r="BL175" i="6" s="1"/>
  <c r="BI224" i="6"/>
  <c r="BL224" i="6" s="1"/>
  <c r="BJ224" i="6"/>
  <c r="BM224" i="6" s="1"/>
  <c r="AH120" i="6"/>
  <c r="AG120" i="6"/>
  <c r="AH238" i="6"/>
  <c r="AG238" i="6"/>
  <c r="BE177" i="6"/>
  <c r="BF177" i="6"/>
  <c r="BH177" i="6"/>
  <c r="AF169" i="6"/>
  <c r="AD169" i="6"/>
  <c r="AC169" i="6"/>
  <c r="AG253" i="6"/>
  <c r="AH253" i="6"/>
  <c r="AH97" i="6"/>
  <c r="AG97" i="6"/>
  <c r="AG168" i="6"/>
  <c r="AH168" i="6"/>
  <c r="BJ259" i="6"/>
  <c r="BM259" i="6" s="1"/>
  <c r="BI259" i="6"/>
  <c r="BL259" i="6" s="1"/>
  <c r="AF115" i="6"/>
  <c r="AC115" i="6"/>
  <c r="AD115" i="6"/>
  <c r="AH201" i="6"/>
  <c r="AG201" i="6"/>
  <c r="AD92" i="6"/>
  <c r="AC92" i="6"/>
  <c r="AF92" i="6"/>
  <c r="BJ213" i="6"/>
  <c r="BM213" i="6" s="1"/>
  <c r="BI213" i="6"/>
  <c r="BL213" i="6" s="1"/>
  <c r="BI118" i="6"/>
  <c r="BL118" i="6" s="1"/>
  <c r="BJ118" i="6"/>
  <c r="BM118" i="6" s="1"/>
  <c r="AC210" i="6"/>
  <c r="AD210" i="6"/>
  <c r="AF210" i="6"/>
  <c r="AH236" i="6"/>
  <c r="AG236" i="6"/>
  <c r="AD199" i="6"/>
  <c r="AC199" i="6"/>
  <c r="AF199" i="6"/>
  <c r="AG91" i="6"/>
  <c r="AH91" i="6"/>
  <c r="AD123" i="6"/>
  <c r="AC123" i="6"/>
  <c r="AF123" i="6"/>
  <c r="AG154" i="6"/>
  <c r="AH154" i="6"/>
  <c r="AD139" i="6"/>
  <c r="AC139" i="6"/>
  <c r="AF139" i="6"/>
  <c r="BJ159" i="6"/>
  <c r="BM159" i="6" s="1"/>
  <c r="BI159" i="6"/>
  <c r="BL159" i="6" s="1"/>
  <c r="AD187" i="6"/>
  <c r="AC187" i="6"/>
  <c r="AF187" i="6"/>
  <c r="BJ81" i="6"/>
  <c r="BM81" i="6" s="1"/>
  <c r="BI81" i="6"/>
  <c r="BL81" i="6" s="1"/>
  <c r="AG231" i="6"/>
  <c r="AH231" i="6"/>
  <c r="AG228" i="6"/>
  <c r="AH228" i="6"/>
  <c r="AG190" i="6"/>
  <c r="AH190" i="6"/>
  <c r="BJ196" i="6"/>
  <c r="BM196" i="6" s="1"/>
  <c r="BI196" i="6"/>
  <c r="BL196" i="6" s="1"/>
  <c r="AH263" i="6"/>
  <c r="AG263" i="6"/>
  <c r="AH160" i="6"/>
  <c r="AG160" i="6"/>
  <c r="BI174" i="6"/>
  <c r="BL174" i="6" s="1"/>
  <c r="BJ174" i="6"/>
  <c r="BM174" i="6" s="1"/>
  <c r="AH125" i="6"/>
  <c r="AG125" i="6"/>
  <c r="AG128" i="6"/>
  <c r="AH128" i="6"/>
  <c r="BJ116" i="6"/>
  <c r="BM116" i="6" s="1"/>
  <c r="BI116" i="6"/>
  <c r="BL116" i="6" s="1"/>
  <c r="AD179" i="6"/>
  <c r="AC179" i="6"/>
  <c r="AF179" i="6"/>
  <c r="AG163" i="6"/>
  <c r="AH163" i="6"/>
  <c r="BI227" i="6"/>
  <c r="BL227" i="6" s="1"/>
  <c r="BJ227" i="6"/>
  <c r="BM227" i="6" s="1"/>
  <c r="AG151" i="6"/>
  <c r="AH151" i="6"/>
  <c r="AH95" i="6"/>
  <c r="AG95" i="6"/>
  <c r="AG182" i="6"/>
  <c r="AH182" i="6"/>
  <c r="AH250" i="6"/>
  <c r="AG250" i="6"/>
  <c r="BI66" i="6"/>
  <c r="BL66" i="6" s="1"/>
  <c r="BJ66" i="6"/>
  <c r="BM66" i="6" s="1"/>
  <c r="BE171" i="6"/>
  <c r="BF171" i="6"/>
  <c r="BH171" i="6"/>
  <c r="BI119" i="6"/>
  <c r="BL119" i="6" s="1"/>
  <c r="BJ119" i="6"/>
  <c r="BM119" i="6" s="1"/>
  <c r="AH212" i="6"/>
  <c r="AG212" i="6"/>
  <c r="BI231" i="6"/>
  <c r="BL231" i="6" s="1"/>
  <c r="BJ231" i="6"/>
  <c r="BM231" i="6" s="1"/>
  <c r="BI170" i="6"/>
  <c r="BL170" i="6" s="1"/>
  <c r="BJ170" i="6"/>
  <c r="BM170" i="6" s="1"/>
  <c r="AH70" i="6"/>
  <c r="AG70" i="6"/>
  <c r="BH138" i="6"/>
  <c r="BF138" i="6"/>
  <c r="BE138" i="6"/>
  <c r="AF186" i="6"/>
  <c r="AD186" i="6"/>
  <c r="AC186" i="6"/>
  <c r="BJ238" i="6"/>
  <c r="BM238" i="6" s="1"/>
  <c r="BI238" i="6"/>
  <c r="BL238" i="6" s="1"/>
  <c r="AD254" i="6"/>
  <c r="AC254" i="6"/>
  <c r="AF254" i="6"/>
  <c r="BI228" i="6"/>
  <c r="BL228" i="6" s="1"/>
  <c r="BJ228" i="6"/>
  <c r="BM228" i="6" s="1"/>
  <c r="BE243" i="6"/>
  <c r="BF243" i="6"/>
  <c r="BH243" i="6"/>
  <c r="BJ130" i="6"/>
  <c r="BM130" i="6" s="1"/>
  <c r="BI130" i="6"/>
  <c r="BL130" i="6" s="1"/>
  <c r="BE161" i="6"/>
  <c r="BF161" i="6"/>
  <c r="BH161" i="6"/>
  <c r="BI104" i="6"/>
  <c r="BL104" i="6" s="1"/>
  <c r="BJ104" i="6"/>
  <c r="BM104" i="6" s="1"/>
  <c r="AH255" i="6"/>
  <c r="AG255" i="6"/>
  <c r="BJ112" i="6"/>
  <c r="BM112" i="6" s="1"/>
  <c r="BI112" i="6"/>
  <c r="BL112" i="6" s="1"/>
  <c r="AG248" i="6"/>
  <c r="AH248" i="6"/>
  <c r="AH234" i="6"/>
  <c r="AG234" i="6"/>
  <c r="BE103" i="6"/>
  <c r="BF103" i="6"/>
  <c r="BH103" i="6"/>
  <c r="BJ121" i="6"/>
  <c r="BM121" i="6" s="1"/>
  <c r="BI121" i="6"/>
  <c r="BL121" i="6" s="1"/>
  <c r="AH183" i="6"/>
  <c r="AG183" i="6"/>
  <c r="AG215" i="6"/>
  <c r="AH215" i="6"/>
  <c r="AD173" i="6"/>
  <c r="AC173" i="6"/>
  <c r="AF173" i="6"/>
  <c r="BE232" i="6"/>
  <c r="BF232" i="6"/>
  <c r="BH232" i="6"/>
  <c r="AH226" i="6"/>
  <c r="AG226" i="6"/>
  <c r="BH222" i="6"/>
  <c r="BF222" i="6"/>
  <c r="BE222" i="6"/>
  <c r="AG79" i="6"/>
  <c r="AH79" i="6"/>
  <c r="BJ67" i="6"/>
  <c r="BM67" i="6" s="1"/>
  <c r="BI67" i="6"/>
  <c r="BL67" i="6" s="1"/>
  <c r="AD69" i="6"/>
  <c r="AC69" i="6"/>
  <c r="AF69" i="6"/>
  <c r="BH166" i="6"/>
  <c r="BF166" i="6"/>
  <c r="BE166" i="6"/>
  <c r="AH158" i="6"/>
  <c r="AG158" i="6"/>
  <c r="AF244" i="6"/>
  <c r="AD244" i="6"/>
  <c r="AC244" i="6"/>
  <c r="BI201" i="6"/>
  <c r="BL201" i="6" s="1"/>
  <c r="BJ201" i="6"/>
  <c r="BM201" i="6" s="1"/>
  <c r="BJ157" i="6"/>
  <c r="BM157" i="6" s="1"/>
  <c r="BI157" i="6"/>
  <c r="BL157" i="6" s="1"/>
  <c r="BF218" i="6"/>
  <c r="BE218" i="6"/>
  <c r="BH218" i="6"/>
  <c r="BF192" i="6"/>
  <c r="BE192" i="6"/>
  <c r="BH192" i="6"/>
  <c r="AH134" i="6"/>
  <c r="AG134" i="6"/>
  <c r="BJ147" i="6"/>
  <c r="BM147" i="6" s="1"/>
  <c r="BI147" i="6"/>
  <c r="BL147" i="6" s="1"/>
  <c r="BJ245" i="6"/>
  <c r="BM245" i="6" s="1"/>
  <c r="BI245" i="6"/>
  <c r="BL245" i="6" s="1"/>
  <c r="AH191" i="6"/>
  <c r="AG191" i="6"/>
  <c r="AF195" i="6"/>
  <c r="AD195" i="6"/>
  <c r="AC195" i="6"/>
  <c r="AH145" i="6"/>
  <c r="AG145" i="6"/>
  <c r="BJ91" i="6"/>
  <c r="BM91" i="6" s="1"/>
  <c r="BI91" i="6"/>
  <c r="BL91" i="6" s="1"/>
  <c r="BE220" i="6"/>
  <c r="BF220" i="6"/>
  <c r="BH220" i="6"/>
  <c r="AH113" i="6"/>
  <c r="AG113" i="6"/>
  <c r="BE188" i="6"/>
  <c r="BF188" i="6"/>
  <c r="BH188" i="6"/>
  <c r="BJ163" i="6"/>
  <c r="BM163" i="6" s="1"/>
  <c r="BI163" i="6"/>
  <c r="BL163" i="6" s="1"/>
  <c r="AC257" i="6"/>
  <c r="AD257" i="6"/>
  <c r="AF257" i="6"/>
  <c r="AG172" i="6"/>
  <c r="AH172" i="6"/>
  <c r="AH66" i="6"/>
  <c r="AG66" i="6"/>
  <c r="AH74" i="6"/>
  <c r="AG74" i="6"/>
  <c r="BI160" i="6"/>
  <c r="BL160" i="6" s="1"/>
  <c r="BJ160" i="6"/>
  <c r="BM160" i="6" s="1"/>
  <c r="AH96" i="6"/>
  <c r="AG96" i="6"/>
  <c r="BJ142" i="6"/>
  <c r="BM142" i="6" s="1"/>
  <c r="BI142" i="6"/>
  <c r="BL142" i="6" s="1"/>
  <c r="AD208" i="6"/>
  <c r="AC208" i="6"/>
  <c r="AF208" i="6"/>
  <c r="BE179" i="6"/>
  <c r="BF179" i="6"/>
  <c r="BH179" i="6"/>
  <c r="BI185" i="6"/>
  <c r="BL185" i="6" s="1"/>
  <c r="BJ185" i="6"/>
  <c r="BM185" i="6" s="1"/>
  <c r="AG106" i="6"/>
  <c r="AH106" i="6"/>
  <c r="AH252" i="6"/>
  <c r="AG252" i="6"/>
  <c r="BI109" i="6"/>
  <c r="BL109" i="6" s="1"/>
  <c r="BJ109" i="6"/>
  <c r="BM109" i="6" s="1"/>
  <c r="BJ190" i="6"/>
  <c r="BM190" i="6" s="1"/>
  <c r="BI190" i="6"/>
  <c r="BL190" i="6" s="1"/>
  <c r="AH144" i="6"/>
  <c r="AG144" i="6"/>
  <c r="BJ206" i="6"/>
  <c r="BM206" i="6" s="1"/>
  <c r="BI206" i="6"/>
  <c r="BL206" i="6" s="1"/>
  <c r="BI194" i="6"/>
  <c r="BL194" i="6" s="1"/>
  <c r="BJ194" i="6"/>
  <c r="BM194" i="6" s="1"/>
  <c r="AG85" i="6"/>
  <c r="AH85" i="6"/>
  <c r="AD177" i="6"/>
  <c r="AC177" i="6"/>
  <c r="AF177" i="6"/>
  <c r="AG251" i="6"/>
  <c r="AH251" i="6"/>
  <c r="BJ207" i="6"/>
  <c r="BM207" i="6" s="1"/>
  <c r="BI207" i="6"/>
  <c r="BL207" i="6" s="1"/>
  <c r="AG112" i="6"/>
  <c r="AH112" i="6"/>
  <c r="AH152" i="6"/>
  <c r="AG152" i="6"/>
  <c r="BF173" i="6"/>
  <c r="BE173" i="6"/>
  <c r="BH173" i="6"/>
  <c r="AC225" i="6"/>
  <c r="AD225" i="6"/>
  <c r="AF225" i="6"/>
  <c r="BF92" i="6"/>
  <c r="BE92" i="6"/>
  <c r="BH92" i="6"/>
  <c r="BJ248" i="6"/>
  <c r="BM248" i="6" s="1"/>
  <c r="BI248" i="6"/>
  <c r="BL248" i="6" s="1"/>
  <c r="AG121" i="6"/>
  <c r="AH121" i="6"/>
  <c r="AG155" i="6"/>
  <c r="AH155" i="6"/>
  <c r="AD217" i="6"/>
  <c r="AC217" i="6"/>
  <c r="AF217" i="6"/>
  <c r="BF199" i="6"/>
  <c r="BE199" i="6"/>
  <c r="BH199" i="6"/>
  <c r="BI89" i="6"/>
  <c r="BL89" i="6" s="1"/>
  <c r="BJ89" i="6"/>
  <c r="BM89" i="6" s="1"/>
  <c r="BI117" i="6"/>
  <c r="BL117" i="6" s="1"/>
  <c r="BJ117" i="6"/>
  <c r="BM117" i="6" s="1"/>
  <c r="AF188" i="6"/>
  <c r="AC188" i="6"/>
  <c r="AD188" i="6"/>
  <c r="AG198" i="6"/>
  <c r="AH198" i="6"/>
  <c r="AH189" i="6"/>
  <c r="AG189" i="6"/>
  <c r="BI122" i="6"/>
  <c r="BL122" i="6" s="1"/>
  <c r="BJ122" i="6"/>
  <c r="BM122" i="6" s="1"/>
  <c r="BI172" i="6"/>
  <c r="BL172" i="6" s="1"/>
  <c r="BJ172" i="6"/>
  <c r="BM172" i="6" s="1"/>
  <c r="AH117" i="6"/>
  <c r="AG117" i="6"/>
  <c r="AG239" i="6"/>
  <c r="AH239" i="6"/>
  <c r="BI262" i="6"/>
  <c r="BL262" i="6" s="1"/>
  <c r="BJ262" i="6"/>
  <c r="BM262" i="6" s="1"/>
  <c r="BI237" i="6"/>
  <c r="BL237" i="6" s="1"/>
  <c r="BJ237" i="6"/>
  <c r="BM237" i="6" s="1"/>
  <c r="AF235" i="6"/>
  <c r="AC235" i="6"/>
  <c r="AD235" i="6"/>
  <c r="BJ212" i="6"/>
  <c r="BM212" i="6" s="1"/>
  <c r="BI212" i="6"/>
  <c r="BL212" i="6" s="1"/>
  <c r="AC141" i="6"/>
  <c r="AD141" i="6"/>
  <c r="AF141" i="6"/>
  <c r="AG185" i="6"/>
  <c r="AH185" i="6"/>
  <c r="BJ151" i="6"/>
  <c r="BM151" i="6" s="1"/>
  <c r="BI151" i="6"/>
  <c r="BL151" i="6" s="1"/>
  <c r="AG196" i="6"/>
  <c r="AH196" i="6"/>
  <c r="AH258" i="6"/>
  <c r="AG258" i="6"/>
  <c r="BH71" i="6"/>
  <c r="BE71" i="6"/>
  <c r="BF71" i="6"/>
  <c r="AH246" i="6"/>
  <c r="AG246" i="6"/>
  <c r="AH88" i="6"/>
  <c r="AG88" i="6"/>
  <c r="AG107" i="6"/>
  <c r="AH107" i="6"/>
  <c r="AC165" i="6"/>
  <c r="AD165" i="6"/>
  <c r="AF165" i="6"/>
  <c r="AH261" i="6"/>
  <c r="AG261" i="6"/>
  <c r="AG110" i="6"/>
  <c r="AH110" i="6"/>
  <c r="BJ168" i="6"/>
  <c r="BM168" i="6" s="1"/>
  <c r="BI168" i="6"/>
  <c r="BL168" i="6" s="1"/>
  <c r="BJ145" i="6"/>
  <c r="BM145" i="6" s="1"/>
  <c r="BI145" i="6"/>
  <c r="BL145" i="6" s="1"/>
  <c r="BF225" i="6"/>
  <c r="BE225" i="6"/>
  <c r="BH225" i="6"/>
  <c r="AF77" i="6"/>
  <c r="AD77" i="6"/>
  <c r="AC77" i="6"/>
  <c r="AF229" i="6"/>
  <c r="AD229" i="6"/>
  <c r="AC229" i="6"/>
  <c r="AH259" i="6"/>
  <c r="AG259" i="6"/>
  <c r="BF217" i="6"/>
  <c r="BE217" i="6"/>
  <c r="BH217" i="6"/>
  <c r="BI204" i="6"/>
  <c r="BL204" i="6" s="1"/>
  <c r="BJ204" i="6"/>
  <c r="BM204" i="6" s="1"/>
  <c r="AH148" i="6"/>
  <c r="AG148" i="6"/>
  <c r="BF131" i="6"/>
  <c r="BE131" i="6"/>
  <c r="BH131" i="6"/>
  <c r="AH94" i="6"/>
  <c r="AG94" i="6"/>
  <c r="AG156" i="6"/>
  <c r="AH156" i="6"/>
  <c r="AC146" i="6"/>
  <c r="AD146" i="6"/>
  <c r="AF146" i="6"/>
  <c r="BI191" i="6"/>
  <c r="BL191" i="6" s="1"/>
  <c r="BJ191" i="6"/>
  <c r="BM191" i="6" s="1"/>
  <c r="BJ114" i="6"/>
  <c r="BM114" i="6" s="1"/>
  <c r="BI114" i="6"/>
  <c r="BL114" i="6" s="1"/>
  <c r="BI128" i="6"/>
  <c r="BL128" i="6" s="1"/>
  <c r="BJ128" i="6"/>
  <c r="BM128" i="6" s="1"/>
  <c r="AG116" i="6"/>
  <c r="AH116" i="6"/>
  <c r="AH242" i="6"/>
  <c r="AG242" i="6"/>
  <c r="BJ68" i="6"/>
  <c r="BM68" i="6" s="1"/>
  <c r="BI68" i="6"/>
  <c r="BL68" i="6" s="1"/>
  <c r="AH170" i="6"/>
  <c r="AG170" i="6"/>
  <c r="BF141" i="6"/>
  <c r="BE141" i="6"/>
  <c r="BH141" i="6"/>
  <c r="BJ164" i="6"/>
  <c r="BM164" i="6" s="1"/>
  <c r="BI164" i="6"/>
  <c r="BL164" i="6" s="1"/>
  <c r="AG227" i="6"/>
  <c r="AH227" i="6"/>
  <c r="BJ189" i="6"/>
  <c r="BM189" i="6" s="1"/>
  <c r="BI189" i="6"/>
  <c r="BL189" i="6" s="1"/>
  <c r="BJ150" i="6"/>
  <c r="BM150" i="6" s="1"/>
  <c r="BI150" i="6"/>
  <c r="BL150" i="6" s="1"/>
  <c r="BJ250" i="6"/>
  <c r="BM250" i="6" s="1"/>
  <c r="BI250" i="6"/>
  <c r="BL250" i="6" s="1"/>
  <c r="AG81" i="6"/>
  <c r="AH81" i="6"/>
  <c r="AG175" i="6"/>
  <c r="AH175" i="6"/>
  <c r="AD71" i="6"/>
  <c r="AC71" i="6"/>
  <c r="AF71" i="6"/>
  <c r="BJ183" i="6"/>
  <c r="BM183" i="6" s="1"/>
  <c r="BI183" i="6"/>
  <c r="BL183" i="6" s="1"/>
  <c r="BJ110" i="6"/>
  <c r="BM110" i="6" s="1"/>
  <c r="BI110" i="6"/>
  <c r="BL110" i="6" s="1"/>
  <c r="AG211" i="6"/>
  <c r="AH211" i="6"/>
  <c r="AH142" i="6"/>
  <c r="AG142" i="6"/>
  <c r="AG137" i="6"/>
  <c r="AH137" i="6"/>
  <c r="BJ215" i="6"/>
  <c r="BM215" i="6" s="1"/>
  <c r="BI215" i="6"/>
  <c r="BL215" i="6" s="1"/>
  <c r="BH186" i="6"/>
  <c r="BE186" i="6"/>
  <c r="BF186" i="6"/>
  <c r="BF254" i="6"/>
  <c r="BE254" i="6"/>
  <c r="BH254" i="6"/>
  <c r="AF243" i="6"/>
  <c r="AD243" i="6"/>
  <c r="AC243" i="6"/>
  <c r="AD161" i="6"/>
  <c r="AC161" i="6"/>
  <c r="AF161" i="6"/>
  <c r="BJ251" i="6"/>
  <c r="BM251" i="6" s="1"/>
  <c r="BI251" i="6"/>
  <c r="BL251" i="6" s="1"/>
  <c r="AH207" i="6"/>
  <c r="AG207" i="6"/>
  <c r="BJ155" i="6"/>
  <c r="BM155" i="6" s="1"/>
  <c r="BI155" i="6"/>
  <c r="BL155" i="6" s="1"/>
  <c r="AG147" i="6"/>
  <c r="AH147" i="6"/>
  <c r="BF165" i="6"/>
  <c r="BE165" i="6"/>
  <c r="BH165" i="6"/>
  <c r="BI97" i="6"/>
  <c r="BL97" i="6" s="1"/>
  <c r="BJ97" i="6"/>
  <c r="BM97" i="6" s="1"/>
  <c r="AG149" i="6"/>
  <c r="AH149" i="6"/>
  <c r="BJ234" i="6"/>
  <c r="BM234" i="6" s="1"/>
  <c r="BI234" i="6"/>
  <c r="BL234" i="6" s="1"/>
  <c r="AC103" i="6"/>
  <c r="AD103" i="6"/>
  <c r="AF103" i="6"/>
  <c r="AH119" i="6"/>
  <c r="AG119" i="6"/>
  <c r="BJ95" i="6"/>
  <c r="BM95" i="6" s="1"/>
  <c r="BI95" i="6"/>
  <c r="BL95" i="6" s="1"/>
  <c r="AG101" i="6"/>
  <c r="AH101" i="6"/>
  <c r="AH82" i="6"/>
  <c r="AG82" i="6"/>
  <c r="BJ78" i="6"/>
  <c r="BM78" i="6" s="1"/>
  <c r="BI78" i="6"/>
  <c r="BL78" i="6" s="1"/>
  <c r="AH216" i="6"/>
  <c r="AG216" i="6"/>
  <c r="AC232" i="6"/>
  <c r="AD232" i="6"/>
  <c r="AF232" i="6"/>
  <c r="AH194" i="6"/>
  <c r="AG194" i="6"/>
  <c r="BJ79" i="6"/>
  <c r="BM79" i="6" s="1"/>
  <c r="BI79" i="6"/>
  <c r="BL79" i="6" s="1"/>
  <c r="BH69" i="6"/>
  <c r="BF69" i="6"/>
  <c r="BE69" i="6"/>
  <c r="AF166" i="6"/>
  <c r="AC166" i="6"/>
  <c r="AD166" i="6"/>
  <c r="AG245" i="6"/>
  <c r="AH245" i="6"/>
  <c r="BE77" i="6"/>
  <c r="BF77" i="6"/>
  <c r="BH77" i="6"/>
  <c r="BJ158" i="6"/>
  <c r="BM158" i="6" s="1"/>
  <c r="BI158" i="6"/>
  <c r="BL158" i="6" s="1"/>
  <c r="AF218" i="6"/>
  <c r="AC218" i="6"/>
  <c r="AD218" i="6"/>
  <c r="BJ70" i="6"/>
  <c r="BM70" i="6" s="1"/>
  <c r="BI70" i="6"/>
  <c r="BL70" i="6" s="1"/>
  <c r="BJ178" i="6"/>
  <c r="BM178" i="6" s="1"/>
  <c r="BI178" i="6"/>
  <c r="BL178" i="6" s="1"/>
  <c r="BE229" i="6"/>
  <c r="BF229" i="6"/>
  <c r="BH229" i="6"/>
  <c r="AH213" i="6"/>
  <c r="AG213" i="6"/>
  <c r="AF192" i="6"/>
  <c r="AD192" i="6"/>
  <c r="AC192" i="6"/>
  <c r="BI134" i="6"/>
  <c r="BL134" i="6" s="1"/>
  <c r="BJ134" i="6"/>
  <c r="BM134" i="6" s="1"/>
  <c r="AH78" i="6"/>
  <c r="AG78" i="6"/>
  <c r="BI125" i="6"/>
  <c r="BL125" i="6" s="1"/>
  <c r="BJ125" i="6"/>
  <c r="BM125" i="6" s="1"/>
  <c r="BI148" i="6"/>
  <c r="BL148" i="6" s="1"/>
  <c r="BJ148" i="6"/>
  <c r="BM148" i="6" s="1"/>
  <c r="AD220" i="6"/>
  <c r="AC220" i="6"/>
  <c r="AF220" i="6"/>
  <c r="AD131" i="6"/>
  <c r="AC131" i="6"/>
  <c r="AF131" i="6"/>
  <c r="BI154" i="6"/>
  <c r="BL154" i="6" s="1"/>
  <c r="BJ154" i="6"/>
  <c r="BM154" i="6" s="1"/>
  <c r="BE139" i="6"/>
  <c r="BF139" i="6"/>
  <c r="BH139" i="6"/>
  <c r="AH159" i="6"/>
  <c r="AG159" i="6"/>
  <c r="BF187" i="6"/>
  <c r="BE187" i="6"/>
  <c r="BH187" i="6"/>
  <c r="BJ94" i="6"/>
  <c r="BM94" i="6" s="1"/>
  <c r="BI94" i="6"/>
  <c r="BL94" i="6" s="1"/>
  <c r="BJ106" i="6"/>
  <c r="BM106" i="6" s="1"/>
  <c r="BI106" i="6"/>
  <c r="BL106" i="6" s="1"/>
  <c r="BI74" i="6"/>
  <c r="BL74" i="6" s="1"/>
  <c r="BJ74" i="6"/>
  <c r="BM74" i="6" s="1"/>
  <c r="J133" i="2"/>
  <c r="N133" i="2"/>
  <c r="H133" i="2"/>
  <c r="G133" i="2"/>
  <c r="P133" i="2"/>
  <c r="O133" i="2"/>
  <c r="A135" i="2"/>
  <c r="B134" i="2"/>
  <c r="F133" i="2"/>
  <c r="BJ249" i="6" l="1"/>
  <c r="BM249" i="6" s="1"/>
  <c r="BJ233" i="6"/>
  <c r="BM233" i="6" s="1"/>
  <c r="BJ162" i="6"/>
  <c r="BM162" i="6" s="1"/>
  <c r="BJ193" i="6"/>
  <c r="BM193" i="6" s="1"/>
  <c r="BI223" i="6"/>
  <c r="BL223" i="6" s="1"/>
  <c r="BI214" i="6"/>
  <c r="BL214" i="6" s="1"/>
  <c r="BJ124" i="6"/>
  <c r="BM124" i="6" s="1"/>
  <c r="AH98" i="6"/>
  <c r="BI133" i="6"/>
  <c r="BL133" i="6" s="1"/>
  <c r="BI198" i="6"/>
  <c r="BL198" i="6" s="1"/>
  <c r="BJ200" i="6"/>
  <c r="BM200" i="6" s="1"/>
  <c r="BJ256" i="6"/>
  <c r="BM256" i="6" s="1"/>
  <c r="AH240" i="6"/>
  <c r="AG150" i="6"/>
  <c r="BJ135" i="6"/>
  <c r="BM135" i="6" s="1"/>
  <c r="AH230" i="6"/>
  <c r="BI247" i="6"/>
  <c r="BL247" i="6" s="1"/>
  <c r="AH127" i="6"/>
  <c r="AG102" i="6"/>
  <c r="BJ205" i="6"/>
  <c r="BM205" i="6" s="1"/>
  <c r="BJ65" i="6"/>
  <c r="BM65" i="6" s="1"/>
  <c r="AH209" i="6"/>
  <c r="AH129" i="6"/>
  <c r="BJ184" i="6"/>
  <c r="BM184" i="6" s="1"/>
  <c r="BJ85" i="6"/>
  <c r="BM85" i="6" s="1"/>
  <c r="BJ153" i="6"/>
  <c r="BM153" i="6" s="1"/>
  <c r="AG140" i="6"/>
  <c r="AH105" i="6"/>
  <c r="BJ64" i="6"/>
  <c r="BM64" i="6" s="1"/>
  <c r="AH111" i="6"/>
  <c r="AG133" i="6"/>
  <c r="M19" i="6"/>
  <c r="M20" i="6"/>
  <c r="O35" i="6" s="1"/>
  <c r="M21" i="6"/>
  <c r="O36" i="6" s="1"/>
  <c r="BI98" i="6"/>
  <c r="BL98" i="6" s="1"/>
  <c r="AH184" i="6"/>
  <c r="BI216" i="6"/>
  <c r="BL216" i="6" s="1"/>
  <c r="BJ127" i="6"/>
  <c r="BM127" i="6" s="1"/>
  <c r="BJ111" i="6"/>
  <c r="BM111" i="6" s="1"/>
  <c r="BI102" i="6"/>
  <c r="BL102" i="6" s="1"/>
  <c r="AG135" i="6"/>
  <c r="AH89" i="6"/>
  <c r="BI264" i="6"/>
  <c r="BL264" i="6" s="1"/>
  <c r="AH233" i="6"/>
  <c r="BJ132" i="6"/>
  <c r="BM132" i="6" s="1"/>
  <c r="AG205" i="6"/>
  <c r="AG249" i="6"/>
  <c r="AG214" i="6"/>
  <c r="AG202" i="6"/>
  <c r="BI137" i="6"/>
  <c r="BL137" i="6" s="1"/>
  <c r="BJ129" i="6"/>
  <c r="BM129" i="6" s="1"/>
  <c r="BI255" i="6"/>
  <c r="BL255" i="6" s="1"/>
  <c r="AG193" i="6"/>
  <c r="BI176" i="6"/>
  <c r="BL176" i="6" s="1"/>
  <c r="BJ143" i="6"/>
  <c r="BM143" i="6" s="1"/>
  <c r="BI105" i="6"/>
  <c r="BL105" i="6" s="1"/>
  <c r="BI240" i="6"/>
  <c r="BL240" i="6" s="1"/>
  <c r="AG65" i="6"/>
  <c r="AH90" i="6"/>
  <c r="BJ140" i="6"/>
  <c r="BM140" i="6" s="1"/>
  <c r="AG247" i="6"/>
  <c r="BI221" i="6"/>
  <c r="BL221" i="6" s="1"/>
  <c r="AH131" i="6"/>
  <c r="AG131" i="6"/>
  <c r="AH192" i="6"/>
  <c r="AG192" i="6"/>
  <c r="AH232" i="6"/>
  <c r="AG232" i="6"/>
  <c r="BJ186" i="6"/>
  <c r="BM186" i="6" s="1"/>
  <c r="BI186" i="6"/>
  <c r="BL186" i="6" s="1"/>
  <c r="BI141" i="6"/>
  <c r="BL141" i="6" s="1"/>
  <c r="BJ141" i="6"/>
  <c r="BM141" i="6" s="1"/>
  <c r="BJ71" i="6"/>
  <c r="BM71" i="6" s="1"/>
  <c r="BI71" i="6"/>
  <c r="BL71" i="6" s="1"/>
  <c r="BI173" i="6"/>
  <c r="BL173" i="6" s="1"/>
  <c r="BJ173" i="6"/>
  <c r="BM173" i="6" s="1"/>
  <c r="BI179" i="6"/>
  <c r="BL179" i="6" s="1"/>
  <c r="BJ179" i="6"/>
  <c r="BM179" i="6" s="1"/>
  <c r="AG257" i="6"/>
  <c r="AH257" i="6"/>
  <c r="BI220" i="6"/>
  <c r="BL220" i="6" s="1"/>
  <c r="BJ220" i="6"/>
  <c r="BM220" i="6" s="1"/>
  <c r="AH69" i="6"/>
  <c r="AG69" i="6"/>
  <c r="BI232" i="6"/>
  <c r="BL232" i="6" s="1"/>
  <c r="BJ232" i="6"/>
  <c r="BM232" i="6" s="1"/>
  <c r="AG186" i="6"/>
  <c r="AH186" i="6"/>
  <c r="BJ171" i="6"/>
  <c r="BM171" i="6" s="1"/>
  <c r="BI171" i="6"/>
  <c r="BL171" i="6" s="1"/>
  <c r="AH187" i="6"/>
  <c r="AG187" i="6"/>
  <c r="AG123" i="6"/>
  <c r="AH123" i="6"/>
  <c r="BI177" i="6"/>
  <c r="BL177" i="6" s="1"/>
  <c r="BJ177" i="6"/>
  <c r="BM177" i="6" s="1"/>
  <c r="BI257" i="6"/>
  <c r="BL257" i="6" s="1"/>
  <c r="BJ257" i="6"/>
  <c r="BM257" i="6" s="1"/>
  <c r="AH73" i="6"/>
  <c r="AG73" i="6"/>
  <c r="BI69" i="6"/>
  <c r="BL69" i="6" s="1"/>
  <c r="BJ69" i="6"/>
  <c r="BM69" i="6" s="1"/>
  <c r="AG161" i="6"/>
  <c r="AH161" i="6"/>
  <c r="AH146" i="6"/>
  <c r="AG146" i="6"/>
  <c r="BI217" i="6"/>
  <c r="BL217" i="6" s="1"/>
  <c r="BJ217" i="6"/>
  <c r="BM217" i="6" s="1"/>
  <c r="AG77" i="6"/>
  <c r="AH77" i="6"/>
  <c r="AG188" i="6"/>
  <c r="AH188" i="6"/>
  <c r="AG217" i="6"/>
  <c r="AH217" i="6"/>
  <c r="AH225" i="6"/>
  <c r="AG225" i="6"/>
  <c r="AH177" i="6"/>
  <c r="AG177" i="6"/>
  <c r="AH195" i="6"/>
  <c r="AG195" i="6"/>
  <c r="BJ218" i="6"/>
  <c r="BM218" i="6" s="1"/>
  <c r="BI218" i="6"/>
  <c r="BL218" i="6" s="1"/>
  <c r="BJ222" i="6"/>
  <c r="BM222" i="6" s="1"/>
  <c r="BI222" i="6"/>
  <c r="BL222" i="6" s="1"/>
  <c r="AH173" i="6"/>
  <c r="AG173" i="6"/>
  <c r="BJ161" i="6"/>
  <c r="BM161" i="6" s="1"/>
  <c r="BI161" i="6"/>
  <c r="BL161" i="6" s="1"/>
  <c r="AG254" i="6"/>
  <c r="AH254" i="6"/>
  <c r="BI138" i="6"/>
  <c r="BL138" i="6" s="1"/>
  <c r="BJ138" i="6"/>
  <c r="BM138" i="6" s="1"/>
  <c r="AG179" i="6"/>
  <c r="AH179" i="6"/>
  <c r="AG199" i="6"/>
  <c r="AH199" i="6"/>
  <c r="AH92" i="6"/>
  <c r="AG92" i="6"/>
  <c r="BI73" i="6"/>
  <c r="BL73" i="6" s="1"/>
  <c r="BJ73" i="6"/>
  <c r="BM73" i="6" s="1"/>
  <c r="BJ123" i="6"/>
  <c r="BM123" i="6" s="1"/>
  <c r="BI123" i="6"/>
  <c r="BL123" i="6" s="1"/>
  <c r="AH171" i="6"/>
  <c r="AG171" i="6"/>
  <c r="BI235" i="6"/>
  <c r="BL235" i="6" s="1"/>
  <c r="BJ235" i="6"/>
  <c r="BM235" i="6" s="1"/>
  <c r="BI187" i="6"/>
  <c r="BL187" i="6" s="1"/>
  <c r="BJ187" i="6"/>
  <c r="BM187" i="6" s="1"/>
  <c r="AG218" i="6"/>
  <c r="AH218" i="6"/>
  <c r="AH166" i="6"/>
  <c r="AG166" i="6"/>
  <c r="BI165" i="6"/>
  <c r="BL165" i="6" s="1"/>
  <c r="BJ165" i="6"/>
  <c r="BM165" i="6" s="1"/>
  <c r="AH243" i="6"/>
  <c r="AG243" i="6"/>
  <c r="BI131" i="6"/>
  <c r="BL131" i="6" s="1"/>
  <c r="BJ131" i="6"/>
  <c r="BM131" i="6" s="1"/>
  <c r="AG229" i="6"/>
  <c r="AH229" i="6"/>
  <c r="BI225" i="6"/>
  <c r="BL225" i="6" s="1"/>
  <c r="BJ225" i="6"/>
  <c r="BM225" i="6" s="1"/>
  <c r="AG235" i="6"/>
  <c r="AH235" i="6"/>
  <c r="BI199" i="6"/>
  <c r="BL199" i="6" s="1"/>
  <c r="BJ199" i="6"/>
  <c r="BM199" i="6" s="1"/>
  <c r="BI92" i="6"/>
  <c r="BL92" i="6" s="1"/>
  <c r="BJ92" i="6"/>
  <c r="BM92" i="6" s="1"/>
  <c r="BJ192" i="6"/>
  <c r="BM192" i="6" s="1"/>
  <c r="BI192" i="6"/>
  <c r="BL192" i="6" s="1"/>
  <c r="AG244" i="6"/>
  <c r="AH244" i="6"/>
  <c r="BJ103" i="6"/>
  <c r="BM103" i="6" s="1"/>
  <c r="BI103" i="6"/>
  <c r="BL103" i="6" s="1"/>
  <c r="BJ243" i="6"/>
  <c r="BM243" i="6" s="1"/>
  <c r="BI243" i="6"/>
  <c r="BL243" i="6" s="1"/>
  <c r="AG210" i="6"/>
  <c r="AH210" i="6"/>
  <c r="AG115" i="6"/>
  <c r="AH115" i="6"/>
  <c r="BI208" i="6"/>
  <c r="BL208" i="6" s="1"/>
  <c r="BJ208" i="6"/>
  <c r="BM208" i="6" s="1"/>
  <c r="BI195" i="6"/>
  <c r="BL195" i="6" s="1"/>
  <c r="BJ195" i="6"/>
  <c r="BM195" i="6" s="1"/>
  <c r="BI244" i="6"/>
  <c r="BL244" i="6" s="1"/>
  <c r="BJ244" i="6"/>
  <c r="BM244" i="6" s="1"/>
  <c r="AH222" i="6"/>
  <c r="AG222" i="6"/>
  <c r="AG138" i="6"/>
  <c r="AH138" i="6"/>
  <c r="BI139" i="6"/>
  <c r="BL139" i="6" s="1"/>
  <c r="BJ139" i="6"/>
  <c r="BM139" i="6" s="1"/>
  <c r="AH220" i="6"/>
  <c r="AG220" i="6"/>
  <c r="BI229" i="6"/>
  <c r="BL229" i="6" s="1"/>
  <c r="BJ229" i="6"/>
  <c r="BM229" i="6" s="1"/>
  <c r="BI77" i="6"/>
  <c r="BL77" i="6" s="1"/>
  <c r="BJ77" i="6"/>
  <c r="BM77" i="6" s="1"/>
  <c r="AG103" i="6"/>
  <c r="AH103" i="6"/>
  <c r="BJ254" i="6"/>
  <c r="BM254" i="6" s="1"/>
  <c r="BI254" i="6"/>
  <c r="BL254" i="6" s="1"/>
  <c r="AG71" i="6"/>
  <c r="AH71" i="6"/>
  <c r="AG165" i="6"/>
  <c r="AH165" i="6"/>
  <c r="AH141" i="6"/>
  <c r="AG141" i="6"/>
  <c r="AH208" i="6"/>
  <c r="AG208" i="6"/>
  <c r="BJ188" i="6"/>
  <c r="BM188" i="6" s="1"/>
  <c r="BI188" i="6"/>
  <c r="BL188" i="6" s="1"/>
  <c r="BI166" i="6"/>
  <c r="BL166" i="6" s="1"/>
  <c r="BJ166" i="6"/>
  <c r="BM166" i="6" s="1"/>
  <c r="AG139" i="6"/>
  <c r="AH139" i="6"/>
  <c r="AH169" i="6"/>
  <c r="AG169" i="6"/>
  <c r="BJ146" i="6"/>
  <c r="BM146" i="6" s="1"/>
  <c r="BI146" i="6"/>
  <c r="BL146" i="6" s="1"/>
  <c r="BJ210" i="6"/>
  <c r="BM210" i="6" s="1"/>
  <c r="BI210" i="6"/>
  <c r="BL210" i="6" s="1"/>
  <c r="BJ115" i="6"/>
  <c r="BM115" i="6" s="1"/>
  <c r="BI115" i="6"/>
  <c r="BL115" i="6" s="1"/>
  <c r="BI169" i="6"/>
  <c r="BL169" i="6" s="1"/>
  <c r="BJ169" i="6"/>
  <c r="BM169" i="6" s="1"/>
  <c r="O134" i="2"/>
  <c r="P134" i="2"/>
  <c r="H134" i="2"/>
  <c r="G134" i="2"/>
  <c r="N134" i="2"/>
  <c r="J134" i="2"/>
  <c r="F134" i="2"/>
  <c r="A136" i="2"/>
  <c r="B135" i="2"/>
  <c r="N135" i="2" l="1"/>
  <c r="J135" i="2"/>
  <c r="H135" i="2"/>
  <c r="G135" i="2"/>
  <c r="P135" i="2"/>
  <c r="O135" i="2"/>
  <c r="B136" i="2"/>
  <c r="A137" i="2"/>
  <c r="F135" i="2"/>
  <c r="G136" i="2" l="1"/>
  <c r="P136" i="2"/>
  <c r="H136" i="2"/>
  <c r="O136" i="2"/>
  <c r="N136" i="2"/>
  <c r="J136" i="2"/>
  <c r="A138" i="2"/>
  <c r="B137" i="2"/>
  <c r="F136" i="2"/>
  <c r="J137" i="2" l="1"/>
  <c r="N137" i="2"/>
  <c r="O137" i="2"/>
  <c r="H137" i="2"/>
  <c r="G137" i="2"/>
  <c r="P137" i="2"/>
  <c r="F137" i="2"/>
  <c r="A139" i="2"/>
  <c r="B138" i="2"/>
  <c r="O138" i="2" l="1"/>
  <c r="G138" i="2"/>
  <c r="P138" i="2"/>
  <c r="H138" i="2"/>
  <c r="N138" i="2"/>
  <c r="J138" i="2"/>
  <c r="A140" i="2"/>
  <c r="B139" i="2"/>
  <c r="F138" i="2"/>
  <c r="J139" i="2" l="1"/>
  <c r="N139" i="2"/>
  <c r="O139" i="2"/>
  <c r="H139" i="2"/>
  <c r="P139" i="2"/>
  <c r="G139" i="2"/>
  <c r="F139" i="2"/>
  <c r="A141" i="2"/>
  <c r="B140" i="2"/>
  <c r="O140" i="2" l="1"/>
  <c r="G140" i="2"/>
  <c r="P140" i="2"/>
  <c r="H140" i="2"/>
  <c r="J140" i="2"/>
  <c r="N140" i="2"/>
  <c r="A142" i="2"/>
  <c r="B141" i="2"/>
  <c r="F140" i="2"/>
  <c r="J141" i="2" l="1"/>
  <c r="N141" i="2"/>
  <c r="H141" i="2"/>
  <c r="G141" i="2"/>
  <c r="P141" i="2"/>
  <c r="O141" i="2"/>
  <c r="F141" i="2"/>
  <c r="A143" i="2"/>
  <c r="B142" i="2"/>
  <c r="O142" i="2" l="1"/>
  <c r="G142" i="2"/>
  <c r="P142" i="2"/>
  <c r="H142" i="2"/>
  <c r="N142" i="2"/>
  <c r="J142" i="2"/>
  <c r="A144" i="2"/>
  <c r="B143" i="2"/>
  <c r="F142" i="2"/>
  <c r="J143" i="2" l="1"/>
  <c r="N143" i="2"/>
  <c r="G143" i="2"/>
  <c r="P143" i="2"/>
  <c r="O143" i="2"/>
  <c r="H143" i="2"/>
  <c r="F143" i="2"/>
  <c r="A145" i="2"/>
  <c r="B144" i="2"/>
  <c r="O144" i="2" l="1"/>
  <c r="G144" i="2"/>
  <c r="P144" i="2"/>
  <c r="H144" i="2"/>
  <c r="N144" i="2"/>
  <c r="J144" i="2"/>
  <c r="A146" i="2"/>
  <c r="B145" i="2"/>
  <c r="F144" i="2"/>
  <c r="J145" i="2" l="1"/>
  <c r="N145" i="2"/>
  <c r="P145" i="2"/>
  <c r="O145" i="2"/>
  <c r="H145" i="2"/>
  <c r="G145" i="2"/>
  <c r="F145" i="2"/>
  <c r="A147" i="2"/>
  <c r="B146" i="2"/>
  <c r="O146" i="2" l="1"/>
  <c r="G146" i="2"/>
  <c r="P146" i="2"/>
  <c r="H146" i="2"/>
  <c r="N146" i="2"/>
  <c r="J146" i="2"/>
  <c r="A148" i="2"/>
  <c r="B147" i="2"/>
  <c r="F146" i="2"/>
  <c r="J147" i="2" l="1"/>
  <c r="N147" i="2"/>
  <c r="P147" i="2"/>
  <c r="O147" i="2"/>
  <c r="H147" i="2"/>
  <c r="G147" i="2"/>
  <c r="F147" i="2"/>
  <c r="A149" i="2"/>
  <c r="B148" i="2"/>
  <c r="O148" i="2" l="1"/>
  <c r="G148" i="2"/>
  <c r="P148" i="2"/>
  <c r="H148" i="2"/>
  <c r="N148" i="2"/>
  <c r="J148" i="2"/>
  <c r="A150" i="2"/>
  <c r="B149" i="2"/>
  <c r="F148" i="2"/>
  <c r="J149" i="2" l="1"/>
  <c r="N149" i="2"/>
  <c r="G149" i="2"/>
  <c r="P149" i="2"/>
  <c r="O149" i="2"/>
  <c r="H149" i="2"/>
  <c r="F149" i="2"/>
  <c r="A151" i="2"/>
  <c r="B150" i="2"/>
  <c r="O150" i="2" l="1"/>
  <c r="G150" i="2"/>
  <c r="P150" i="2"/>
  <c r="H150" i="2"/>
  <c r="N150" i="2"/>
  <c r="J150" i="2"/>
  <c r="A152" i="2"/>
  <c r="B151" i="2"/>
  <c r="F150" i="2"/>
  <c r="J151" i="2" l="1"/>
  <c r="N151" i="2"/>
  <c r="P151" i="2"/>
  <c r="O151" i="2"/>
  <c r="H151" i="2"/>
  <c r="G151" i="2"/>
  <c r="F151" i="2"/>
  <c r="A153" i="2"/>
  <c r="B152" i="2"/>
  <c r="O152" i="2" l="1"/>
  <c r="G152" i="2"/>
  <c r="P152" i="2"/>
  <c r="H152" i="2"/>
  <c r="J152" i="2"/>
  <c r="N152" i="2"/>
  <c r="A154" i="2"/>
  <c r="B153" i="2"/>
  <c r="F152" i="2"/>
  <c r="J153" i="2" l="1"/>
  <c r="N153" i="2"/>
  <c r="H153" i="2"/>
  <c r="G153" i="2"/>
  <c r="P153" i="2"/>
  <c r="O153" i="2"/>
  <c r="F153" i="2"/>
  <c r="A155" i="2"/>
  <c r="B154" i="2"/>
  <c r="O154" i="2" l="1"/>
  <c r="G154" i="2"/>
  <c r="P154" i="2"/>
  <c r="H154" i="2"/>
  <c r="N154" i="2"/>
  <c r="J154" i="2"/>
  <c r="A156" i="2"/>
  <c r="B155" i="2"/>
  <c r="F154" i="2"/>
  <c r="J155" i="2" l="1"/>
  <c r="N155" i="2"/>
  <c r="H155" i="2"/>
  <c r="G155" i="2"/>
  <c r="P155" i="2"/>
  <c r="O155" i="2"/>
  <c r="F155" i="2"/>
  <c r="A157" i="2"/>
  <c r="B156" i="2"/>
  <c r="O156" i="2" l="1"/>
  <c r="G156" i="2"/>
  <c r="P156" i="2"/>
  <c r="H156" i="2"/>
  <c r="N156" i="2"/>
  <c r="J156" i="2"/>
  <c r="A158" i="2"/>
  <c r="B157" i="2"/>
  <c r="F156" i="2"/>
  <c r="J157" i="2" l="1"/>
  <c r="N157" i="2"/>
  <c r="H157" i="2"/>
  <c r="G157" i="2"/>
  <c r="P157" i="2"/>
  <c r="O157" i="2"/>
  <c r="F157" i="2"/>
  <c r="A159" i="2"/>
  <c r="B158" i="2"/>
  <c r="O158" i="2" l="1"/>
  <c r="G158" i="2"/>
  <c r="P158" i="2"/>
  <c r="H158" i="2"/>
  <c r="N158" i="2"/>
  <c r="J158" i="2"/>
  <c r="A160" i="2"/>
  <c r="B159" i="2"/>
  <c r="F158" i="2"/>
  <c r="J159" i="2" l="1"/>
  <c r="H159" i="2"/>
  <c r="N159" i="2"/>
  <c r="P159" i="2"/>
  <c r="G159" i="2"/>
  <c r="O159" i="2"/>
  <c r="F159" i="2"/>
  <c r="A161" i="2"/>
  <c r="B160" i="2"/>
  <c r="O160" i="2" l="1"/>
  <c r="G160" i="2"/>
  <c r="N160" i="2"/>
  <c r="P160" i="2"/>
  <c r="H160" i="2"/>
  <c r="J160" i="2"/>
  <c r="A162" i="2"/>
  <c r="B161" i="2"/>
  <c r="F160" i="2"/>
  <c r="J161" i="2" l="1"/>
  <c r="N161" i="2"/>
  <c r="P161" i="2"/>
  <c r="H161" i="2"/>
  <c r="G161" i="2"/>
  <c r="O161" i="2"/>
  <c r="F161" i="2"/>
  <c r="A163" i="2"/>
  <c r="B162" i="2"/>
  <c r="O162" i="2" l="1"/>
  <c r="G162" i="2"/>
  <c r="N162" i="2"/>
  <c r="P162" i="2"/>
  <c r="H162" i="2"/>
  <c r="J162" i="2"/>
  <c r="A164" i="2"/>
  <c r="B163" i="2"/>
  <c r="F162" i="2"/>
  <c r="J163" i="2" l="1"/>
  <c r="N163" i="2"/>
  <c r="P163" i="2"/>
  <c r="H163" i="2"/>
  <c r="G163" i="2"/>
  <c r="O163" i="2"/>
  <c r="F163" i="2"/>
  <c r="A165" i="2"/>
  <c r="B164" i="2"/>
  <c r="O164" i="2" l="1"/>
  <c r="G164" i="2"/>
  <c r="P164" i="2"/>
  <c r="H164" i="2"/>
  <c r="N164" i="2"/>
  <c r="J164" i="2"/>
  <c r="A166" i="2"/>
  <c r="B165" i="2"/>
  <c r="F164" i="2"/>
  <c r="J165" i="2" l="1"/>
  <c r="N165" i="2"/>
  <c r="P165" i="2"/>
  <c r="H165" i="2"/>
  <c r="O165" i="2"/>
  <c r="G165" i="2"/>
  <c r="F165" i="2"/>
  <c r="A167" i="2"/>
  <c r="B166" i="2"/>
  <c r="P166" i="2" l="1"/>
  <c r="G166" i="2"/>
  <c r="O166" i="2"/>
  <c r="H166" i="2"/>
  <c r="N166" i="2"/>
  <c r="J166" i="2"/>
  <c r="A168" i="2"/>
  <c r="B167" i="2"/>
  <c r="F166" i="2"/>
  <c r="N167" i="2" l="1"/>
  <c r="O167" i="2"/>
  <c r="G167" i="2"/>
  <c r="J167" i="2"/>
  <c r="P167" i="2"/>
  <c r="H167" i="2"/>
  <c r="F167" i="2"/>
  <c r="A169" i="2"/>
  <c r="B168" i="2"/>
  <c r="H168" i="2" l="1"/>
  <c r="N168" i="2"/>
  <c r="P168" i="2"/>
  <c r="G168" i="2"/>
  <c r="O168" i="2"/>
  <c r="J168" i="2"/>
  <c r="A170" i="2"/>
  <c r="B169" i="2"/>
  <c r="F168" i="2"/>
  <c r="O169" i="2" l="1"/>
  <c r="G169" i="2"/>
  <c r="P169" i="2"/>
  <c r="H169" i="2"/>
  <c r="N169" i="2"/>
  <c r="J169" i="2"/>
  <c r="F169" i="2"/>
  <c r="A171" i="2"/>
  <c r="B170" i="2"/>
  <c r="N170" i="2" l="1"/>
  <c r="O170" i="2"/>
  <c r="H170" i="2"/>
  <c r="G170" i="2"/>
  <c r="P170" i="2"/>
  <c r="J170" i="2"/>
  <c r="F170" i="2"/>
  <c r="B33" i="1" l="1"/>
  <c r="B37" i="1" l="1"/>
  <c r="D73" i="2"/>
  <c r="B114" i="2"/>
  <c r="B123" i="2" s="1"/>
  <c r="I171" i="2"/>
  <c r="I129" i="2"/>
  <c r="I134" i="2"/>
  <c r="I138" i="2"/>
  <c r="I142" i="2"/>
  <c r="I146" i="2"/>
  <c r="I150" i="2"/>
  <c r="I154" i="2"/>
  <c r="I158" i="2"/>
  <c r="I162" i="2"/>
  <c r="D54" i="2"/>
  <c r="D69" i="2"/>
  <c r="I136" i="2"/>
  <c r="I144" i="2"/>
  <c r="I152" i="2"/>
  <c r="I160" i="2"/>
  <c r="I130" i="2"/>
  <c r="D52" i="2"/>
  <c r="D71" i="2"/>
  <c r="D64" i="2"/>
  <c r="D46" i="2"/>
  <c r="D61" i="2"/>
  <c r="I133" i="2"/>
  <c r="I153" i="2"/>
  <c r="D51" i="2"/>
  <c r="I167" i="2"/>
  <c r="I165" i="2"/>
  <c r="I149" i="2"/>
  <c r="D74" i="2"/>
  <c r="I169" i="2"/>
  <c r="D68" i="2"/>
  <c r="D50" i="2"/>
  <c r="I143" i="2"/>
  <c r="D66" i="2"/>
  <c r="I145" i="2"/>
  <c r="D62" i="2"/>
  <c r="D72" i="2"/>
  <c r="D65" i="2"/>
  <c r="D57" i="2"/>
  <c r="I156" i="2"/>
  <c r="I140" i="2"/>
  <c r="F6" i="1"/>
  <c r="B13" i="1" s="1"/>
  <c r="I170" i="2"/>
  <c r="I147" i="2"/>
  <c r="I155" i="2"/>
  <c r="D47" i="2"/>
  <c r="I137" i="2"/>
  <c r="D60" i="2"/>
  <c r="I159" i="2"/>
  <c r="I139" i="2"/>
  <c r="D59" i="2"/>
  <c r="I161" i="2"/>
  <c r="D63" i="2"/>
  <c r="I131" i="2"/>
  <c r="D49" i="2"/>
  <c r="D45" i="2"/>
  <c r="D48" i="2"/>
  <c r="D70" i="2"/>
  <c r="I164" i="2"/>
  <c r="I148" i="2"/>
  <c r="I132" i="2"/>
  <c r="B62" i="1"/>
  <c r="L16" i="1" s="1"/>
  <c r="D55" i="2"/>
  <c r="D56" i="2"/>
  <c r="I151" i="2"/>
  <c r="I168" i="2"/>
  <c r="D67" i="2"/>
  <c r="I128" i="2"/>
  <c r="I163" i="2"/>
  <c r="I135" i="2"/>
  <c r="D53" i="2"/>
  <c r="I166" i="2"/>
  <c r="B38" i="1"/>
  <c r="B46" i="1" s="1"/>
  <c r="L15" i="1" s="1"/>
  <c r="I157" i="2"/>
  <c r="I141" i="2"/>
  <c r="D58" i="2"/>
  <c r="F10" i="1" l="1"/>
  <c r="B59" i="1" s="1"/>
  <c r="F9" i="1"/>
  <c r="B42" i="1" s="1"/>
  <c r="E53" i="2"/>
  <c r="G53" i="2" s="1"/>
  <c r="E20" i="2" s="1"/>
  <c r="E55" i="2"/>
  <c r="G55" i="2" s="1"/>
  <c r="E22" i="2" s="1"/>
  <c r="E49" i="2"/>
  <c r="G49" i="2" s="1"/>
  <c r="E16" i="2" s="1"/>
  <c r="E50" i="2"/>
  <c r="F50" i="2" s="1"/>
  <c r="D17" i="2" s="1"/>
  <c r="E70" i="2"/>
  <c r="G70" i="2" s="1"/>
  <c r="E37" i="2" s="1"/>
  <c r="F5" i="1"/>
  <c r="F4" i="1" s="1"/>
  <c r="E73" i="2"/>
  <c r="F73" i="2" s="1"/>
  <c r="D40" i="2" s="1"/>
  <c r="E58" i="2"/>
  <c r="E56" i="2"/>
  <c r="F56" i="2" s="1"/>
  <c r="D23" i="2" s="1"/>
  <c r="E45" i="2"/>
  <c r="F45" i="2" s="1"/>
  <c r="D12" i="2" s="1"/>
  <c r="E60" i="2"/>
  <c r="E72" i="2"/>
  <c r="F72" i="2" s="1"/>
  <c r="D39" i="2" s="1"/>
  <c r="E74" i="2"/>
  <c r="F74" i="2" s="1"/>
  <c r="D41" i="2" s="1"/>
  <c r="E51" i="2"/>
  <c r="G51" i="2" s="1"/>
  <c r="E18" i="2" s="1"/>
  <c r="E46" i="2"/>
  <c r="G46" i="2" s="1"/>
  <c r="E13" i="2" s="1"/>
  <c r="E67" i="2"/>
  <c r="G67" i="2" s="1"/>
  <c r="E34" i="2" s="1"/>
  <c r="E59" i="2"/>
  <c r="G59" i="2" s="1"/>
  <c r="E26" i="2" s="1"/>
  <c r="E62" i="2"/>
  <c r="G62" i="2" s="1"/>
  <c r="E29" i="2" s="1"/>
  <c r="E64" i="2"/>
  <c r="G64" i="2" s="1"/>
  <c r="E31" i="2" s="1"/>
  <c r="E69" i="2"/>
  <c r="F69" i="2" s="1"/>
  <c r="D36" i="2" s="1"/>
  <c r="E47" i="2"/>
  <c r="G47" i="2" s="1"/>
  <c r="E14" i="2" s="1"/>
  <c r="E57" i="2"/>
  <c r="E68" i="2"/>
  <c r="F68" i="2" s="1"/>
  <c r="D35" i="2" s="1"/>
  <c r="E71" i="2"/>
  <c r="G71" i="2" s="1"/>
  <c r="E38" i="2" s="1"/>
  <c r="E54" i="2"/>
  <c r="G54" i="2" s="1"/>
  <c r="E21" i="2" s="1"/>
  <c r="E48" i="2"/>
  <c r="G48" i="2" s="1"/>
  <c r="E15" i="2" s="1"/>
  <c r="E63" i="2"/>
  <c r="G63" i="2" s="1"/>
  <c r="E30" i="2" s="1"/>
  <c r="M134" i="2"/>
  <c r="M150" i="2"/>
  <c r="M166" i="2"/>
  <c r="M139" i="2"/>
  <c r="M155" i="2"/>
  <c r="M170" i="2"/>
  <c r="M152" i="2"/>
  <c r="M137" i="2"/>
  <c r="M169" i="2"/>
  <c r="M156" i="2"/>
  <c r="M141" i="2"/>
  <c r="M138" i="2"/>
  <c r="M154" i="2"/>
  <c r="M171" i="2"/>
  <c r="M143" i="2"/>
  <c r="M159" i="2"/>
  <c r="B118" i="2"/>
  <c r="M160" i="2"/>
  <c r="M145" i="2"/>
  <c r="M132" i="2"/>
  <c r="M164" i="2"/>
  <c r="M157" i="2"/>
  <c r="M142" i="2"/>
  <c r="M131" i="2"/>
  <c r="M163" i="2"/>
  <c r="M168" i="2"/>
  <c r="M140" i="2"/>
  <c r="M149" i="2"/>
  <c r="M130" i="2"/>
  <c r="M162" i="2"/>
  <c r="M151" i="2"/>
  <c r="M144" i="2"/>
  <c r="M161" i="2"/>
  <c r="M165" i="2"/>
  <c r="M158" i="2"/>
  <c r="M136" i="2"/>
  <c r="M133" i="2"/>
  <c r="M129" i="2"/>
  <c r="M147" i="2"/>
  <c r="M146" i="2"/>
  <c r="M167" i="2"/>
  <c r="M148" i="2"/>
  <c r="M135" i="2"/>
  <c r="M128" i="2"/>
  <c r="M153" i="2"/>
  <c r="E65" i="2"/>
  <c r="G65" i="2" s="1"/>
  <c r="E32" i="2" s="1"/>
  <c r="E66" i="2"/>
  <c r="G66" i="2" s="1"/>
  <c r="E33" i="2" s="1"/>
  <c r="E61" i="2"/>
  <c r="G61" i="2" s="1"/>
  <c r="E28" i="2" s="1"/>
  <c r="E52" i="2"/>
  <c r="F52" i="2" s="1"/>
  <c r="D19" i="2" s="1"/>
  <c r="K128" i="2"/>
  <c r="K142" i="2"/>
  <c r="K158" i="2"/>
  <c r="K131" i="2"/>
  <c r="K147" i="2"/>
  <c r="K163" i="2"/>
  <c r="K136" i="2"/>
  <c r="K168" i="2"/>
  <c r="K153" i="2"/>
  <c r="K140" i="2"/>
  <c r="K149" i="2"/>
  <c r="K130" i="2"/>
  <c r="Q130" i="2" s="1"/>
  <c r="K146" i="2"/>
  <c r="K162" i="2"/>
  <c r="K135" i="2"/>
  <c r="K151" i="2"/>
  <c r="K167" i="2"/>
  <c r="K144" i="2"/>
  <c r="K171" i="2"/>
  <c r="K161" i="2"/>
  <c r="K148" i="2"/>
  <c r="K157" i="2"/>
  <c r="K165" i="2"/>
  <c r="K150" i="2"/>
  <c r="K139" i="2"/>
  <c r="K170" i="2"/>
  <c r="K137" i="2"/>
  <c r="K156" i="2"/>
  <c r="K138" i="2"/>
  <c r="B116" i="2"/>
  <c r="K159" i="2"/>
  <c r="Q159" i="2" s="1"/>
  <c r="K160" i="2"/>
  <c r="K132" i="2"/>
  <c r="K141" i="2"/>
  <c r="K166" i="2"/>
  <c r="K152" i="2"/>
  <c r="K133" i="2"/>
  <c r="K143" i="2"/>
  <c r="K145" i="2"/>
  <c r="K134" i="2"/>
  <c r="Q134" i="2" s="1"/>
  <c r="K169" i="2"/>
  <c r="K154" i="2"/>
  <c r="K129" i="2"/>
  <c r="K164" i="2"/>
  <c r="Q164" i="2" s="1"/>
  <c r="K155" i="2"/>
  <c r="Q149" i="2" l="1"/>
  <c r="Q137" i="2"/>
  <c r="Q161" i="2"/>
  <c r="Q136" i="2"/>
  <c r="Q131" i="2"/>
  <c r="Q132" i="2"/>
  <c r="Q138" i="2"/>
  <c r="Q139" i="2"/>
  <c r="Q146" i="2"/>
  <c r="Q144" i="2"/>
  <c r="Q155" i="2"/>
  <c r="Q169" i="2"/>
  <c r="Q133" i="2"/>
  <c r="Q128" i="2"/>
  <c r="Q167" i="2"/>
  <c r="Q153" i="2"/>
  <c r="Q145" i="2"/>
  <c r="Q166" i="2"/>
  <c r="Q135" i="2"/>
  <c r="Q158" i="2"/>
  <c r="F51" i="2"/>
  <c r="D18" i="2" s="1"/>
  <c r="F61" i="2"/>
  <c r="D28" i="2" s="1"/>
  <c r="F71" i="2"/>
  <c r="D38" i="2" s="1"/>
  <c r="F67" i="2"/>
  <c r="D34" i="2" s="1"/>
  <c r="F46" i="2"/>
  <c r="D13" i="2" s="1"/>
  <c r="G74" i="2"/>
  <c r="E41" i="2" s="1"/>
  <c r="G50" i="2"/>
  <c r="E17" i="2" s="1"/>
  <c r="F53" i="2"/>
  <c r="D20" i="2" s="1"/>
  <c r="Q143" i="2"/>
  <c r="Q140" i="2"/>
  <c r="Q129" i="2"/>
  <c r="Q157" i="2"/>
  <c r="Q170" i="2"/>
  <c r="G68" i="2"/>
  <c r="E35" i="2" s="1"/>
  <c r="Q148" i="2"/>
  <c r="F66" i="2"/>
  <c r="D33" i="2" s="1"/>
  <c r="F54" i="2"/>
  <c r="D21" i="2" s="1"/>
  <c r="F64" i="2"/>
  <c r="D31" i="2" s="1"/>
  <c r="F62" i="2"/>
  <c r="D29" i="2" s="1"/>
  <c r="F70" i="2"/>
  <c r="D37" i="2" s="1"/>
  <c r="F55" i="2"/>
  <c r="D22" i="2" s="1"/>
  <c r="Q142" i="2"/>
  <c r="F49" i="2"/>
  <c r="D16" i="2" s="1"/>
  <c r="Q152" i="2"/>
  <c r="Q151" i="2"/>
  <c r="F63" i="2"/>
  <c r="D30" i="2" s="1"/>
  <c r="Q156" i="2"/>
  <c r="Q165" i="2"/>
  <c r="Q154" i="2"/>
  <c r="Q162" i="2"/>
  <c r="Q163" i="2"/>
  <c r="F65" i="2"/>
  <c r="D32" i="2" s="1"/>
  <c r="Q147" i="2"/>
  <c r="Q141" i="2"/>
  <c r="F48" i="2"/>
  <c r="D15" i="2" s="1"/>
  <c r="G72" i="2"/>
  <c r="E39" i="2" s="1"/>
  <c r="G45" i="2"/>
  <c r="E12" i="2" s="1"/>
  <c r="G56" i="2"/>
  <c r="E23" i="2" s="1"/>
  <c r="Q160" i="2"/>
  <c r="Q150" i="2"/>
  <c r="Q168" i="2"/>
  <c r="Q171" i="2"/>
  <c r="G24" i="2"/>
  <c r="H24" i="2"/>
  <c r="H25" i="2"/>
  <c r="G25" i="2"/>
  <c r="H27" i="2"/>
  <c r="G27" i="2"/>
  <c r="G73" i="2"/>
  <c r="E40" i="2" s="1"/>
  <c r="G33" i="2"/>
  <c r="H33" i="2"/>
  <c r="F57" i="2"/>
  <c r="D24" i="2" s="1"/>
  <c r="G30" i="2"/>
  <c r="H30" i="2"/>
  <c r="G21" i="2"/>
  <c r="H21" i="2"/>
  <c r="H35" i="2"/>
  <c r="G35" i="2"/>
  <c r="G57" i="2"/>
  <c r="E24" i="2" s="1"/>
  <c r="G31" i="2"/>
  <c r="H31" i="2"/>
  <c r="H29" i="2"/>
  <c r="G29" i="2"/>
  <c r="G13" i="2"/>
  <c r="H13" i="2"/>
  <c r="H18" i="2"/>
  <c r="G18" i="2"/>
  <c r="G60" i="2"/>
  <c r="E27" i="2" s="1"/>
  <c r="H12" i="2"/>
  <c r="G12" i="2"/>
  <c r="G23" i="2"/>
  <c r="H23" i="2"/>
  <c r="F58" i="2"/>
  <c r="D25" i="2" s="1"/>
  <c r="B63" i="1"/>
  <c r="K16" i="1"/>
  <c r="H17" i="2"/>
  <c r="G17" i="2"/>
  <c r="G16" i="2"/>
  <c r="H16" i="2"/>
  <c r="G22" i="2"/>
  <c r="H22" i="2"/>
  <c r="G36" i="2"/>
  <c r="H36" i="2"/>
  <c r="H40" i="2"/>
  <c r="G40" i="2"/>
  <c r="B47" i="1"/>
  <c r="K15" i="1"/>
  <c r="G19" i="2"/>
  <c r="H19" i="2"/>
  <c r="H28" i="2"/>
  <c r="G28" i="2"/>
  <c r="H32" i="2"/>
  <c r="G32" i="2"/>
  <c r="G14" i="2"/>
  <c r="H14" i="2"/>
  <c r="G26" i="2"/>
  <c r="H26" i="2"/>
  <c r="G52" i="2"/>
  <c r="E19" i="2" s="1"/>
  <c r="H15" i="2"/>
  <c r="G15" i="2"/>
  <c r="H38" i="2"/>
  <c r="G38" i="2"/>
  <c r="F47" i="2"/>
  <c r="D14" i="2" s="1"/>
  <c r="G69" i="2"/>
  <c r="E36" i="2" s="1"/>
  <c r="F59" i="2"/>
  <c r="D26" i="2" s="1"/>
  <c r="H34" i="2"/>
  <c r="G34" i="2"/>
  <c r="G41" i="2"/>
  <c r="H41" i="2"/>
  <c r="H39" i="2"/>
  <c r="G39" i="2"/>
  <c r="F60" i="2"/>
  <c r="D27" i="2" s="1"/>
  <c r="G58" i="2"/>
  <c r="E25" i="2" s="1"/>
  <c r="G37" i="2"/>
  <c r="H37" i="2"/>
  <c r="H20" i="2"/>
  <c r="G20" i="2"/>
  <c r="B17" i="2" l="1"/>
  <c r="C17" i="2" s="1"/>
  <c r="B37" i="2"/>
  <c r="C37" i="2" s="1"/>
  <c r="B38" i="2"/>
  <c r="C38" i="2" s="1"/>
  <c r="B35" i="2"/>
  <c r="C35" i="2" s="1"/>
  <c r="B30" i="2"/>
  <c r="C30" i="2" s="1"/>
  <c r="B20" i="2"/>
  <c r="C20" i="2" s="1"/>
  <c r="B34" i="2"/>
  <c r="C34" i="2" s="1"/>
  <c r="B28" i="2"/>
  <c r="C28" i="2" s="1"/>
  <c r="B18" i="2"/>
  <c r="C18" i="2" s="1"/>
  <c r="B29" i="2"/>
  <c r="C29" i="2" s="1"/>
  <c r="B21" i="2"/>
  <c r="C21" i="2" s="1"/>
  <c r="B39" i="2"/>
  <c r="C39" i="2" s="1"/>
  <c r="B15" i="2"/>
  <c r="C15" i="2" s="1"/>
  <c r="B40" i="2"/>
  <c r="C40" i="2" s="1"/>
  <c r="B14" i="2"/>
  <c r="C14" i="2" s="1"/>
  <c r="B36" i="2"/>
  <c r="C36" i="2" s="1"/>
  <c r="B33" i="2"/>
  <c r="C33" i="2" s="1"/>
  <c r="B27" i="2"/>
  <c r="C27" i="2" s="1"/>
  <c r="B41" i="2"/>
  <c r="C41" i="2" s="1"/>
  <c r="B26" i="2"/>
  <c r="C26" i="2" s="1"/>
  <c r="B19" i="2"/>
  <c r="C19" i="2" s="1"/>
  <c r="B22" i="2"/>
  <c r="C22" i="2" s="1"/>
  <c r="B23" i="2"/>
  <c r="C23" i="2" s="1"/>
  <c r="B13" i="2"/>
  <c r="C13" i="2" s="1"/>
  <c r="B31" i="2"/>
  <c r="C31" i="2" s="1"/>
  <c r="B24" i="2"/>
  <c r="C24" i="2" s="1"/>
  <c r="B16" i="2"/>
  <c r="C16" i="2" s="1"/>
  <c r="B32" i="2"/>
  <c r="C32" i="2" s="1"/>
  <c r="B12" i="2"/>
  <c r="C12" i="2" s="1"/>
  <c r="B25" i="2"/>
  <c r="C25" i="2" s="1"/>
  <c r="F29" i="1"/>
  <c r="F28" i="1" s="1"/>
  <c r="G28" i="1" s="1"/>
  <c r="B82" i="1"/>
  <c r="B83" i="1" l="1"/>
  <c r="B29" i="1" s="1"/>
  <c r="B28" i="1"/>
</calcChain>
</file>

<file path=xl/sharedStrings.xml><?xml version="1.0" encoding="utf-8"?>
<sst xmlns="http://schemas.openxmlformats.org/spreadsheetml/2006/main" count="478" uniqueCount="320">
  <si>
    <t>Power Loss Calculation</t>
  </si>
  <si>
    <t>Switching Frequency</t>
  </si>
  <si>
    <t>kHz</t>
  </si>
  <si>
    <t>On Time</t>
  </si>
  <si>
    <t>ns</t>
  </si>
  <si>
    <t>V</t>
  </si>
  <si>
    <t>Duty Cycle</t>
  </si>
  <si>
    <t>Effective Output Resistance</t>
  </si>
  <si>
    <t>Ohm</t>
  </si>
  <si>
    <t>Output Current</t>
  </si>
  <si>
    <t>A</t>
  </si>
  <si>
    <t>Iupper,rms</t>
  </si>
  <si>
    <t>OUTPUT INDUCTOR</t>
  </si>
  <si>
    <t>Ilower,rms</t>
  </si>
  <si>
    <r>
      <t>Inductor Current Ripple Ratio (</t>
    </r>
    <r>
      <rPr>
        <b/>
        <sz val="10"/>
        <rFont val="Arial"/>
        <family val="2"/>
      </rPr>
      <t>∆</t>
    </r>
    <r>
      <rPr>
        <b/>
        <sz val="10"/>
        <rFont val="Times New Roman"/>
        <family val="1"/>
      </rPr>
      <t>I/ILOAD)</t>
    </r>
  </si>
  <si>
    <t>%</t>
  </si>
  <si>
    <t>Recommended Inductor</t>
  </si>
  <si>
    <t>uH</t>
  </si>
  <si>
    <t>Current Ripple</t>
  </si>
  <si>
    <t>Ap-p</t>
  </si>
  <si>
    <t>Output Inductor</t>
  </si>
  <si>
    <t>Switching Loss</t>
  </si>
  <si>
    <t xml:space="preserve">     DCR</t>
  </si>
  <si>
    <t>mOhm</t>
  </si>
  <si>
    <t>Upper MOSFET</t>
  </si>
  <si>
    <t>Lower MOSFET</t>
  </si>
  <si>
    <t>Driver</t>
  </si>
  <si>
    <t>Number of Output Capacitor</t>
  </si>
  <si>
    <t xml:space="preserve">   Capacitance (Each)</t>
  </si>
  <si>
    <t>uF</t>
  </si>
  <si>
    <t>Ouput Cap. ESR</t>
  </si>
  <si>
    <t>Conduction Loss</t>
  </si>
  <si>
    <t xml:space="preserve">   ESR (Each)</t>
  </si>
  <si>
    <t>UPPER MOSFET</t>
  </si>
  <si>
    <t>Rds,on</t>
  </si>
  <si>
    <t>LOWER MOSFET</t>
  </si>
  <si>
    <t>Total Loss</t>
  </si>
  <si>
    <t>Watts</t>
  </si>
  <si>
    <t>Efficiency</t>
  </si>
  <si>
    <t>Power Dissipation in IC</t>
  </si>
  <si>
    <t>W</t>
  </si>
  <si>
    <t xml:space="preserve">   Rds,on</t>
  </si>
  <si>
    <t xml:space="preserve">   Vd</t>
  </si>
  <si>
    <t xml:space="preserve">   Qrr</t>
  </si>
  <si>
    <t>nC</t>
  </si>
  <si>
    <t xml:space="preserve">   Qg</t>
  </si>
  <si>
    <t xml:space="preserve">   Cgs</t>
  </si>
  <si>
    <t>nF</t>
  </si>
  <si>
    <t>Rdson*Cgs</t>
  </si>
  <si>
    <t>mOhm*nF</t>
  </si>
  <si>
    <t xml:space="preserve">   Coss</t>
  </si>
  <si>
    <t>Rdson*Coss</t>
  </si>
  <si>
    <t xml:space="preserve">   Tr</t>
  </si>
  <si>
    <t>Switching time of upper MOSFET from OFF to ON</t>
  </si>
  <si>
    <t xml:space="preserve">   Tf</t>
  </si>
  <si>
    <t>Switching time of upper MOSFET from ON to OFF</t>
  </si>
  <si>
    <t xml:space="preserve">   n</t>
  </si>
  <si>
    <t>Number of upper MOSFETs</t>
  </si>
  <si>
    <t xml:space="preserve">   Pcon</t>
  </si>
  <si>
    <t>Upper MOSFETs conduction loss = (Irms.upper)^2*Rds/n</t>
  </si>
  <si>
    <t xml:space="preserve">   Psw_on</t>
  </si>
  <si>
    <t>Upper MOSFETs turn-ON switching loss = Vin*(Iout-Irip/2)*Tr*Fsw/2</t>
  </si>
  <si>
    <t xml:space="preserve">   Psw_off</t>
  </si>
  <si>
    <t>Upper MOSFETs turn-OFF switching loss = Vin*(Iout+Irip/2)*Tf*Fsw/2</t>
  </si>
  <si>
    <t xml:space="preserve">   Pdiode</t>
  </si>
  <si>
    <t>Upper MOSFET diode reverse recovery loss = n*Vin*Fsw*Qrr</t>
  </si>
  <si>
    <t xml:space="preserve">   Pcap</t>
  </si>
  <si>
    <t>MOSFET output capacitance loss  = n*Coss*(Vin)^2*Fsw/2</t>
  </si>
  <si>
    <t xml:space="preserve">   Pupper</t>
  </si>
  <si>
    <t>Total upper MOSFETs Power loss</t>
  </si>
  <si>
    <t xml:space="preserve">   Td_on</t>
  </si>
  <si>
    <t>Dead time for UGATE OFF to LGATE ON</t>
  </si>
  <si>
    <t xml:space="preserve">   Td_off</t>
  </si>
  <si>
    <t>Dead time for LGATE ON to UGATE OFF</t>
  </si>
  <si>
    <t>Number of lower MOSFETs</t>
  </si>
  <si>
    <t>Lower MOSFET conduction loss = (Irms.lower)^2*Rds/n</t>
  </si>
  <si>
    <t>Body diode conduction loss = Vd*Fsw*[ (Iout+Irip/2) * Td1+ (Iout-Irip/2) * Td2]</t>
  </si>
  <si>
    <t xml:space="preserve">   Pdiode_QRR</t>
  </si>
  <si>
    <t>Lower MOSFET diode reverse recovery loss = n*Vin*Fsw*Qrr</t>
  </si>
  <si>
    <t xml:space="preserve">   Plower</t>
  </si>
  <si>
    <t>Total lower MOSFETs Power loss</t>
  </si>
  <si>
    <t>DRIVER POWER LOSS</t>
  </si>
  <si>
    <t>Vgs,u</t>
  </si>
  <si>
    <t>Vgs,l</t>
  </si>
  <si>
    <t>Iq</t>
  </si>
  <si>
    <t>mA</t>
  </si>
  <si>
    <t>Quiescent Current</t>
  </si>
  <si>
    <t>Pdr,up</t>
  </si>
  <si>
    <t>Upper MOSFET driver loss = n*Vgs1*Fsw*Qg.up</t>
  </si>
  <si>
    <t>Pdr,low</t>
  </si>
  <si>
    <t>Lower MOSFET driver loss = n*Vgs2*Fsw*Qg.low</t>
  </si>
  <si>
    <t>Pdriver</t>
  </si>
  <si>
    <t>Total driver power loss</t>
  </si>
  <si>
    <t>OUTPUT INDUCTOR LOSS</t>
  </si>
  <si>
    <t>Pcore</t>
  </si>
  <si>
    <t>Inductor core loss</t>
  </si>
  <si>
    <t>Pcon</t>
  </si>
  <si>
    <t>Inductor conduction loss = (Irms)^2*DCR</t>
  </si>
  <si>
    <t>Pind</t>
  </si>
  <si>
    <t>Total inductor loss</t>
  </si>
  <si>
    <t>OUTPUT CAPACITOR LOSS</t>
  </si>
  <si>
    <t>Pesr</t>
  </si>
  <si>
    <t>ESR Conduction Loss</t>
  </si>
  <si>
    <t>PWM Efficiency Summary</t>
  </si>
  <si>
    <t>Min Current</t>
  </si>
  <si>
    <t>Max Current</t>
  </si>
  <si>
    <t xml:space="preserve">Total Power Loss </t>
  </si>
  <si>
    <t>Losses in Upper MOSFET</t>
  </si>
  <si>
    <t>Losses in Lower MOSFET</t>
  </si>
  <si>
    <t>Driver Loss</t>
  </si>
  <si>
    <t>Inductor Loss</t>
  </si>
  <si>
    <t>Capactor Loss</t>
  </si>
  <si>
    <t>D</t>
  </si>
  <si>
    <t>Irip</t>
  </si>
  <si>
    <t>Iup,rms</t>
  </si>
  <si>
    <t>Ilos,rms</t>
  </si>
  <si>
    <t>PFM Efficiency Summary</t>
  </si>
  <si>
    <t>PFM Pk Current</t>
  </si>
  <si>
    <t>V_ls_diode</t>
  </si>
  <si>
    <t xml:space="preserve">Vout Upper </t>
  </si>
  <si>
    <t>Dead Time</t>
  </si>
  <si>
    <t>nsec</t>
  </si>
  <si>
    <t>Iout_PFM</t>
  </si>
  <si>
    <t>uA</t>
  </si>
  <si>
    <t>dt1</t>
  </si>
  <si>
    <t>second</t>
  </si>
  <si>
    <t>On time pulse</t>
  </si>
  <si>
    <t>dt2</t>
  </si>
  <si>
    <t>Off time pulse</t>
  </si>
  <si>
    <t>f1</t>
  </si>
  <si>
    <t>Hz</t>
  </si>
  <si>
    <t>f1=1/(dt1+dt2)</t>
  </si>
  <si>
    <t>f2</t>
  </si>
  <si>
    <t>f2=2*Iout(I_PFM_pk/2 -Iout)/((Vout_upper-Vout)*Cout*I_PFM_pk)</t>
  </si>
  <si>
    <t>P_lnd_cond</t>
  </si>
  <si>
    <t>Inductor conduction loss</t>
  </si>
  <si>
    <t>P_lnd_ac</t>
  </si>
  <si>
    <t>P_hs_cond</t>
  </si>
  <si>
    <t>P_hs_cond=Rdson_hs*2*Iout*T_PFM_pk*Vout/(3*Vin)</t>
  </si>
  <si>
    <t>P_hs_turn_off</t>
  </si>
  <si>
    <t>P_hs_turn_off is the ac loss = 2*Cgsp*Vin^2*Iout(Vout*(Vin-Vout)/(I_PFM_pk*L*)*tf</t>
  </si>
  <si>
    <t>P_hs_gate_drive</t>
  </si>
  <si>
    <t>P_hs_gate_drive is the gate driver loss = Cgshs*Vgs^2*2*Iout*Vout*(Vin-Vout)/(I_PFM_pk^2*L*Vdr)</t>
  </si>
  <si>
    <t>N_ls_cond</t>
  </si>
  <si>
    <t>N_ls_cond=Rdson_ls*2*Iout*I_PFM_pk*(Vin-Vout)/(3*Vin)</t>
  </si>
  <si>
    <t>N_ls_gate_drive</t>
  </si>
  <si>
    <t>N_ls_gate_drive is the gate driver loss = Cgshs*Vgs^2*2*Iout*Vout*(Vin-Vout)/(I_PFM_pk^2*L*Vdr)</t>
  </si>
  <si>
    <t>D_ls_diode</t>
  </si>
  <si>
    <t>N_ls_diode=V_ls_diode*Dead_time*2*Iout*Vout*(Vin-Vout)/(I_PFM_pk^2*Lout*Vin)</t>
  </si>
  <si>
    <t>Cout_esr</t>
  </si>
  <si>
    <t>Cout_esr=Resr*Iout*I_PFM_pk/6</t>
  </si>
  <si>
    <t>P_iq</t>
  </si>
  <si>
    <t>Quiescent Power Loss=Iq*Vin</t>
  </si>
  <si>
    <t>Pwr Loss Total</t>
  </si>
  <si>
    <t>Efficiency_PFM</t>
  </si>
  <si>
    <t>step</t>
  </si>
  <si>
    <t>Output Iout</t>
  </si>
  <si>
    <t>LDO</t>
  </si>
  <si>
    <t>LDO Loss = (Vin-V_LDO)*Iq</t>
  </si>
  <si>
    <t>Thermal Resitance</t>
  </si>
  <si>
    <r>
      <rPr>
        <b/>
        <sz val="10"/>
        <rFont val="Symbol"/>
        <family val="1"/>
        <charset val="2"/>
      </rPr>
      <t>°</t>
    </r>
    <r>
      <rPr>
        <b/>
        <sz val="10"/>
        <rFont val="Arial"/>
        <family val="2"/>
      </rPr>
      <t>C/Watt</t>
    </r>
  </si>
  <si>
    <t>Ambient Temperature</t>
  </si>
  <si>
    <r>
      <rPr>
        <b/>
        <sz val="10"/>
        <rFont val="Symbol"/>
        <family val="1"/>
        <charset val="2"/>
      </rPr>
      <t>°</t>
    </r>
    <r>
      <rPr>
        <b/>
        <sz val="10"/>
        <rFont val="Arial"/>
        <family val="2"/>
      </rPr>
      <t>C</t>
    </r>
  </si>
  <si>
    <t xml:space="preserve">Compensator Design - Type 2  </t>
  </si>
  <si>
    <t xml:space="preserve">See Below For Graphical Represenatation of Ti(s), Tv(s), T(s), Rfb1, Rfb2, Cfb1, R1, C1, C2 </t>
  </si>
  <si>
    <t>Transfer Function</t>
  </si>
  <si>
    <t>Controller</t>
  </si>
  <si>
    <t>Note: In order for the Compensation Design to work, need to have the Analysis Tool Pack active.</t>
  </si>
  <si>
    <t xml:space="preserve">1. Go to File, then Option. </t>
  </si>
  <si>
    <t>Current Sense, Sn</t>
  </si>
  <si>
    <t>A/s</t>
  </si>
  <si>
    <t xml:space="preserve">2. Select Add-Ins. </t>
  </si>
  <si>
    <t>3. If Analysis-ToolPak if it is inactive. Then use the manage menu.</t>
  </si>
  <si>
    <t>ωo</t>
  </si>
  <si>
    <t>Fesr</t>
  </si>
  <si>
    <t>Feedback Voltage, VFB</t>
  </si>
  <si>
    <t>4. Select Excel Add-ins and click Go.</t>
  </si>
  <si>
    <t>Fz</t>
  </si>
  <si>
    <t>5. Check Analysis-ToolPak and click OK.</t>
  </si>
  <si>
    <t>Q</t>
  </si>
  <si>
    <t>Selected Values</t>
  </si>
  <si>
    <t>Fs</t>
  </si>
  <si>
    <t>Desired Fc</t>
  </si>
  <si>
    <t>of Fs = Fc</t>
  </si>
  <si>
    <t>ohm</t>
  </si>
  <si>
    <t>Resistive Divider</t>
  </si>
  <si>
    <t>C1</t>
  </si>
  <si>
    <t>F</t>
  </si>
  <si>
    <t>C2</t>
  </si>
  <si>
    <t>Fz1</t>
  </si>
  <si>
    <t>Fp2</t>
  </si>
  <si>
    <t>User Selects Cfb2</t>
  </si>
  <si>
    <t>Bandwidth</t>
  </si>
  <si>
    <t>Phase margin</t>
  </si>
  <si>
    <t>degree</t>
  </si>
  <si>
    <t>Sampling Transfer Functions</t>
  </si>
  <si>
    <t>wn</t>
  </si>
  <si>
    <t>b</t>
  </si>
  <si>
    <t>Qn</t>
  </si>
  <si>
    <t>Fm</t>
  </si>
  <si>
    <t>Fstart</t>
  </si>
  <si>
    <t>Fstop</t>
  </si>
  <si>
    <t>Fstep</t>
  </si>
  <si>
    <t>Step</t>
  </si>
  <si>
    <t>Calculations for the Sampling Transfer function</t>
  </si>
  <si>
    <t>Current Loop Gain</t>
  </si>
  <si>
    <t>Open Loop Voltage Gain</t>
  </si>
  <si>
    <t>Total Loop Gain</t>
  </si>
  <si>
    <t>Voltage Divider Gain</t>
  </si>
  <si>
    <t>Forward Gain</t>
  </si>
  <si>
    <t>Open Loop to Inductor Current Transfer function</t>
  </si>
  <si>
    <t>Open Loop duty Cycle to Output Voltage Transfer Function</t>
  </si>
  <si>
    <t>Fm*Rt*Fdi(S)*He(S)</t>
  </si>
  <si>
    <t>Fm*Fdv(S)</t>
  </si>
  <si>
    <t>TV(S)/1+Ti(S)</t>
  </si>
  <si>
    <t>Compensator</t>
  </si>
  <si>
    <t>Voltage loop with compensation</t>
  </si>
  <si>
    <t>Closed Loop with Compensation</t>
  </si>
  <si>
    <t>To Find the Bandwidth</t>
  </si>
  <si>
    <t>S = j*2*pi*F</t>
  </si>
  <si>
    <t>Real He(s)</t>
  </si>
  <si>
    <t>Imag He(S)</t>
  </si>
  <si>
    <t>Complex He(S)</t>
  </si>
  <si>
    <t>Gain He(S)</t>
  </si>
  <si>
    <t>Phase He(S)</t>
  </si>
  <si>
    <t>Gain</t>
  </si>
  <si>
    <t>Upper Complex</t>
  </si>
  <si>
    <t>Lower Complex</t>
  </si>
  <si>
    <t>Fdi(S)</t>
  </si>
  <si>
    <t>lower Same as inductor</t>
  </si>
  <si>
    <t>Fdv(S)</t>
  </si>
  <si>
    <t>Ti(s)</t>
  </si>
  <si>
    <t>Phase</t>
  </si>
  <si>
    <t>Tv(S)</t>
  </si>
  <si>
    <t>T(S)</t>
  </si>
  <si>
    <t>gain</t>
  </si>
  <si>
    <t>phase</t>
  </si>
  <si>
    <t>Z1(S)</t>
  </si>
  <si>
    <t>Z2(S)</t>
  </si>
  <si>
    <t>2nd gm pole</t>
  </si>
  <si>
    <t>2nd gm pole//Cp1</t>
  </si>
  <si>
    <t>2 poles contribution</t>
  </si>
  <si>
    <t>Voltage Gain Denominator</t>
  </si>
  <si>
    <t>K(S)</t>
  </si>
  <si>
    <t>top</t>
  </si>
  <si>
    <t>bottom</t>
  </si>
  <si>
    <t>Zf(S)</t>
  </si>
  <si>
    <t>A(S)</t>
  </si>
  <si>
    <t>mag</t>
  </si>
  <si>
    <t>Tv(s)c</t>
  </si>
  <si>
    <t>T(s)</t>
  </si>
  <si>
    <t>1-gain</t>
  </si>
  <si>
    <t>User Selects R3</t>
  </si>
  <si>
    <t>DCM-CCM Boundary</t>
  </si>
  <si>
    <t>Energy Current</t>
  </si>
  <si>
    <t>Time shift</t>
  </si>
  <si>
    <t>Frequency</t>
  </si>
  <si>
    <t>(R3//Z1//Z2)/R3</t>
  </si>
  <si>
    <t>(R3//Z1/Z2)/R3</t>
  </si>
  <si>
    <t>Zf(s)/Z1(s)</t>
  </si>
  <si>
    <r>
      <t>Total Control Slope, m</t>
    </r>
    <r>
      <rPr>
        <vertAlign val="subscript"/>
        <sz val="12"/>
        <rFont val="Arial"/>
        <family val="2"/>
      </rPr>
      <t>c</t>
    </r>
  </si>
  <si>
    <t>dB</t>
  </si>
  <si>
    <t>Gain margin</t>
  </si>
  <si>
    <t>-Phase</t>
  </si>
  <si>
    <r>
      <t>Tran-resistance, R</t>
    </r>
    <r>
      <rPr>
        <vertAlign val="subscript"/>
        <sz val="10"/>
        <rFont val="Arial"/>
        <family val="2"/>
      </rPr>
      <t>T</t>
    </r>
  </si>
  <si>
    <r>
      <t>Slope Compensation, S</t>
    </r>
    <r>
      <rPr>
        <vertAlign val="subscript"/>
        <sz val="10"/>
        <rFont val="Arial"/>
        <family val="2"/>
      </rPr>
      <t>E (without Fs)</t>
    </r>
  </si>
  <si>
    <t>Iout (A)</t>
  </si>
  <si>
    <t>Eff (%)</t>
  </si>
  <si>
    <t>User Selects R1</t>
  </si>
  <si>
    <t>User Selects R2</t>
  </si>
  <si>
    <t>User Selects C4</t>
  </si>
  <si>
    <t>R4</t>
  </si>
  <si>
    <t>Ratio of SE to IL</t>
  </si>
  <si>
    <t>Rad/s</t>
  </si>
  <si>
    <t>Soft Start Time</t>
  </si>
  <si>
    <t>ms</t>
  </si>
  <si>
    <t>Bias Voltage</t>
  </si>
  <si>
    <t>Output Current, Iout</t>
  </si>
  <si>
    <r>
      <t>Soft Start Capacitor, C</t>
    </r>
    <r>
      <rPr>
        <b/>
        <vertAlign val="subscript"/>
        <sz val="10"/>
        <rFont val="Times New Roman"/>
        <family val="1"/>
      </rPr>
      <t>SS</t>
    </r>
  </si>
  <si>
    <t>kOhm</t>
  </si>
  <si>
    <t>Caculated Values of Amplifer</t>
  </si>
  <si>
    <t>OUTPUT CAPACITOR, Co</t>
  </si>
  <si>
    <t>Output Inductor, L1</t>
  </si>
  <si>
    <r>
      <t>FS Program Resistor, R</t>
    </r>
    <r>
      <rPr>
        <b/>
        <vertAlign val="subscript"/>
        <sz val="10"/>
        <rFont val="Times New Roman"/>
        <family val="1"/>
      </rPr>
      <t>FS</t>
    </r>
  </si>
  <si>
    <t>Vin=24V, Vout=3.3V (206m/106m)</t>
  </si>
  <si>
    <t>Vin=24V, Vout=3.3V (419m/231m)</t>
  </si>
  <si>
    <t>MSYNC Voltage</t>
  </si>
  <si>
    <t>G1(S)</t>
  </si>
  <si>
    <t>G2(S)</t>
  </si>
  <si>
    <t>gm</t>
  </si>
  <si>
    <t>A/V</t>
  </si>
  <si>
    <t>Denominator</t>
  </si>
  <si>
    <t>Conpensator</t>
  </si>
  <si>
    <t>Mag</t>
  </si>
  <si>
    <t>Voltage Loop w/ Comp</t>
  </si>
  <si>
    <t>Tv(S)c</t>
  </si>
  <si>
    <t>Error gm pole 1MHz</t>
  </si>
  <si>
    <t>Tu's A(s) Transfer Function</t>
  </si>
  <si>
    <t>4. -G2</t>
  </si>
  <si>
    <t>-G1</t>
  </si>
  <si>
    <t>1. (Go+G2)/(G2-gm)</t>
  </si>
  <si>
    <t>2. (G1+G2+G3)</t>
  </si>
  <si>
    <t>3. (G1+G2+G3)(Go+G2)/(gm-G2)</t>
  </si>
  <si>
    <t xml:space="preserve">freq                    </t>
  </si>
  <si>
    <t xml:space="preserve">Gain                    </t>
  </si>
  <si>
    <t xml:space="preserve">Phase                   </t>
  </si>
  <si>
    <t>24Vin, 5Vout, 3A</t>
  </si>
  <si>
    <t>Part Number</t>
  </si>
  <si>
    <t>R3</t>
  </si>
  <si>
    <t>6. Go to File, then Option.</t>
  </si>
  <si>
    <t>7. Select Advance.</t>
  </si>
  <si>
    <t>8. Unselect Use System separator</t>
  </si>
  <si>
    <t/>
  </si>
  <si>
    <t>9. Change to local Decimal/Thousand separator to "." or ","</t>
  </si>
  <si>
    <t>10. Click OK.</t>
  </si>
  <si>
    <t>Junction Temperature</t>
  </si>
  <si>
    <t>AL8890Q</t>
  </si>
  <si>
    <t>AL88902Q</t>
  </si>
  <si>
    <t>AL8890Q</t>
    <phoneticPr fontId="41" type="noConversion"/>
  </si>
  <si>
    <t>AL88902Q</t>
    <phoneticPr fontId="41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</si>
</sst>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0">
    <numFmt numFmtId="176" formatCode="_(* #,##0.00_);_(* \(#,##0.00\);_(* &quot;-&quot;??_);_(@_)"/>
    <numFmt numFmtId="177" formatCode="0.000"/>
    <numFmt numFmtId="178" formatCode="0.000E+00"/>
    <numFmt numFmtId="179" formatCode="#,##0.0"/>
    <numFmt numFmtId="180" formatCode="#,##0.000"/>
    <numFmt numFmtId="181" formatCode="0.0"/>
    <numFmt numFmtId="182" formatCode="0.0000E+00"/>
    <numFmt numFmtId="183" formatCode="0.0000"/>
    <numFmt numFmtId="184" formatCode="_(* #,##0.000_);_(* \(#,##0.000\);_(* &quot;-&quot;??_);_(@_)"/>
    <numFmt numFmtId="185" formatCode="0.0E+00"/>
  </numFmts>
  <fonts count="42" x14ac:knownFonts="1">
    <font>
      <sz val="11"/>
      <color theme="1"/>
      <name val="宋体"/>
      <family val="2"/>
      <scheme val="minor"/>
    </font>
    <font>
      <b/>
      <sz val="10"/>
      <name val="Arial"/>
      <family val="2"/>
    </font>
    <font>
      <b/>
      <sz val="14"/>
      <name val="Arial"/>
      <family val="2"/>
    </font>
    <font>
      <b/>
      <sz val="10"/>
      <color rgb="FFFF0000"/>
      <name val="Arial"/>
      <family val="2"/>
    </font>
    <font>
      <b/>
      <sz val="10"/>
      <color indexed="10"/>
      <name val="Arial"/>
      <family val="2"/>
    </font>
    <font>
      <b/>
      <i/>
      <u/>
      <sz val="10"/>
      <name val="Arial"/>
      <family val="2"/>
    </font>
    <font>
      <b/>
      <sz val="10"/>
      <name val="Times New Roman"/>
      <family val="1"/>
    </font>
    <font>
      <b/>
      <sz val="10"/>
      <color theme="0"/>
      <name val="Arial"/>
      <family val="2"/>
    </font>
    <font>
      <b/>
      <i/>
      <u/>
      <sz val="12"/>
      <name val="Arial"/>
      <family val="2"/>
    </font>
    <font>
      <b/>
      <sz val="12"/>
      <name val="Arial"/>
      <family val="2"/>
    </font>
    <font>
      <b/>
      <sz val="10"/>
      <color indexed="9"/>
      <name val="Arial"/>
      <family val="2"/>
    </font>
    <font>
      <b/>
      <i/>
      <sz val="12"/>
      <name val="Arial"/>
      <family val="2"/>
    </font>
    <font>
      <b/>
      <i/>
      <sz val="10"/>
      <name val="Arial"/>
      <family val="2"/>
    </font>
    <font>
      <sz val="11"/>
      <color theme="1"/>
      <name val="宋体"/>
      <family val="2"/>
      <scheme val="minor"/>
    </font>
    <font>
      <b/>
      <i/>
      <sz val="12"/>
      <color theme="0"/>
      <name val="Arial"/>
      <family val="2"/>
    </font>
    <font>
      <b/>
      <sz val="10"/>
      <name val="Symbol"/>
      <family val="1"/>
      <charset val="2"/>
    </font>
    <font>
      <b/>
      <sz val="12"/>
      <color indexed="9"/>
      <name val="Arial"/>
      <family val="2"/>
    </font>
    <font>
      <sz val="12"/>
      <color indexed="9"/>
      <name val="Arial"/>
      <family val="2"/>
    </font>
    <font>
      <b/>
      <sz val="12"/>
      <color theme="1"/>
      <name val="宋体"/>
      <family val="2"/>
      <scheme val="minor"/>
    </font>
    <font>
      <vertAlign val="subscript"/>
      <sz val="10"/>
      <name val="Arial"/>
      <family val="2"/>
    </font>
    <font>
      <sz val="10"/>
      <color indexed="63"/>
      <name val="Times New Roman"/>
      <family val="1"/>
    </font>
    <font>
      <sz val="10"/>
      <color indexed="10"/>
      <name val="Arial"/>
      <family val="2"/>
    </font>
    <font>
      <sz val="10"/>
      <color theme="0"/>
      <name val="Arial"/>
      <family val="2"/>
    </font>
    <font>
      <sz val="10"/>
      <color theme="0"/>
      <name val="Times New Roman"/>
      <family val="1"/>
    </font>
    <font>
      <sz val="10"/>
      <color indexed="9"/>
      <name val="Arial"/>
      <family val="2"/>
    </font>
    <font>
      <sz val="10"/>
      <color rgb="FFFF0000"/>
      <name val="Arial"/>
      <family val="2"/>
    </font>
    <font>
      <sz val="10"/>
      <name val="Arial"/>
      <family val="2"/>
    </font>
    <font>
      <b/>
      <sz val="11"/>
      <color theme="0"/>
      <name val="宋体"/>
      <family val="2"/>
      <scheme val="minor"/>
    </font>
    <font>
      <sz val="11"/>
      <color theme="0"/>
      <name val="宋体"/>
      <family val="2"/>
      <scheme val="minor"/>
    </font>
    <font>
      <sz val="11"/>
      <name val="Arial"/>
      <family val="2"/>
    </font>
    <font>
      <sz val="12"/>
      <name val="Arial"/>
      <family val="2"/>
    </font>
    <font>
      <vertAlign val="subscript"/>
      <sz val="12"/>
      <name val="Arial"/>
      <family val="2"/>
    </font>
    <font>
      <b/>
      <sz val="11"/>
      <name val="Arial"/>
      <family val="2"/>
    </font>
    <font>
      <b/>
      <sz val="12"/>
      <color indexed="63"/>
      <name val="Times New Roman"/>
      <family val="1"/>
    </font>
    <font>
      <b/>
      <sz val="12"/>
      <color indexed="63"/>
      <name val="Arial"/>
      <family val="2"/>
    </font>
    <font>
      <sz val="11"/>
      <color rgb="FFFF0000"/>
      <name val="宋体"/>
      <family val="2"/>
      <scheme val="minor"/>
    </font>
    <font>
      <b/>
      <vertAlign val="subscript"/>
      <sz val="10"/>
      <name val="Times New Roman"/>
      <family val="1"/>
    </font>
    <font>
      <b/>
      <i/>
      <u/>
      <sz val="10"/>
      <color theme="0"/>
      <name val="Arial"/>
      <family val="2"/>
    </font>
    <font>
      <b/>
      <i/>
      <sz val="10"/>
      <color theme="0"/>
      <name val="Arial"/>
      <family val="2"/>
    </font>
    <font>
      <sz val="11"/>
      <color theme="1"/>
      <name val="宋体"/>
      <family val="2"/>
      <charset val="134"/>
      <scheme val="minor"/>
    </font>
    <font>
      <b/>
      <sz val="16"/>
      <color rgb="FF0070C0"/>
      <name val="宋体"/>
      <family val="2"/>
      <scheme val="minor"/>
    </font>
    <font>
      <sz val="9"/>
      <name val="宋体"/>
      <family val="3"/>
      <charset val="134"/>
      <scheme val="minor"/>
    </font>
  </fonts>
  <fills count="11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indexed="43"/>
        <bgColor indexed="64"/>
      </patternFill>
    </fill>
    <fill>
      <patternFill patternType="solid">
        <fgColor rgb="FFFFCC66"/>
        <bgColor indexed="64"/>
      </patternFill>
    </fill>
    <fill>
      <patternFill patternType="solid">
        <fgColor theme="7" tint="0.59999389629810485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00B0F0"/>
        <bgColor indexed="64"/>
      </patternFill>
    </fill>
    <fill>
      <patternFill patternType="solid">
        <fgColor indexed="8"/>
        <bgColor indexed="64"/>
      </patternFill>
    </fill>
    <fill>
      <patternFill patternType="solid">
        <fgColor indexed="47"/>
        <bgColor indexed="64"/>
      </patternFill>
    </fill>
  </fills>
  <borders count="20">
    <border>
      <left/>
      <right/>
      <top/>
      <bottom/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7">
    <xf numFmtId="0" fontId="0" fillId="0" borderId="0"/>
    <xf numFmtId="0" fontId="13" fillId="0" borderId="0"/>
    <xf numFmtId="0" fontId="26" fillId="0" borderId="0"/>
    <xf numFmtId="9" fontId="26" fillId="0" borderId="0" applyFont="0" applyFill="0" applyBorder="0" applyAlignment="0" applyProtection="0"/>
    <xf numFmtId="9" fontId="13" fillId="0" borderId="0" applyFont="0" applyFill="0" applyBorder="0" applyAlignment="0" applyProtection="0"/>
    <xf numFmtId="176" fontId="13" fillId="0" borderId="0" applyFont="0" applyFill="0" applyBorder="0" applyAlignment="0" applyProtection="0"/>
    <xf numFmtId="0" fontId="39" fillId="0" borderId="0">
      <alignment vertical="center"/>
    </xf>
  </cellStyleXfs>
  <cellXfs count="227">
    <xf numFmtId="0" fontId="0" fillId="0" borderId="0" xfId="0"/>
    <xf numFmtId="0" fontId="1" fillId="2" borderId="1" xfId="0" applyFont="1" applyFill="1" applyBorder="1"/>
    <xf numFmtId="0" fontId="1" fillId="2" borderId="0" xfId="0" applyFont="1" applyFill="1"/>
    <xf numFmtId="0" fontId="2" fillId="2" borderId="0" xfId="0" applyFont="1" applyFill="1"/>
    <xf numFmtId="0" fontId="3" fillId="2" borderId="0" xfId="0" applyFont="1" applyFill="1"/>
    <xf numFmtId="0" fontId="1" fillId="3" borderId="0" xfId="0" applyFont="1" applyFill="1"/>
    <xf numFmtId="2" fontId="1" fillId="4" borderId="0" xfId="0" applyNumberFormat="1" applyFont="1" applyFill="1"/>
    <xf numFmtId="0" fontId="4" fillId="2" borderId="0" xfId="0" applyFont="1" applyFill="1"/>
    <xf numFmtId="0" fontId="1" fillId="4" borderId="0" xfId="0" applyFont="1" applyFill="1"/>
    <xf numFmtId="2" fontId="1" fillId="2" borderId="0" xfId="0" applyNumberFormat="1" applyFont="1" applyFill="1"/>
    <xf numFmtId="0" fontId="5" fillId="2" borderId="0" xfId="0" applyFont="1" applyFill="1"/>
    <xf numFmtId="0" fontId="6" fillId="2" borderId="0" xfId="0" applyFont="1" applyFill="1"/>
    <xf numFmtId="0" fontId="6" fillId="3" borderId="0" xfId="0" applyFont="1" applyFill="1"/>
    <xf numFmtId="0" fontId="7" fillId="2" borderId="0" xfId="0" applyFont="1" applyFill="1" applyProtection="1">
      <protection hidden="1"/>
    </xf>
    <xf numFmtId="0" fontId="7" fillId="2" borderId="0" xfId="0" applyFont="1" applyFill="1"/>
    <xf numFmtId="0" fontId="1" fillId="2" borderId="0" xfId="0" quotePrefix="1" applyFont="1" applyFill="1"/>
    <xf numFmtId="177" fontId="7" fillId="2" borderId="0" xfId="0" applyNumberFormat="1" applyFont="1" applyFill="1" applyProtection="1">
      <protection hidden="1"/>
    </xf>
    <xf numFmtId="1" fontId="1" fillId="2" borderId="0" xfId="0" applyNumberFormat="1" applyFont="1" applyFill="1"/>
    <xf numFmtId="0" fontId="8" fillId="2" borderId="0" xfId="0" applyFont="1" applyFill="1"/>
    <xf numFmtId="177" fontId="9" fillId="4" borderId="0" xfId="0" applyNumberFormat="1" applyFont="1" applyFill="1"/>
    <xf numFmtId="0" fontId="9" fillId="3" borderId="0" xfId="0" applyFont="1" applyFill="1"/>
    <xf numFmtId="177" fontId="1" fillId="5" borderId="0" xfId="0" applyNumberFormat="1" applyFont="1" applyFill="1"/>
    <xf numFmtId="0" fontId="1" fillId="6" borderId="0" xfId="0" applyFont="1" applyFill="1"/>
    <xf numFmtId="1" fontId="1" fillId="2" borderId="1" xfId="0" applyNumberFormat="1" applyFont="1" applyFill="1" applyBorder="1"/>
    <xf numFmtId="1" fontId="3" fillId="2" borderId="0" xfId="0" applyNumberFormat="1" applyFont="1" applyFill="1"/>
    <xf numFmtId="0" fontId="10" fillId="2" borderId="0" xfId="0" applyFont="1" applyFill="1"/>
    <xf numFmtId="0" fontId="10" fillId="2" borderId="0" xfId="0" applyFont="1" applyFill="1" applyProtection="1">
      <protection hidden="1"/>
    </xf>
    <xf numFmtId="0" fontId="7" fillId="2" borderId="0" xfId="0" applyFont="1" applyFill="1" applyBorder="1" applyProtection="1">
      <protection hidden="1"/>
    </xf>
    <xf numFmtId="0" fontId="10" fillId="2" borderId="0" xfId="0" applyFont="1" applyFill="1" applyBorder="1" applyProtection="1">
      <protection hidden="1"/>
    </xf>
    <xf numFmtId="177" fontId="3" fillId="2" borderId="0" xfId="0" applyNumberFormat="1" applyFont="1" applyFill="1"/>
    <xf numFmtId="181" fontId="6" fillId="4" borderId="0" xfId="0" applyNumberFormat="1" applyFont="1" applyFill="1"/>
    <xf numFmtId="181" fontId="1" fillId="4" borderId="0" xfId="0" applyNumberFormat="1" applyFont="1" applyFill="1"/>
    <xf numFmtId="181" fontId="1" fillId="8" borderId="0" xfId="0" applyNumberFormat="1" applyFont="1" applyFill="1" applyProtection="1">
      <protection locked="0"/>
    </xf>
    <xf numFmtId="0" fontId="6" fillId="8" borderId="0" xfId="0" applyFont="1" applyFill="1" applyProtection="1">
      <protection locked="0"/>
    </xf>
    <xf numFmtId="1" fontId="1" fillId="8" borderId="0" xfId="0" applyNumberFormat="1" applyFont="1" applyFill="1" applyProtection="1">
      <protection locked="0"/>
    </xf>
    <xf numFmtId="0" fontId="26" fillId="0" borderId="0" xfId="2"/>
    <xf numFmtId="0" fontId="20" fillId="0" borderId="10" xfId="2" applyFont="1" applyBorder="1" applyProtection="1"/>
    <xf numFmtId="0" fontId="24" fillId="0" borderId="0" xfId="2" applyFont="1"/>
    <xf numFmtId="0" fontId="26" fillId="4" borderId="5" xfId="2" applyFill="1" applyBorder="1" applyAlignment="1">
      <alignment horizontal="left"/>
    </xf>
    <xf numFmtId="0" fontId="26" fillId="4" borderId="0" xfId="2" applyFill="1" applyBorder="1" applyAlignment="1">
      <alignment horizontal="left"/>
    </xf>
    <xf numFmtId="0" fontId="26" fillId="4" borderId="9" xfId="2" applyFill="1" applyBorder="1"/>
    <xf numFmtId="0" fontId="26" fillId="4" borderId="6" xfId="2" applyFill="1" applyBorder="1"/>
    <xf numFmtId="0" fontId="26" fillId="4" borderId="14" xfId="2" applyFill="1" applyBorder="1"/>
    <xf numFmtId="0" fontId="26" fillId="2" borderId="0" xfId="2" applyFill="1"/>
    <xf numFmtId="0" fontId="26" fillId="3" borderId="6" xfId="2" applyFill="1" applyBorder="1"/>
    <xf numFmtId="0" fontId="26" fillId="3" borderId="14" xfId="2" applyFill="1" applyBorder="1"/>
    <xf numFmtId="0" fontId="20" fillId="3" borderId="10" xfId="2" applyFont="1" applyFill="1" applyBorder="1" applyProtection="1"/>
    <xf numFmtId="0" fontId="20" fillId="3" borderId="11" xfId="2" applyFont="1" applyFill="1" applyBorder="1" applyProtection="1"/>
    <xf numFmtId="0" fontId="20" fillId="3" borderId="13" xfId="2" applyFont="1" applyFill="1" applyBorder="1" applyProtection="1"/>
    <xf numFmtId="11" fontId="26" fillId="4" borderId="11" xfId="2" applyNumberFormat="1" applyFill="1" applyBorder="1"/>
    <xf numFmtId="11" fontId="26" fillId="4" borderId="13" xfId="2" applyNumberFormat="1" applyFill="1" applyBorder="1"/>
    <xf numFmtId="1" fontId="21" fillId="4" borderId="8" xfId="2" applyNumberFormat="1" applyFont="1" applyFill="1" applyBorder="1"/>
    <xf numFmtId="178" fontId="21" fillId="4" borderId="1" xfId="2" applyNumberFormat="1" applyFont="1" applyFill="1" applyBorder="1"/>
    <xf numFmtId="0" fontId="26" fillId="3" borderId="10" xfId="2" applyFill="1" applyBorder="1"/>
    <xf numFmtId="0" fontId="26" fillId="3" borderId="11" xfId="2" applyFill="1" applyBorder="1"/>
    <xf numFmtId="0" fontId="26" fillId="3" borderId="13" xfId="2" applyFill="1" applyBorder="1"/>
    <xf numFmtId="11" fontId="26" fillId="4" borderId="10" xfId="2" applyNumberFormat="1" applyFill="1" applyBorder="1"/>
    <xf numFmtId="177" fontId="26" fillId="4" borderId="11" xfId="2" applyNumberFormat="1" applyFill="1" applyBorder="1"/>
    <xf numFmtId="0" fontId="26" fillId="2" borderId="5" xfId="2" applyFill="1" applyBorder="1"/>
    <xf numFmtId="0" fontId="26" fillId="2" borderId="0" xfId="2" applyFill="1" applyBorder="1"/>
    <xf numFmtId="0" fontId="26" fillId="2" borderId="6" xfId="2" applyFill="1" applyBorder="1"/>
    <xf numFmtId="0" fontId="26" fillId="2" borderId="10" xfId="2" applyFill="1" applyBorder="1"/>
    <xf numFmtId="0" fontId="26" fillId="2" borderId="11" xfId="2" applyFill="1" applyBorder="1"/>
    <xf numFmtId="0" fontId="26" fillId="2" borderId="13" xfId="2" applyFill="1" applyBorder="1"/>
    <xf numFmtId="0" fontId="26" fillId="2" borderId="12" xfId="2" applyFill="1" applyBorder="1"/>
    <xf numFmtId="0" fontId="24" fillId="2" borderId="0" xfId="2" applyFont="1" applyFill="1"/>
    <xf numFmtId="0" fontId="26" fillId="4" borderId="1" xfId="2" applyFill="1" applyBorder="1" applyAlignment="1">
      <alignment horizontal="left"/>
    </xf>
    <xf numFmtId="0" fontId="22" fillId="2" borderId="0" xfId="2" applyFont="1" applyFill="1"/>
    <xf numFmtId="0" fontId="25" fillId="2" borderId="0" xfId="2" applyFont="1" applyFill="1"/>
    <xf numFmtId="0" fontId="22" fillId="0" borderId="0" xfId="2" applyFont="1"/>
    <xf numFmtId="11" fontId="26" fillId="4" borderId="10" xfId="2" applyNumberFormat="1" applyFill="1" applyBorder="1" applyProtection="1"/>
    <xf numFmtId="11" fontId="25" fillId="2" borderId="0" xfId="2" applyNumberFormat="1" applyFont="1" applyFill="1"/>
    <xf numFmtId="0" fontId="27" fillId="0" borderId="0" xfId="2" applyFont="1" applyBorder="1"/>
    <xf numFmtId="0" fontId="22" fillId="0" borderId="0" xfId="2" applyFont="1" applyBorder="1"/>
    <xf numFmtId="0" fontId="22" fillId="2" borderId="0" xfId="2" applyFont="1" applyFill="1" applyBorder="1"/>
    <xf numFmtId="11" fontId="28" fillId="0" borderId="0" xfId="1" applyNumberFormat="1" applyFont="1" applyBorder="1"/>
    <xf numFmtId="0" fontId="28" fillId="0" borderId="0" xfId="0" applyFont="1" applyBorder="1"/>
    <xf numFmtId="0" fontId="22" fillId="7" borderId="0" xfId="2" applyFont="1" applyFill="1" applyBorder="1"/>
    <xf numFmtId="0" fontId="26" fillId="0" borderId="0" xfId="2" applyBorder="1" applyAlignment="1"/>
    <xf numFmtId="0" fontId="26" fillId="7" borderId="0" xfId="2" applyFill="1" applyBorder="1" applyAlignment="1"/>
    <xf numFmtId="1" fontId="1" fillId="4" borderId="0" xfId="0" applyNumberFormat="1" applyFont="1" applyFill="1"/>
    <xf numFmtId="0" fontId="1" fillId="2" borderId="0" xfId="0" applyFont="1" applyFill="1"/>
    <xf numFmtId="11" fontId="0" fillId="0" borderId="0" xfId="0" applyNumberFormat="1"/>
    <xf numFmtId="11" fontId="26" fillId="0" borderId="0" xfId="2" applyNumberFormat="1"/>
    <xf numFmtId="11" fontId="26" fillId="2" borderId="0" xfId="2" applyNumberFormat="1" applyFill="1"/>
    <xf numFmtId="11" fontId="22" fillId="2" borderId="0" xfId="2" applyNumberFormat="1" applyFont="1" applyFill="1"/>
    <xf numFmtId="178" fontId="22" fillId="7" borderId="0" xfId="2" applyNumberFormat="1" applyFont="1" applyFill="1" applyBorder="1"/>
    <xf numFmtId="11" fontId="26" fillId="4" borderId="6" xfId="2" applyNumberFormat="1" applyFill="1" applyBorder="1"/>
    <xf numFmtId="0" fontId="20" fillId="2" borderId="7" xfId="2" applyFont="1" applyFill="1" applyBorder="1" applyProtection="1"/>
    <xf numFmtId="1" fontId="21" fillId="4" borderId="0" xfId="2" applyNumberFormat="1" applyFont="1" applyFill="1" applyBorder="1"/>
    <xf numFmtId="11" fontId="22" fillId="7" borderId="8" xfId="2" applyNumberFormat="1" applyFont="1" applyFill="1" applyBorder="1"/>
    <xf numFmtId="0" fontId="23" fillId="7" borderId="9" xfId="2" applyFont="1" applyFill="1" applyBorder="1" applyProtection="1"/>
    <xf numFmtId="0" fontId="23" fillId="7" borderId="6" xfId="2" applyFont="1" applyFill="1" applyBorder="1" applyProtection="1"/>
    <xf numFmtId="178" fontId="22" fillId="7" borderId="1" xfId="2" applyNumberFormat="1" applyFont="1" applyFill="1" applyBorder="1"/>
    <xf numFmtId="0" fontId="23" fillId="7" borderId="14" xfId="2" applyFont="1" applyFill="1" applyBorder="1" applyProtection="1"/>
    <xf numFmtId="0" fontId="26" fillId="2" borderId="7" xfId="2" applyFill="1" applyBorder="1" applyAlignment="1">
      <alignment horizontal="right"/>
    </xf>
    <xf numFmtId="0" fontId="26" fillId="2" borderId="5" xfId="2" applyFill="1" applyBorder="1" applyAlignment="1">
      <alignment horizontal="right"/>
    </xf>
    <xf numFmtId="0" fontId="26" fillId="2" borderId="12" xfId="2" applyFill="1" applyBorder="1" applyAlignment="1">
      <alignment horizontal="right"/>
    </xf>
    <xf numFmtId="0" fontId="28" fillId="0" borderId="0" xfId="0" applyFont="1"/>
    <xf numFmtId="11" fontId="1" fillId="8" borderId="10" xfId="2" applyNumberFormat="1" applyFont="1" applyFill="1" applyBorder="1" applyProtection="1">
      <protection locked="0"/>
    </xf>
    <xf numFmtId="0" fontId="30" fillId="4" borderId="5" xfId="2" applyFont="1" applyFill="1" applyBorder="1" applyAlignment="1">
      <alignment horizontal="left"/>
    </xf>
    <xf numFmtId="11" fontId="29" fillId="4" borderId="11" xfId="2" applyNumberFormat="1" applyFont="1" applyFill="1" applyBorder="1"/>
    <xf numFmtId="0" fontId="30" fillId="3" borderId="6" xfId="2" applyFont="1" applyFill="1" applyBorder="1"/>
    <xf numFmtId="9" fontId="33" fillId="8" borderId="8" xfId="3" applyFont="1" applyFill="1" applyBorder="1" applyProtection="1">
      <protection locked="0"/>
    </xf>
    <xf numFmtId="184" fontId="32" fillId="4" borderId="11" xfId="5" applyNumberFormat="1" applyFont="1" applyFill="1" applyBorder="1"/>
    <xf numFmtId="178" fontId="21" fillId="4" borderId="0" xfId="2" applyNumberFormat="1" applyFont="1" applyFill="1" applyBorder="1"/>
    <xf numFmtId="2" fontId="4" fillId="4" borderId="10" xfId="2" applyNumberFormat="1" applyFont="1" applyFill="1" applyBorder="1"/>
    <xf numFmtId="2" fontId="4" fillId="4" borderId="11" xfId="2" applyNumberFormat="1" applyFont="1" applyFill="1" applyBorder="1"/>
    <xf numFmtId="2" fontId="4" fillId="4" borderId="13" xfId="2" applyNumberFormat="1" applyFont="1" applyFill="1" applyBorder="1"/>
    <xf numFmtId="0" fontId="34" fillId="0" borderId="10" xfId="2" applyFont="1" applyBorder="1" applyProtection="1"/>
    <xf numFmtId="0" fontId="34" fillId="0" borderId="11" xfId="2" applyFont="1" applyBorder="1" applyProtection="1"/>
    <xf numFmtId="0" fontId="34" fillId="0" borderId="13" xfId="2" applyFont="1" applyBorder="1" applyProtection="1"/>
    <xf numFmtId="11" fontId="26" fillId="4" borderId="11" xfId="2" applyNumberFormat="1" applyFont="1" applyFill="1" applyBorder="1"/>
    <xf numFmtId="0" fontId="26" fillId="3" borderId="9" xfId="2" applyFont="1" applyFill="1" applyBorder="1"/>
    <xf numFmtId="0" fontId="26" fillId="4" borderId="5" xfId="2" applyFont="1" applyFill="1" applyBorder="1" applyAlignment="1">
      <alignment horizontal="left"/>
    </xf>
    <xf numFmtId="0" fontId="26" fillId="4" borderId="0" xfId="2" applyFont="1" applyFill="1" applyBorder="1" applyAlignment="1">
      <alignment horizontal="left"/>
    </xf>
    <xf numFmtId="0" fontId="26" fillId="3" borderId="6" xfId="2" applyFont="1" applyFill="1" applyBorder="1"/>
    <xf numFmtId="0" fontId="3" fillId="2" borderId="0" xfId="0" applyFont="1" applyFill="1" applyProtection="1">
      <protection hidden="1"/>
    </xf>
    <xf numFmtId="177" fontId="3" fillId="2" borderId="0" xfId="0" applyNumberFormat="1" applyFont="1" applyFill="1" applyProtection="1">
      <protection hidden="1"/>
    </xf>
    <xf numFmtId="178" fontId="3" fillId="2" borderId="0" xfId="0" applyNumberFormat="1" applyFont="1" applyFill="1" applyProtection="1">
      <protection hidden="1"/>
    </xf>
    <xf numFmtId="11" fontId="1" fillId="8" borderId="17" xfId="2" applyNumberFormat="1" applyFont="1" applyFill="1" applyBorder="1" applyProtection="1">
      <protection locked="0"/>
    </xf>
    <xf numFmtId="0" fontId="26" fillId="3" borderId="18" xfId="2" applyFill="1" applyBorder="1"/>
    <xf numFmtId="0" fontId="25" fillId="2" borderId="0" xfId="2" applyFont="1" applyFill="1" applyBorder="1"/>
    <xf numFmtId="11" fontId="35" fillId="0" borderId="0" xfId="1" applyNumberFormat="1" applyFont="1" applyBorder="1"/>
    <xf numFmtId="2" fontId="1" fillId="4" borderId="0" xfId="0" applyNumberFormat="1" applyFont="1" applyFill="1" applyAlignment="1">
      <alignment horizontal="right" vertical="center"/>
    </xf>
    <xf numFmtId="181" fontId="9" fillId="4" borderId="0" xfId="0" applyNumberFormat="1" applyFont="1" applyFill="1"/>
    <xf numFmtId="1" fontId="1" fillId="4" borderId="0" xfId="0" applyNumberFormat="1" applyFont="1" applyFill="1" applyAlignment="1">
      <alignment horizontal="right" vertical="center"/>
    </xf>
    <xf numFmtId="0" fontId="30" fillId="4" borderId="12" xfId="2" applyFont="1" applyFill="1" applyBorder="1" applyAlignment="1">
      <alignment horizontal="left"/>
    </xf>
    <xf numFmtId="0" fontId="7" fillId="2" borderId="0" xfId="2" applyFont="1" applyFill="1" applyBorder="1" applyAlignment="1"/>
    <xf numFmtId="0" fontId="3" fillId="2" borderId="0" xfId="0" applyFont="1" applyFill="1" applyBorder="1" applyProtection="1">
      <protection hidden="1"/>
    </xf>
    <xf numFmtId="0" fontId="1" fillId="2" borderId="0" xfId="0" applyFont="1" applyFill="1" applyAlignment="1">
      <alignment horizontal="right"/>
    </xf>
    <xf numFmtId="0" fontId="0" fillId="7" borderId="0" xfId="0" applyFill="1"/>
    <xf numFmtId="0" fontId="13" fillId="7" borderId="0" xfId="1" applyFill="1"/>
    <xf numFmtId="0" fontId="26" fillId="7" borderId="0" xfId="2" applyFill="1"/>
    <xf numFmtId="0" fontId="40" fillId="7" borderId="5" xfId="0" applyFont="1" applyFill="1" applyBorder="1" applyAlignment="1">
      <alignment vertical="top" wrapText="1"/>
    </xf>
    <xf numFmtId="0" fontId="40" fillId="7" borderId="0" xfId="0" applyFont="1" applyFill="1" applyBorder="1" applyAlignment="1">
      <alignment vertical="top" wrapText="1"/>
    </xf>
    <xf numFmtId="0" fontId="22" fillId="7" borderId="0" xfId="2" applyFont="1" applyFill="1"/>
    <xf numFmtId="0" fontId="1" fillId="8" borderId="0" xfId="0" applyFont="1" applyFill="1" applyProtection="1">
      <protection locked="0"/>
    </xf>
    <xf numFmtId="181" fontId="1" fillId="8" borderId="0" xfId="0" applyNumberFormat="1" applyFont="1" applyFill="1" applyProtection="1">
      <protection locked="0"/>
    </xf>
    <xf numFmtId="0" fontId="7" fillId="2" borderId="0" xfId="0" applyFont="1" applyFill="1" applyProtection="1">
      <protection hidden="1"/>
    </xf>
    <xf numFmtId="0" fontId="7" fillId="2" borderId="0" xfId="0" applyFont="1" applyFill="1"/>
    <xf numFmtId="177" fontId="7" fillId="2" borderId="0" xfId="0" applyNumberFormat="1" applyFont="1" applyFill="1" applyProtection="1">
      <protection hidden="1"/>
    </xf>
    <xf numFmtId="0" fontId="10" fillId="2" borderId="0" xfId="0" applyFont="1" applyFill="1" applyProtection="1">
      <protection hidden="1"/>
    </xf>
    <xf numFmtId="0" fontId="7" fillId="2" borderId="0" xfId="0" applyFont="1" applyFill="1" applyBorder="1" applyProtection="1">
      <protection hidden="1"/>
    </xf>
    <xf numFmtId="0" fontId="10" fillId="2" borderId="0" xfId="0" applyFont="1" applyFill="1" applyBorder="1" applyProtection="1">
      <protection hidden="1"/>
    </xf>
    <xf numFmtId="0" fontId="1" fillId="2" borderId="0" xfId="0" applyFont="1" applyFill="1" applyProtection="1">
      <protection hidden="1"/>
    </xf>
    <xf numFmtId="0" fontId="1" fillId="2" borderId="0" xfId="0" applyFont="1" applyFill="1" applyBorder="1" applyProtection="1">
      <protection hidden="1"/>
    </xf>
    <xf numFmtId="0" fontId="0" fillId="2" borderId="0" xfId="0" applyFill="1"/>
    <xf numFmtId="11" fontId="7" fillId="2" borderId="0" xfId="0" applyNumberFormat="1" applyFont="1" applyFill="1" applyProtection="1">
      <protection hidden="1"/>
    </xf>
    <xf numFmtId="0" fontId="7" fillId="2" borderId="0" xfId="0" quotePrefix="1" applyFont="1" applyFill="1" applyProtection="1">
      <protection hidden="1"/>
    </xf>
    <xf numFmtId="11" fontId="7" fillId="2" borderId="0" xfId="0" applyNumberFormat="1" applyFont="1" applyFill="1" applyBorder="1" applyProtection="1">
      <protection hidden="1"/>
    </xf>
    <xf numFmtId="0" fontId="37" fillId="2" borderId="0" xfId="0" applyFont="1" applyFill="1" applyProtection="1">
      <protection hidden="1"/>
    </xf>
    <xf numFmtId="1" fontId="7" fillId="2" borderId="0" xfId="0" applyNumberFormat="1" applyFont="1" applyFill="1" applyProtection="1">
      <protection hidden="1"/>
    </xf>
    <xf numFmtId="179" fontId="7" fillId="2" borderId="0" xfId="0" applyNumberFormat="1" applyFont="1" applyFill="1" applyProtection="1">
      <protection hidden="1"/>
    </xf>
    <xf numFmtId="180" fontId="7" fillId="2" borderId="0" xfId="0" applyNumberFormat="1" applyFont="1" applyFill="1" applyProtection="1">
      <protection hidden="1"/>
    </xf>
    <xf numFmtId="0" fontId="7" fillId="0" borderId="0" xfId="0" applyFont="1" applyFill="1" applyBorder="1" applyProtection="1">
      <protection hidden="1"/>
    </xf>
    <xf numFmtId="1" fontId="7" fillId="2" borderId="0" xfId="0" applyNumberFormat="1" applyFont="1" applyFill="1" applyBorder="1" applyProtection="1">
      <protection hidden="1"/>
    </xf>
    <xf numFmtId="4" fontId="7" fillId="2" borderId="0" xfId="0" applyNumberFormat="1" applyFont="1" applyFill="1" applyProtection="1">
      <protection hidden="1"/>
    </xf>
    <xf numFmtId="0" fontId="38" fillId="2" borderId="0" xfId="0" applyFont="1" applyFill="1" applyProtection="1">
      <protection hidden="1"/>
    </xf>
    <xf numFmtId="185" fontId="7" fillId="2" borderId="0" xfId="0" applyNumberFormat="1" applyFont="1" applyFill="1" applyProtection="1">
      <protection hidden="1"/>
    </xf>
    <xf numFmtId="177" fontId="38" fillId="2" borderId="0" xfId="0" applyNumberFormat="1" applyFont="1" applyFill="1" applyProtection="1">
      <protection hidden="1"/>
    </xf>
    <xf numFmtId="0" fontId="26" fillId="2" borderId="0" xfId="0" applyFont="1" applyFill="1"/>
    <xf numFmtId="0" fontId="1" fillId="2" borderId="1" xfId="0" applyFont="1" applyFill="1" applyBorder="1" applyProtection="1">
      <protection hidden="1"/>
    </xf>
    <xf numFmtId="0" fontId="11" fillId="2" borderId="0" xfId="0" applyFont="1" applyFill="1" applyProtection="1">
      <protection hidden="1"/>
    </xf>
    <xf numFmtId="0" fontId="12" fillId="2" borderId="0" xfId="0" applyFont="1" applyFill="1" applyProtection="1">
      <protection hidden="1"/>
    </xf>
    <xf numFmtId="0" fontId="1" fillId="3" borderId="0" xfId="0" applyFont="1" applyFill="1" applyProtection="1">
      <protection hidden="1"/>
    </xf>
    <xf numFmtId="2" fontId="1" fillId="4" borderId="0" xfId="0" applyNumberFormat="1" applyFont="1" applyFill="1" applyProtection="1">
      <protection hidden="1"/>
    </xf>
    <xf numFmtId="0" fontId="4" fillId="2" borderId="0" xfId="0" applyFont="1" applyFill="1" applyProtection="1">
      <protection hidden="1"/>
    </xf>
    <xf numFmtId="0" fontId="7" fillId="2" borderId="0" xfId="0" applyFont="1" applyFill="1" applyBorder="1" applyAlignment="1" applyProtection="1">
      <alignment horizontal="center"/>
      <protection hidden="1"/>
    </xf>
    <xf numFmtId="177" fontId="7" fillId="2" borderId="0" xfId="0" applyNumberFormat="1" applyFont="1" applyFill="1" applyBorder="1" applyAlignment="1" applyProtection="1">
      <alignment horizontal="center"/>
      <protection hidden="1"/>
    </xf>
    <xf numFmtId="2" fontId="7" fillId="2" borderId="0" xfId="0" applyNumberFormat="1" applyFont="1" applyFill="1" applyBorder="1" applyAlignment="1" applyProtection="1">
      <alignment horizontal="center"/>
      <protection hidden="1"/>
    </xf>
    <xf numFmtId="177" fontId="7" fillId="2" borderId="0" xfId="0" applyNumberFormat="1" applyFont="1" applyFill="1" applyBorder="1" applyProtection="1">
      <protection hidden="1"/>
    </xf>
    <xf numFmtId="183" fontId="7" fillId="2" borderId="0" xfId="0" applyNumberFormat="1" applyFont="1" applyFill="1" applyBorder="1" applyProtection="1">
      <protection hidden="1"/>
    </xf>
    <xf numFmtId="182" fontId="7" fillId="2" borderId="0" xfId="0" applyNumberFormat="1" applyFont="1" applyFill="1" applyProtection="1">
      <protection hidden="1"/>
    </xf>
    <xf numFmtId="0" fontId="14" fillId="2" borderId="0" xfId="0" applyFont="1" applyFill="1" applyProtection="1">
      <protection hidden="1"/>
    </xf>
    <xf numFmtId="0" fontId="7" fillId="7" borderId="0" xfId="0" applyFont="1" applyFill="1" applyProtection="1">
      <protection hidden="1"/>
    </xf>
    <xf numFmtId="0" fontId="7" fillId="2" borderId="0" xfId="0" applyFont="1" applyFill="1" applyAlignment="1" applyProtection="1">
      <alignment horizontal="right"/>
      <protection hidden="1"/>
    </xf>
    <xf numFmtId="0" fontId="7" fillId="7" borderId="0" xfId="2" applyFont="1" applyFill="1"/>
    <xf numFmtId="0" fontId="22" fillId="7" borderId="0" xfId="2" quotePrefix="1" applyFont="1" applyFill="1"/>
    <xf numFmtId="11" fontId="22" fillId="7" borderId="0" xfId="2" applyNumberFormat="1" applyFont="1" applyFill="1"/>
    <xf numFmtId="0" fontId="28" fillId="7" borderId="0" xfId="0" applyFont="1" applyFill="1"/>
    <xf numFmtId="0" fontId="22" fillId="7" borderId="0" xfId="2" applyFont="1" applyFill="1" applyAlignment="1">
      <alignment horizontal="center"/>
    </xf>
    <xf numFmtId="0" fontId="27" fillId="7" borderId="0" xfId="2" applyFont="1" applyFill="1" applyBorder="1"/>
    <xf numFmtId="0" fontId="7" fillId="7" borderId="0" xfId="2" applyFont="1" applyFill="1" applyAlignment="1">
      <alignment horizontal="center"/>
    </xf>
    <xf numFmtId="11" fontId="7" fillId="7" borderId="0" xfId="2" applyNumberFormat="1" applyFont="1" applyFill="1" applyAlignment="1">
      <alignment horizontal="center"/>
    </xf>
    <xf numFmtId="0" fontId="7" fillId="7" borderId="0" xfId="2" quotePrefix="1" applyFont="1" applyFill="1" applyAlignment="1">
      <alignment horizontal="left"/>
    </xf>
    <xf numFmtId="0" fontId="7" fillId="7" borderId="0" xfId="2" quotePrefix="1" applyFont="1" applyFill="1" applyAlignment="1">
      <alignment horizontal="center"/>
    </xf>
    <xf numFmtId="0" fontId="7" fillId="7" borderId="0" xfId="2" quotePrefix="1" applyFont="1" applyFill="1"/>
    <xf numFmtId="0" fontId="22" fillId="7" borderId="0" xfId="2" quotePrefix="1" applyFont="1" applyFill="1" applyBorder="1"/>
    <xf numFmtId="11" fontId="28" fillId="7" borderId="0" xfId="1" applyNumberFormat="1" applyFont="1" applyFill="1" applyBorder="1"/>
    <xf numFmtId="11" fontId="22" fillId="7" borderId="0" xfId="2" applyNumberFormat="1" applyFont="1" applyFill="1" applyBorder="1" applyProtection="1">
      <protection hidden="1"/>
    </xf>
    <xf numFmtId="0" fontId="22" fillId="7" borderId="0" xfId="2" applyFont="1" applyFill="1" applyBorder="1" applyProtection="1">
      <protection hidden="1"/>
    </xf>
    <xf numFmtId="0" fontId="26" fillId="2" borderId="0" xfId="2" applyFill="1" applyBorder="1" applyProtection="1">
      <protection hidden="1"/>
    </xf>
    <xf numFmtId="0" fontId="26" fillId="2" borderId="0" xfId="2" applyFill="1" applyProtection="1">
      <protection hidden="1"/>
    </xf>
    <xf numFmtId="11" fontId="7" fillId="7" borderId="0" xfId="2" applyNumberFormat="1" applyFont="1" applyFill="1" applyBorder="1" applyProtection="1">
      <protection locked="0" hidden="1"/>
    </xf>
    <xf numFmtId="0" fontId="22" fillId="2" borderId="0" xfId="2" applyFont="1" applyFill="1" applyProtection="1">
      <protection hidden="1"/>
    </xf>
    <xf numFmtId="0" fontId="23" fillId="2" borderId="0" xfId="2" applyFont="1" applyFill="1" applyBorder="1" applyProtection="1">
      <protection hidden="1"/>
    </xf>
    <xf numFmtId="2" fontId="22" fillId="2" borderId="0" xfId="2" applyNumberFormat="1" applyFont="1" applyFill="1" applyBorder="1" applyProtection="1">
      <protection hidden="1"/>
    </xf>
    <xf numFmtId="0" fontId="22" fillId="7" borderId="0" xfId="2" applyFont="1" applyFill="1" applyProtection="1">
      <protection hidden="1"/>
    </xf>
    <xf numFmtId="11" fontId="22" fillId="7" borderId="0" xfId="2" applyNumberFormat="1" applyFont="1" applyFill="1" applyProtection="1">
      <protection hidden="1"/>
    </xf>
    <xf numFmtId="0" fontId="21" fillId="4" borderId="19" xfId="2" applyFont="1" applyFill="1" applyBorder="1"/>
    <xf numFmtId="181" fontId="1" fillId="8" borderId="0" xfId="0" applyNumberFormat="1" applyFont="1" applyFill="1" applyAlignment="1" applyProtection="1">
      <alignment horizontal="center"/>
      <protection locked="0"/>
    </xf>
    <xf numFmtId="0" fontId="7" fillId="7" borderId="0" xfId="2" applyFont="1" applyFill="1" applyAlignment="1">
      <alignment horizontal="center"/>
    </xf>
    <xf numFmtId="0" fontId="26" fillId="4" borderId="7" xfId="2" applyFill="1" applyBorder="1" applyAlignment="1"/>
    <xf numFmtId="0" fontId="26" fillId="0" borderId="9" xfId="2" applyBorder="1" applyAlignment="1"/>
    <xf numFmtId="0" fontId="26" fillId="4" borderId="5" xfId="2" applyFill="1" applyBorder="1" applyAlignment="1"/>
    <xf numFmtId="0" fontId="26" fillId="0" borderId="6" xfId="2" applyBorder="1" applyAlignment="1"/>
    <xf numFmtId="0" fontId="26" fillId="4" borderId="15" xfId="2" applyFill="1" applyBorder="1" applyAlignment="1"/>
    <xf numFmtId="0" fontId="26" fillId="0" borderId="16" xfId="2" applyBorder="1" applyAlignment="1"/>
    <xf numFmtId="0" fontId="22" fillId="7" borderId="0" xfId="2" applyFont="1" applyFill="1" applyBorder="1" applyAlignment="1" applyProtection="1">
      <protection hidden="1"/>
    </xf>
    <xf numFmtId="0" fontId="7" fillId="2" borderId="0" xfId="2" applyFont="1" applyFill="1" applyBorder="1" applyAlignment="1">
      <alignment horizontal="center"/>
    </xf>
    <xf numFmtId="0" fontId="16" fillId="9" borderId="0" xfId="2" applyFont="1" applyFill="1" applyAlignment="1">
      <alignment horizontal="center"/>
    </xf>
    <xf numFmtId="0" fontId="26" fillId="0" borderId="0" xfId="2" applyAlignment="1"/>
    <xf numFmtId="0" fontId="17" fillId="9" borderId="0" xfId="2" applyFont="1" applyFill="1" applyAlignment="1">
      <alignment horizontal="center"/>
    </xf>
    <xf numFmtId="0" fontId="1" fillId="10" borderId="2" xfId="2" applyFont="1" applyFill="1" applyBorder="1" applyAlignment="1">
      <alignment horizontal="center"/>
    </xf>
    <xf numFmtId="0" fontId="26" fillId="0" borderId="3" xfId="2" applyBorder="1" applyAlignment="1">
      <alignment horizontal="center"/>
    </xf>
    <xf numFmtId="0" fontId="26" fillId="0" borderId="4" xfId="2" applyBorder="1" applyAlignment="1">
      <alignment horizontal="center"/>
    </xf>
    <xf numFmtId="0" fontId="26" fillId="4" borderId="7" xfId="2" applyFont="1" applyFill="1" applyBorder="1" applyAlignment="1">
      <alignment horizontal="left"/>
    </xf>
    <xf numFmtId="0" fontId="26" fillId="0" borderId="8" xfId="2" applyFont="1" applyBorder="1" applyAlignment="1">
      <alignment horizontal="left"/>
    </xf>
    <xf numFmtId="0" fontId="26" fillId="0" borderId="9" xfId="2" applyFont="1" applyBorder="1" applyAlignment="1">
      <alignment horizontal="left"/>
    </xf>
    <xf numFmtId="0" fontId="26" fillId="10" borderId="2" xfId="2" applyFill="1" applyBorder="1" applyAlignment="1">
      <alignment horizontal="center"/>
    </xf>
    <xf numFmtId="0" fontId="1" fillId="10" borderId="3" xfId="2" applyFont="1" applyFill="1" applyBorder="1" applyAlignment="1">
      <alignment horizontal="center"/>
    </xf>
    <xf numFmtId="0" fontId="1" fillId="10" borderId="4" xfId="2" applyFont="1" applyFill="1" applyBorder="1" applyAlignment="1">
      <alignment horizontal="center"/>
    </xf>
    <xf numFmtId="0" fontId="13" fillId="7" borderId="5" xfId="1" applyFill="1" applyBorder="1" applyAlignment="1">
      <alignment horizontal="left" vertical="top" wrapText="1"/>
    </xf>
    <xf numFmtId="0" fontId="13" fillId="7" borderId="0" xfId="1" applyFill="1" applyBorder="1" applyAlignment="1">
      <alignment horizontal="left" vertical="top" wrapText="1"/>
    </xf>
    <xf numFmtId="0" fontId="18" fillId="7" borderId="0" xfId="1" applyFont="1" applyFill="1" applyBorder="1" applyAlignment="1">
      <alignment horizontal="left" vertical="top" wrapText="1"/>
    </xf>
    <xf numFmtId="0" fontId="7" fillId="7" borderId="0" xfId="2" applyFont="1" applyFill="1" applyBorder="1" applyAlignment="1">
      <alignment horizontal="center"/>
    </xf>
  </cellXfs>
  <cellStyles count="7">
    <cellStyle name="Normal 2" xfId="1"/>
    <cellStyle name="Normal 3" xfId="2"/>
    <cellStyle name="Normal 4" xfId="6"/>
    <cellStyle name="Percent 2" xfId="4"/>
    <cellStyle name="Percent 3" xfId="3"/>
    <cellStyle name="常规" xfId="0" builtinId="0"/>
    <cellStyle name="千位分隔" xfId="5" builtinId="3"/>
  </cellStyles>
  <dxfs count="4"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</dxfs>
  <tableStyles count="0" defaultTableStyle="TableStyleMedium2" defaultPivotStyle="PivotStyleLight16"/>
  <colors>
    <mruColors>
      <color rgb="FFFFFF66"/>
      <color rgb="FFFFFF93"/>
      <color rgb="FFFFCC66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1.xml"/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10" Type="http://schemas.openxmlformats.org/officeDocument/2006/relationships/customXml" Target="../customXml/item3.xml"/><Relationship Id="rId4" Type="http://schemas.openxmlformats.org/officeDocument/2006/relationships/theme" Target="theme/theme1.xml"/><Relationship Id="rId9" Type="http://schemas.openxmlformats.org/officeDocument/2006/relationships/customXml" Target="../customXml/item2.xml"/></Relationships>
</file>

<file path=xl/charts/_rels/chart3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4.xml"/></Relationships>
</file>

<file path=xl/charts/_rels/chart4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5.xml"/></Relationships>
</file>

<file path=xl/charts/_rels/chart5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6.xml"/></Relationships>
</file>

<file path=xl/charts/_rels/chart6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7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zh-CN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800" b="1" i="0" u="none" strike="noStrike" baseline="0">
                <a:solidFill>
                  <a:srgbClr val="000000"/>
                </a:solidFill>
                <a:latin typeface="Arial Narrow"/>
                <a:ea typeface="Arial Narrow"/>
                <a:cs typeface="Arial Narrow"/>
              </a:defRPr>
            </a:pPr>
            <a:r>
              <a:rPr lang="en-US"/>
              <a:t>Power Loss Distribution Chart</a:t>
            </a:r>
          </a:p>
        </c:rich>
      </c:tx>
      <c:layout>
        <c:manualLayout>
          <c:xMode val="edge"/>
          <c:yMode val="edge"/>
          <c:x val="0.30381468498736203"/>
          <c:y val="3.1042128603104215E-2"/>
        </c:manualLayout>
      </c:layout>
      <c:overlay val="0"/>
      <c:spPr>
        <a:noFill/>
        <a:ln w="25400">
          <a:noFill/>
        </a:ln>
      </c:spPr>
    </c:title>
    <c:autoTitleDeleted val="0"/>
    <c:plotArea>
      <c:layout>
        <c:manualLayout>
          <c:layoutTarget val="inner"/>
          <c:xMode val="edge"/>
          <c:yMode val="edge"/>
          <c:x val="0.13623978201634879"/>
          <c:y val="0.19290486517035188"/>
          <c:w val="0.82152588555858308"/>
          <c:h val="0.58758378471429018"/>
        </c:manualLayout>
      </c:layout>
      <c:barChart>
        <c:barDir val="col"/>
        <c:grouping val="stacked"/>
        <c:varyColors val="0"/>
        <c:ser>
          <c:idx val="0"/>
          <c:order val="0"/>
          <c:tx>
            <c:v>Conduction Losses</c:v>
          </c:tx>
          <c:spPr>
            <a:solidFill>
              <a:srgbClr val="00B0F0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cat>
            <c:strRef>
              <c:f>'Power Loss'!$J$15:$J$19</c:f>
              <c:strCache>
                <c:ptCount val="5"/>
                <c:pt idx="0">
                  <c:v>Upper MOSFET</c:v>
                </c:pt>
                <c:pt idx="1">
                  <c:v>Lower MOSFET</c:v>
                </c:pt>
                <c:pt idx="2">
                  <c:v>Driver</c:v>
                </c:pt>
                <c:pt idx="3">
                  <c:v>Output Inductor</c:v>
                </c:pt>
                <c:pt idx="4">
                  <c:v>Ouput Cap. ESR</c:v>
                </c:pt>
              </c:strCache>
            </c:strRef>
          </c:cat>
          <c:val>
            <c:numRef>
              <c:f>'Power Loss'!$K$15:$K$19</c:f>
              <c:numCache>
                <c:formatCode>0.000</c:formatCode>
                <c:ptCount val="5"/>
                <c:pt idx="0">
                  <c:v>0.71751979909038066</c:v>
                </c:pt>
                <c:pt idx="1">
                  <c:v>0.34461423391816759</c:v>
                </c:pt>
                <c:pt idx="2">
                  <c:v>0</c:v>
                </c:pt>
                <c:pt idx="3">
                  <c:v>0.28149835700211456</c:v>
                </c:pt>
                <c:pt idx="4" formatCode="0.000E+00">
                  <c:v>1.4372946252643221E-4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4932-4B99-9F03-0877E8B67724}"/>
            </c:ext>
          </c:extLst>
        </c:ser>
        <c:ser>
          <c:idx val="1"/>
          <c:order val="1"/>
          <c:tx>
            <c:v>Switching Losses</c:v>
          </c:tx>
          <c:spPr>
            <a:solidFill>
              <a:srgbClr val="FF0000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cat>
            <c:strRef>
              <c:f>'Power Loss'!$J$15:$J$19</c:f>
              <c:strCache>
                <c:ptCount val="5"/>
                <c:pt idx="0">
                  <c:v>Upper MOSFET</c:v>
                </c:pt>
                <c:pt idx="1">
                  <c:v>Lower MOSFET</c:v>
                </c:pt>
                <c:pt idx="2">
                  <c:v>Driver</c:v>
                </c:pt>
                <c:pt idx="3">
                  <c:v>Output Inductor</c:v>
                </c:pt>
                <c:pt idx="4">
                  <c:v>Ouput Cap. ESR</c:v>
                </c:pt>
              </c:strCache>
            </c:strRef>
          </c:cat>
          <c:val>
            <c:numRef>
              <c:f>'Power Loss'!$L$15:$L$19</c:f>
              <c:numCache>
                <c:formatCode>0.000</c:formatCode>
                <c:ptCount val="5"/>
                <c:pt idx="0">
                  <c:v>3.3550344827586211E-2</c:v>
                </c:pt>
                <c:pt idx="1">
                  <c:v>2.343060901181665E-2</c:v>
                </c:pt>
                <c:pt idx="2">
                  <c:v>7.9999999999999993E-4</c:v>
                </c:pt>
                <c:pt idx="3">
                  <c:v>1.2963177953722944E-2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4932-4B99-9F03-0877E8B67724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overlap val="100"/>
        <c:axId val="84106240"/>
        <c:axId val="84117760"/>
      </c:barChart>
      <c:catAx>
        <c:axId val="84106240"/>
        <c:scaling>
          <c:orientation val="minMax"/>
        </c:scaling>
        <c:delete val="0"/>
        <c:axPos val="b"/>
        <c:title>
          <c:tx>
            <c:rich>
              <a:bodyPr/>
              <a:lstStyle/>
              <a:p>
                <a:pPr>
                  <a:defRPr sz="1200" b="1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r>
                  <a:rPr lang="en-US"/>
                  <a:t>Component</a:t>
                </a:r>
              </a:p>
            </c:rich>
          </c:tx>
          <c:layout>
            <c:manualLayout>
              <c:xMode val="edge"/>
              <c:yMode val="edge"/>
              <c:x val="0.48092643637510962"/>
              <c:y val="0.90465725043793022"/>
            </c:manualLayout>
          </c:layout>
          <c:overlay val="0"/>
          <c:spPr>
            <a:noFill/>
            <a:ln w="25400">
              <a:noFill/>
            </a:ln>
          </c:spPr>
        </c:title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2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zh-CN"/>
          </a:p>
        </c:txPr>
        <c:crossAx val="84117760"/>
        <c:crosses val="autoZero"/>
        <c:auto val="1"/>
        <c:lblAlgn val="ctr"/>
        <c:lblOffset val="100"/>
        <c:tickLblSkip val="1"/>
        <c:tickMarkSkip val="1"/>
        <c:noMultiLvlLbl val="0"/>
      </c:catAx>
      <c:valAx>
        <c:axId val="84117760"/>
        <c:scaling>
          <c:orientation val="minMax"/>
        </c:scaling>
        <c:delete val="0"/>
        <c:axPos val="l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title>
          <c:tx>
            <c:rich>
              <a:bodyPr/>
              <a:lstStyle/>
              <a:p>
                <a:pPr>
                  <a:defRPr sz="1200" b="1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r>
                  <a:rPr lang="en-US"/>
                  <a:t>Watts</a:t>
                </a:r>
              </a:p>
            </c:rich>
          </c:tx>
          <c:layout>
            <c:manualLayout>
              <c:xMode val="edge"/>
              <c:yMode val="edge"/>
              <c:x val="2.0435965979813949E-2"/>
              <c:y val="0.43237297111696954"/>
            </c:manualLayout>
          </c:layout>
          <c:overlay val="0"/>
          <c:spPr>
            <a:noFill/>
            <a:ln w="25400">
              <a:noFill/>
            </a:ln>
          </c:spPr>
        </c:title>
        <c:numFmt formatCode="0.000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2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zh-CN"/>
          </a:p>
        </c:txPr>
        <c:crossAx val="84106240"/>
        <c:crosses val="autoZero"/>
        <c:crossBetween val="between"/>
      </c:valAx>
      <c:spPr>
        <a:solidFill>
          <a:srgbClr val="FFFFFF"/>
        </a:solidFill>
        <a:ln w="12700">
          <a:solidFill>
            <a:srgbClr val="000000"/>
          </a:solidFill>
          <a:prstDash val="solid"/>
        </a:ln>
      </c:spPr>
    </c:plotArea>
    <c:legend>
      <c:legendPos val="r"/>
      <c:layout>
        <c:manualLayout>
          <c:xMode val="edge"/>
          <c:yMode val="edge"/>
          <c:x val="0.74240464327692202"/>
          <c:y val="0.1906875942059349"/>
          <c:w val="0.21312211138733153"/>
          <c:h val="0.10864768289773091"/>
        </c:manualLayout>
      </c:layout>
      <c:overlay val="0"/>
      <c:spPr>
        <a:solidFill>
          <a:srgbClr val="C0C0C0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>
            <a:defRPr sz="850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zh-CN"/>
        </a:p>
      </c:txPr>
    </c:legend>
    <c:plotVisOnly val="1"/>
    <c:dispBlanksAs val="gap"/>
    <c:showDLblsOverMax val="0"/>
  </c:chart>
  <c:spPr>
    <a:solidFill>
      <a:srgbClr val="FFFFFF"/>
    </a:solidFill>
    <a:ln w="38100">
      <a:solidFill>
        <a:srgbClr val="0070C0"/>
      </a:solidFill>
    </a:ln>
  </c:spPr>
  <c:txPr>
    <a:bodyPr/>
    <a:lstStyle/>
    <a:p>
      <a:pPr>
        <a:defRPr sz="12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zh-CN"/>
    </a:p>
  </c:txPr>
  <c:printSettings>
    <c:headerFooter alignWithMargins="0"/>
    <c:pageMargins b="1" l="0.75" r="0.75" t="1" header="0.5" footer="0.5"/>
    <c:pageSetup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zh-CN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475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n-US"/>
              <a:t>Efficiency Vs. Load </a:t>
            </a:r>
          </a:p>
        </c:rich>
      </c:tx>
      <c:layout>
        <c:manualLayout>
          <c:xMode val="edge"/>
          <c:yMode val="edge"/>
          <c:x val="0.41950159904292006"/>
          <c:y val="3.1369609150293916E-2"/>
        </c:manualLayout>
      </c:layout>
      <c:overlay val="0"/>
      <c:spPr>
        <a:noFill/>
        <a:ln w="25400">
          <a:noFill/>
        </a:ln>
      </c:spPr>
    </c:title>
    <c:autoTitleDeleted val="0"/>
    <c:plotArea>
      <c:layout>
        <c:manualLayout>
          <c:layoutTarget val="inner"/>
          <c:xMode val="edge"/>
          <c:yMode val="edge"/>
          <c:x val="7.3791440282383464E-2"/>
          <c:y val="0.16374300176466894"/>
          <c:w val="0.88295275096507109"/>
          <c:h val="0.72814319136625494"/>
        </c:manualLayout>
      </c:layout>
      <c:scatterChart>
        <c:scatterStyle val="smoothMarker"/>
        <c:varyColors val="0"/>
        <c:ser>
          <c:idx val="0"/>
          <c:order val="0"/>
          <c:tx>
            <c:v>Calculated</c:v>
          </c:tx>
          <c:spPr>
            <a:ln w="47625">
              <a:solidFill>
                <a:srgbClr val="00B0F0"/>
              </a:solidFill>
            </a:ln>
          </c:spPr>
          <c:marker>
            <c:symbol val="none"/>
          </c:marker>
          <c:xVal>
            <c:numRef>
              <c:f>'Efficiency Summary'!$A$12:$A$41</c:f>
              <c:numCache>
                <c:formatCode>General</c:formatCode>
                <c:ptCount val="30"/>
                <c:pt idx="0">
                  <c:v>1E-3</c:v>
                </c:pt>
                <c:pt idx="1">
                  <c:v>3.9990000000000008E-3</c:v>
                </c:pt>
                <c:pt idx="2">
                  <c:v>6.9980000000000007E-3</c:v>
                </c:pt>
                <c:pt idx="3">
                  <c:v>1.2996000000000001E-2</c:v>
                </c:pt>
                <c:pt idx="4">
                  <c:v>1.8994E-2</c:v>
                </c:pt>
                <c:pt idx="5">
                  <c:v>2.4992000000000004E-2</c:v>
                </c:pt>
                <c:pt idx="6">
                  <c:v>3.0990000000000004E-2</c:v>
                </c:pt>
                <c:pt idx="7">
                  <c:v>6.0980000000000006E-2</c:v>
                </c:pt>
                <c:pt idx="8">
                  <c:v>0.12096000000000001</c:v>
                </c:pt>
                <c:pt idx="9">
                  <c:v>0.18093999999999999</c:v>
                </c:pt>
                <c:pt idx="10">
                  <c:v>0.24092000000000002</c:v>
                </c:pt>
                <c:pt idx="11">
                  <c:v>0.30090000000000006</c:v>
                </c:pt>
                <c:pt idx="12">
                  <c:v>0.45084999999999997</c:v>
                </c:pt>
                <c:pt idx="13">
                  <c:v>0.60080000000000011</c:v>
                </c:pt>
                <c:pt idx="14">
                  <c:v>0.75075000000000003</c:v>
                </c:pt>
                <c:pt idx="15">
                  <c:v>0.90069999999999995</c:v>
                </c:pt>
                <c:pt idx="16">
                  <c:v>1.0506499999999999</c:v>
                </c:pt>
                <c:pt idx="17">
                  <c:v>1.2006000000000001</c:v>
                </c:pt>
                <c:pt idx="18">
                  <c:v>1.3505499999999999</c:v>
                </c:pt>
                <c:pt idx="19">
                  <c:v>1.5004999999999999</c:v>
                </c:pt>
                <c:pt idx="20">
                  <c:v>1.6504500000000002</c:v>
                </c:pt>
                <c:pt idx="21">
                  <c:v>1.8003999999999998</c:v>
                </c:pt>
                <c:pt idx="22">
                  <c:v>1.95035</c:v>
                </c:pt>
                <c:pt idx="23">
                  <c:v>2.1002999999999998</c:v>
                </c:pt>
                <c:pt idx="24">
                  <c:v>2.2502499999999999</c:v>
                </c:pt>
                <c:pt idx="25">
                  <c:v>2.4002000000000003</c:v>
                </c:pt>
                <c:pt idx="26">
                  <c:v>2.5501499999999999</c:v>
                </c:pt>
                <c:pt idx="27">
                  <c:v>2.7000999999999999</c:v>
                </c:pt>
                <c:pt idx="28">
                  <c:v>2.85005</c:v>
                </c:pt>
                <c:pt idx="29">
                  <c:v>3</c:v>
                </c:pt>
              </c:numCache>
            </c:numRef>
          </c:xVal>
          <c:yVal>
            <c:numRef>
              <c:f>'Efficiency Summary'!$C$12:$C$41</c:f>
              <c:numCache>
                <c:formatCode>0.00</c:formatCode>
                <c:ptCount val="30"/>
                <c:pt idx="0">
                  <c:v>6.6416430784764975</c:v>
                </c:pt>
                <c:pt idx="1">
                  <c:v>22.134977401784166</c:v>
                </c:pt>
                <c:pt idx="2">
                  <c:v>33.202172225941737</c:v>
                </c:pt>
                <c:pt idx="3">
                  <c:v>47.956211687058641</c:v>
                </c:pt>
                <c:pt idx="4">
                  <c:v>57.340574707412884</c:v>
                </c:pt>
                <c:pt idx="5">
                  <c:v>63.832556819201336</c:v>
                </c:pt>
                <c:pt idx="6">
                  <c:v>68.588690930181883</c:v>
                </c:pt>
                <c:pt idx="7">
                  <c:v>80.909371179883721</c:v>
                </c:pt>
                <c:pt idx="8">
                  <c:v>88.990187133973649</c:v>
                </c:pt>
                <c:pt idx="9">
                  <c:v>91.969505961356035</c:v>
                </c:pt>
                <c:pt idx="10">
                  <c:v>93.442230785939302</c:v>
                </c:pt>
                <c:pt idx="11">
                  <c:v>94.261935303771907</c:v>
                </c:pt>
                <c:pt idx="12">
                  <c:v>95.047910998731282</c:v>
                </c:pt>
                <c:pt idx="13">
                  <c:v>95.187041911773406</c:v>
                </c:pt>
                <c:pt idx="14">
                  <c:v>95.33633970219158</c:v>
                </c:pt>
                <c:pt idx="15">
                  <c:v>95.303732717134039</c:v>
                </c:pt>
                <c:pt idx="16">
                  <c:v>95.166795771954625</c:v>
                </c:pt>
                <c:pt idx="17">
                  <c:v>94.964909348608487</c:v>
                </c:pt>
                <c:pt idx="18">
                  <c:v>94.720184960193009</c:v>
                </c:pt>
                <c:pt idx="19">
                  <c:v>94.445991989057134</c:v>
                </c:pt>
                <c:pt idx="20">
                  <c:v>94.150886349919844</c:v>
                </c:pt>
                <c:pt idx="21">
                  <c:v>93.840595292108191</c:v>
                </c:pt>
                <c:pt idx="22">
                  <c:v>93.519094957641613</c:v>
                </c:pt>
                <c:pt idx="23">
                  <c:v>93.189230258944917</c:v>
                </c:pt>
                <c:pt idx="24">
                  <c:v>92.853088875884865</c:v>
                </c:pt>
                <c:pt idx="25">
                  <c:v>92.512236101908101</c:v>
                </c:pt>
                <c:pt idx="26">
                  <c:v>92.167867413912901</c:v>
                </c:pt>
                <c:pt idx="27">
                  <c:v>91.820910539114081</c:v>
                </c:pt>
                <c:pt idx="28">
                  <c:v>91.4720955023447</c:v>
                </c:pt>
                <c:pt idx="29">
                  <c:v>91.122003790285987</c:v>
                </c:pt>
              </c:numCache>
            </c:numRef>
          </c:yVal>
          <c:smooth val="1"/>
          <c:extLst>
            <c:ext xmlns:c16="http://schemas.microsoft.com/office/drawing/2014/chart" uri="{C3380CC4-5D6E-409C-BE32-E72D297353CC}">
              <c16:uniqueId val="{00000000-54BA-4E16-B039-057EB9FB6B2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107401600"/>
        <c:axId val="107403520"/>
      </c:scatterChart>
      <c:valAx>
        <c:axId val="107401600"/>
        <c:scaling>
          <c:orientation val="minMax"/>
          <c:min val="0"/>
        </c:scaling>
        <c:delete val="0"/>
        <c:axPos val="b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minorGridlines/>
        <c:title>
          <c:tx>
            <c:rich>
              <a:bodyPr/>
              <a:lstStyle/>
              <a:p>
                <a:pPr>
                  <a:defRPr/>
                </a:pPr>
                <a:r>
                  <a:rPr lang="en-US"/>
                  <a:t>Output Load (A)</a:t>
                </a:r>
              </a:p>
            </c:rich>
          </c:tx>
          <c:layout/>
          <c:overlay val="0"/>
        </c:title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2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zh-CN"/>
          </a:p>
        </c:txPr>
        <c:crossAx val="107403520"/>
        <c:crosses val="autoZero"/>
        <c:crossBetween val="midCat"/>
        <c:majorUnit val="0.5"/>
        <c:minorUnit val="0.1"/>
      </c:valAx>
      <c:valAx>
        <c:axId val="107403520"/>
        <c:scaling>
          <c:orientation val="minMax"/>
          <c:max val="100"/>
          <c:min val="20"/>
        </c:scaling>
        <c:delete val="0"/>
        <c:axPos val="l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title>
          <c:tx>
            <c:rich>
              <a:bodyPr rot="-5400000" vert="horz"/>
              <a:lstStyle/>
              <a:p>
                <a:pPr>
                  <a:defRPr/>
                </a:pPr>
                <a:r>
                  <a:rPr lang="en-US"/>
                  <a:t>Efficiency (%)</a:t>
                </a:r>
              </a:p>
            </c:rich>
          </c:tx>
          <c:layout/>
          <c:overlay val="0"/>
        </c:title>
        <c:numFmt formatCode="0" sourceLinked="0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2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zh-CN"/>
          </a:p>
        </c:txPr>
        <c:crossAx val="107401600"/>
        <c:crossesAt val="0"/>
        <c:crossBetween val="midCat"/>
      </c:valAx>
      <c:spPr>
        <a:noFill/>
        <a:ln w="12700">
          <a:solidFill>
            <a:srgbClr val="808080"/>
          </a:solidFill>
          <a:prstDash val="solid"/>
        </a:ln>
      </c:spPr>
    </c:plotArea>
    <c:plotVisOnly val="1"/>
    <c:dispBlanksAs val="gap"/>
    <c:showDLblsOverMax val="0"/>
  </c:chart>
  <c:spPr>
    <a:solidFill>
      <a:srgbClr val="FFFFFF"/>
    </a:solidFill>
    <a:ln w="38100">
      <a:solidFill>
        <a:srgbClr val="0070C0"/>
      </a:solidFill>
      <a:prstDash val="solid"/>
    </a:ln>
  </c:spPr>
  <c:txPr>
    <a:bodyPr/>
    <a:lstStyle/>
    <a:p>
      <a:pPr>
        <a:defRPr sz="12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zh-CN"/>
    </a:p>
  </c:txPr>
  <c:printSettings>
    <c:headerFooter alignWithMargins="0"/>
    <c:pageMargins b="1" l="0.75" r="0.75" t="1" header="0.5" footer="0.5"/>
    <c:pageSetup orientation="landscape"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zh-CN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layout/>
      <c:overlay val="0"/>
    </c:title>
    <c:autoTitleDeleted val="0"/>
    <c:plotArea>
      <c:layout>
        <c:manualLayout>
          <c:layoutTarget val="inner"/>
          <c:xMode val="edge"/>
          <c:yMode val="edge"/>
          <c:x val="6.902368250158239E-2"/>
          <c:y val="7.0422632073382577E-2"/>
          <c:w val="0.88552334136176436"/>
          <c:h val="0.82856384409807549"/>
        </c:manualLayout>
      </c:layout>
      <c:scatterChart>
        <c:scatterStyle val="smoothMarker"/>
        <c:varyColors val="0"/>
        <c:ser>
          <c:idx val="2"/>
          <c:order val="0"/>
          <c:tx>
            <c:v>Bandwidth of Close Loop</c:v>
          </c:tx>
          <c:spPr>
            <a:ln>
              <a:solidFill>
                <a:srgbClr val="000000"/>
              </a:solidFill>
            </a:ln>
          </c:spPr>
          <c:marker>
            <c:symbol val="none"/>
          </c:marker>
          <c:xVal>
            <c:numRef>
              <c:f>Compensator!$B$49:$B$249</c:f>
              <c:numCache>
                <c:formatCode>General</c:formatCode>
                <c:ptCount val="201"/>
                <c:pt idx="0">
                  <c:v>1</c:v>
                </c:pt>
                <c:pt idx="1">
                  <c:v>1.0715193052376064</c:v>
                </c:pt>
                <c:pt idx="2">
                  <c:v>1.1481536214968828</c:v>
                </c:pt>
                <c:pt idx="3">
                  <c:v>1.2302687708123816</c:v>
                </c:pt>
                <c:pt idx="4">
                  <c:v>1.3182567385564072</c:v>
                </c:pt>
                <c:pt idx="5">
                  <c:v>1.4125375446227544</c:v>
                </c:pt>
                <c:pt idx="6">
                  <c:v>1.5135612484362082</c:v>
                </c:pt>
                <c:pt idx="7">
                  <c:v>1.62181009735893</c:v>
                </c:pt>
                <c:pt idx="8">
                  <c:v>1.7378008287493756</c:v>
                </c:pt>
                <c:pt idx="9">
                  <c:v>1.8620871366628675</c:v>
                </c:pt>
                <c:pt idx="10">
                  <c:v>1.9952623149688797</c:v>
                </c:pt>
                <c:pt idx="11">
                  <c:v>2.1379620895022322</c:v>
                </c:pt>
                <c:pt idx="12">
                  <c:v>2.2908676527677732</c:v>
                </c:pt>
                <c:pt idx="13">
                  <c:v>2.4547089156850306</c:v>
                </c:pt>
                <c:pt idx="14">
                  <c:v>2.6302679918953822</c:v>
                </c:pt>
                <c:pt idx="15">
                  <c:v>2.8183829312644537</c:v>
                </c:pt>
                <c:pt idx="16">
                  <c:v>3.0199517204020165</c:v>
                </c:pt>
                <c:pt idx="17">
                  <c:v>3.2359365692962836</c:v>
                </c:pt>
                <c:pt idx="18">
                  <c:v>3.4673685045253171</c:v>
                </c:pt>
                <c:pt idx="19">
                  <c:v>3.7153522909717256</c:v>
                </c:pt>
                <c:pt idx="20">
                  <c:v>3.9810717055349727</c:v>
                </c:pt>
                <c:pt idx="21">
                  <c:v>4.2657951880159271</c:v>
                </c:pt>
                <c:pt idx="22">
                  <c:v>4.5708818961487498</c:v>
                </c:pt>
                <c:pt idx="23">
                  <c:v>4.8977881936844625</c:v>
                </c:pt>
                <c:pt idx="24">
                  <c:v>5.2480746024977263</c:v>
                </c:pt>
                <c:pt idx="25">
                  <c:v>5.6234132519034921</c:v>
                </c:pt>
                <c:pt idx="26">
                  <c:v>6.0255958607435796</c:v>
                </c:pt>
                <c:pt idx="27">
                  <c:v>6.4565422903465555</c:v>
                </c:pt>
                <c:pt idx="28">
                  <c:v>6.9183097091893666</c:v>
                </c:pt>
                <c:pt idx="29">
                  <c:v>7.4131024130091765</c:v>
                </c:pt>
                <c:pt idx="30">
                  <c:v>7.943282347242814</c:v>
                </c:pt>
                <c:pt idx="31">
                  <c:v>8.5113803820237646</c:v>
                </c:pt>
                <c:pt idx="32">
                  <c:v>9.1201083935590983</c:v>
                </c:pt>
                <c:pt idx="33">
                  <c:v>9.7723722095581103</c:v>
                </c:pt>
                <c:pt idx="34">
                  <c:v>10.471285480509</c:v>
                </c:pt>
                <c:pt idx="35">
                  <c:v>11.220184543019636</c:v>
                </c:pt>
                <c:pt idx="36">
                  <c:v>12.022644346174133</c:v>
                </c:pt>
                <c:pt idx="37">
                  <c:v>12.882495516931341</c:v>
                </c:pt>
                <c:pt idx="38">
                  <c:v>13.803842646028851</c:v>
                </c:pt>
                <c:pt idx="39">
                  <c:v>14.791083881682074</c:v>
                </c:pt>
                <c:pt idx="40">
                  <c:v>15.848931924611136</c:v>
                </c:pt>
                <c:pt idx="41">
                  <c:v>16.982436524617448</c:v>
                </c:pt>
                <c:pt idx="42">
                  <c:v>18.197008586099841</c:v>
                </c:pt>
                <c:pt idx="43">
                  <c:v>19.498445997580465</c:v>
                </c:pt>
                <c:pt idx="44">
                  <c:v>20.892961308540393</c:v>
                </c:pt>
                <c:pt idx="45">
                  <c:v>22.387211385683397</c:v>
                </c:pt>
                <c:pt idx="46">
                  <c:v>23.988329190194907</c:v>
                </c:pt>
                <c:pt idx="47">
                  <c:v>25.703957827688647</c:v>
                </c:pt>
                <c:pt idx="48">
                  <c:v>27.542287033381665</c:v>
                </c:pt>
                <c:pt idx="49">
                  <c:v>29.512092266663863</c:v>
                </c:pt>
                <c:pt idx="50">
                  <c:v>31.622776601683803</c:v>
                </c:pt>
                <c:pt idx="51">
                  <c:v>33.884415613920268</c:v>
                </c:pt>
                <c:pt idx="52">
                  <c:v>36.307805477010156</c:v>
                </c:pt>
                <c:pt idx="53">
                  <c:v>38.904514499428053</c:v>
                </c:pt>
                <c:pt idx="54">
                  <c:v>41.686938347033546</c:v>
                </c:pt>
                <c:pt idx="55">
                  <c:v>44.668359215096324</c:v>
                </c:pt>
                <c:pt idx="56">
                  <c:v>47.863009232263856</c:v>
                </c:pt>
                <c:pt idx="57">
                  <c:v>51.28613839913649</c:v>
                </c:pt>
                <c:pt idx="58">
                  <c:v>54.95408738576247</c:v>
                </c:pt>
                <c:pt idx="59">
                  <c:v>58.884365535558949</c:v>
                </c:pt>
                <c:pt idx="60">
                  <c:v>63.095734448019307</c:v>
                </c:pt>
                <c:pt idx="61">
                  <c:v>67.60829753919819</c:v>
                </c:pt>
                <c:pt idx="62">
                  <c:v>72.443596007499011</c:v>
                </c:pt>
                <c:pt idx="63">
                  <c:v>77.624711662869217</c:v>
                </c:pt>
                <c:pt idx="64">
                  <c:v>83.176377110267126</c:v>
                </c:pt>
                <c:pt idx="65">
                  <c:v>89.125093813374562</c:v>
                </c:pt>
                <c:pt idx="66">
                  <c:v>95.499258602143655</c:v>
                </c:pt>
                <c:pt idx="67">
                  <c:v>102.32929922807544</c:v>
                </c:pt>
                <c:pt idx="68">
                  <c:v>109.64781961431861</c:v>
                </c:pt>
                <c:pt idx="69">
                  <c:v>117.48975549395293</c:v>
                </c:pt>
                <c:pt idx="70">
                  <c:v>125.89254117941677</c:v>
                </c:pt>
                <c:pt idx="71">
                  <c:v>134.89628825916537</c:v>
                </c:pt>
                <c:pt idx="72">
                  <c:v>144.54397707459285</c:v>
                </c:pt>
                <c:pt idx="73">
                  <c:v>154.8816618912482</c:v>
                </c:pt>
                <c:pt idx="74">
                  <c:v>165.95869074375608</c:v>
                </c:pt>
                <c:pt idx="75">
                  <c:v>177.82794100389242</c:v>
                </c:pt>
                <c:pt idx="76">
                  <c:v>190.54607179632481</c:v>
                </c:pt>
                <c:pt idx="77">
                  <c:v>204.17379446695315</c:v>
                </c:pt>
                <c:pt idx="78">
                  <c:v>218.77616239495524</c:v>
                </c:pt>
                <c:pt idx="79">
                  <c:v>234.42288153199232</c:v>
                </c:pt>
                <c:pt idx="80">
                  <c:v>251.18864315095806</c:v>
                </c:pt>
                <c:pt idx="81">
                  <c:v>269.15348039269156</c:v>
                </c:pt>
                <c:pt idx="82">
                  <c:v>288.40315031266073</c:v>
                </c:pt>
                <c:pt idx="83">
                  <c:v>309.02954325135909</c:v>
                </c:pt>
                <c:pt idx="84">
                  <c:v>331.13112148259137</c:v>
                </c:pt>
                <c:pt idx="85">
                  <c:v>354.81338923357566</c:v>
                </c:pt>
                <c:pt idx="86">
                  <c:v>380.18939632056163</c:v>
                </c:pt>
                <c:pt idx="87">
                  <c:v>407.38027780411272</c:v>
                </c:pt>
                <c:pt idx="88">
                  <c:v>436.51583224016582</c:v>
                </c:pt>
                <c:pt idx="89">
                  <c:v>467.7351412871983</c:v>
                </c:pt>
                <c:pt idx="90">
                  <c:v>501.18723362727229</c:v>
                </c:pt>
                <c:pt idx="91">
                  <c:v>537.03179637025301</c:v>
                </c:pt>
                <c:pt idx="92">
                  <c:v>575.43993733715706</c:v>
                </c:pt>
                <c:pt idx="93">
                  <c:v>616.59500186148273</c:v>
                </c:pt>
                <c:pt idx="94">
                  <c:v>660.69344800759643</c:v>
                </c:pt>
                <c:pt idx="95">
                  <c:v>707.94578438413873</c:v>
                </c:pt>
                <c:pt idx="96">
                  <c:v>758.57757502918378</c:v>
                </c:pt>
                <c:pt idx="97">
                  <c:v>812.83051616409898</c:v>
                </c:pt>
                <c:pt idx="98">
                  <c:v>870.96358995608091</c:v>
                </c:pt>
                <c:pt idx="99">
                  <c:v>933.25430079699106</c:v>
                </c:pt>
                <c:pt idx="100">
                  <c:v>1000</c:v>
                </c:pt>
                <c:pt idx="101">
                  <c:v>1071.5193052376069</c:v>
                </c:pt>
                <c:pt idx="102">
                  <c:v>1148.1536214968839</c:v>
                </c:pt>
                <c:pt idx="103">
                  <c:v>1230.2687708123824</c:v>
                </c:pt>
                <c:pt idx="104">
                  <c:v>1318.2567385564089</c:v>
                </c:pt>
                <c:pt idx="105">
                  <c:v>1412.5375446227545</c:v>
                </c:pt>
                <c:pt idx="106">
                  <c:v>1513.561248436208</c:v>
                </c:pt>
                <c:pt idx="107">
                  <c:v>1621.8100973589308</c:v>
                </c:pt>
                <c:pt idx="108">
                  <c:v>1737.8008287493758</c:v>
                </c:pt>
                <c:pt idx="109">
                  <c:v>1862.0871366628687</c:v>
                </c:pt>
                <c:pt idx="110">
                  <c:v>1995.2623149688804</c:v>
                </c:pt>
                <c:pt idx="111">
                  <c:v>2137.9620895022344</c:v>
                </c:pt>
                <c:pt idx="112">
                  <c:v>2290.8676527677749</c:v>
                </c:pt>
                <c:pt idx="113">
                  <c:v>2454.7089156850293</c:v>
                </c:pt>
                <c:pt idx="114">
                  <c:v>2630.2679918953822</c:v>
                </c:pt>
                <c:pt idx="115">
                  <c:v>2818.3829312644534</c:v>
                </c:pt>
                <c:pt idx="116">
                  <c:v>3019.9517204020176</c:v>
                </c:pt>
                <c:pt idx="117">
                  <c:v>3235.9365692962833</c:v>
                </c:pt>
                <c:pt idx="118">
                  <c:v>3467.3685045253224</c:v>
                </c:pt>
                <c:pt idx="119">
                  <c:v>3715.352290971724</c:v>
                </c:pt>
                <c:pt idx="120">
                  <c:v>3981.0717055349701</c:v>
                </c:pt>
                <c:pt idx="121">
                  <c:v>4265.7951880159299</c:v>
                </c:pt>
                <c:pt idx="122">
                  <c:v>4570.8818961487532</c:v>
                </c:pt>
                <c:pt idx="123">
                  <c:v>4897.7881936844633</c:v>
                </c:pt>
                <c:pt idx="124">
                  <c:v>5248.0746024977261</c:v>
                </c:pt>
                <c:pt idx="125">
                  <c:v>5623.4132519034993</c:v>
                </c:pt>
                <c:pt idx="126">
                  <c:v>6025.595860743585</c:v>
                </c:pt>
                <c:pt idx="127">
                  <c:v>6456.5422903465615</c:v>
                </c:pt>
                <c:pt idx="128">
                  <c:v>6918.3097091893687</c:v>
                </c:pt>
                <c:pt idx="129">
                  <c:v>7413.1024130091773</c:v>
                </c:pt>
                <c:pt idx="130">
                  <c:v>7943.2823472428154</c:v>
                </c:pt>
                <c:pt idx="131">
                  <c:v>8511.3803820237626</c:v>
                </c:pt>
                <c:pt idx="132">
                  <c:v>9120.1083935591087</c:v>
                </c:pt>
                <c:pt idx="133">
                  <c:v>9772.3722095581161</c:v>
                </c:pt>
                <c:pt idx="134">
                  <c:v>10471.285480509003</c:v>
                </c:pt>
                <c:pt idx="135">
                  <c:v>11220.184543019639</c:v>
                </c:pt>
                <c:pt idx="136">
                  <c:v>12022.644346174151</c:v>
                </c:pt>
                <c:pt idx="137">
                  <c:v>12882.495516931338</c:v>
                </c:pt>
                <c:pt idx="138">
                  <c:v>13803.842646028841</c:v>
                </c:pt>
                <c:pt idx="139">
                  <c:v>14791.083881682089</c:v>
                </c:pt>
                <c:pt idx="140">
                  <c:v>15848.931924611146</c:v>
                </c:pt>
                <c:pt idx="141">
                  <c:v>16982.436524617453</c:v>
                </c:pt>
                <c:pt idx="142">
                  <c:v>18197.008586099837</c:v>
                </c:pt>
                <c:pt idx="143">
                  <c:v>19498.445997580486</c:v>
                </c:pt>
                <c:pt idx="144">
                  <c:v>20892.961308540423</c:v>
                </c:pt>
                <c:pt idx="145">
                  <c:v>22387.211385683382</c:v>
                </c:pt>
                <c:pt idx="146">
                  <c:v>23988.329190194923</c:v>
                </c:pt>
                <c:pt idx="147">
                  <c:v>25703.95782768865</c:v>
                </c:pt>
                <c:pt idx="148">
                  <c:v>27542.287033381672</c:v>
                </c:pt>
                <c:pt idx="149">
                  <c:v>29512.092266663854</c:v>
                </c:pt>
                <c:pt idx="150">
                  <c:v>31622.77660168384</c:v>
                </c:pt>
                <c:pt idx="151">
                  <c:v>33884.41561392029</c:v>
                </c:pt>
                <c:pt idx="152">
                  <c:v>36307.805477010166</c:v>
                </c:pt>
                <c:pt idx="153">
                  <c:v>38904.514499428085</c:v>
                </c:pt>
                <c:pt idx="154">
                  <c:v>41686.938347033625</c:v>
                </c:pt>
                <c:pt idx="155">
                  <c:v>44668.359215096309</c:v>
                </c:pt>
                <c:pt idx="156">
                  <c:v>47863.009232263823</c:v>
                </c:pt>
                <c:pt idx="157">
                  <c:v>51286.138399136544</c:v>
                </c:pt>
                <c:pt idx="158">
                  <c:v>54954.087385762505</c:v>
                </c:pt>
                <c:pt idx="159">
                  <c:v>58884.365535558936</c:v>
                </c:pt>
                <c:pt idx="160">
                  <c:v>63095.734448019342</c:v>
                </c:pt>
                <c:pt idx="161">
                  <c:v>67608.297539198305</c:v>
                </c:pt>
                <c:pt idx="162">
                  <c:v>72443.596007498985</c:v>
                </c:pt>
                <c:pt idx="163">
                  <c:v>77624.711662869129</c:v>
                </c:pt>
                <c:pt idx="164">
                  <c:v>83176.377110267174</c:v>
                </c:pt>
                <c:pt idx="165">
                  <c:v>89125.093813374609</c:v>
                </c:pt>
                <c:pt idx="166">
                  <c:v>95499.258602143629</c:v>
                </c:pt>
                <c:pt idx="167">
                  <c:v>102329.29922807543</c:v>
                </c:pt>
                <c:pt idx="168">
                  <c:v>109647.81961431868</c:v>
                </c:pt>
                <c:pt idx="169">
                  <c:v>117489.75549395289</c:v>
                </c:pt>
                <c:pt idx="170">
                  <c:v>125892.54117941685</c:v>
                </c:pt>
                <c:pt idx="171">
                  <c:v>134896.28825916545</c:v>
                </c:pt>
                <c:pt idx="172">
                  <c:v>144543.97707459307</c:v>
                </c:pt>
                <c:pt idx="173">
                  <c:v>154881.66189124816</c:v>
                </c:pt>
                <c:pt idx="174">
                  <c:v>165958.69074375604</c:v>
                </c:pt>
                <c:pt idx="175">
                  <c:v>177827.94100389251</c:v>
                </c:pt>
                <c:pt idx="176">
                  <c:v>190546.0717963246</c:v>
                </c:pt>
                <c:pt idx="177">
                  <c:v>204173.79446695308</c:v>
                </c:pt>
                <c:pt idx="178">
                  <c:v>218776.16239495538</c:v>
                </c:pt>
                <c:pt idx="179">
                  <c:v>234422.88153199267</c:v>
                </c:pt>
                <c:pt idx="180">
                  <c:v>251188.643150958</c:v>
                </c:pt>
                <c:pt idx="181">
                  <c:v>269153.48039269145</c:v>
                </c:pt>
                <c:pt idx="182">
                  <c:v>288403.1503126609</c:v>
                </c:pt>
                <c:pt idx="183">
                  <c:v>309029.54325135931</c:v>
                </c:pt>
                <c:pt idx="184">
                  <c:v>331131.12148259126</c:v>
                </c:pt>
                <c:pt idx="185">
                  <c:v>354813.38923357555</c:v>
                </c:pt>
                <c:pt idx="186">
                  <c:v>380189.39632056188</c:v>
                </c:pt>
                <c:pt idx="187">
                  <c:v>407380.27780411259</c:v>
                </c:pt>
                <c:pt idx="188">
                  <c:v>436515.83224016649</c:v>
                </c:pt>
                <c:pt idx="189">
                  <c:v>467735.14128719864</c:v>
                </c:pt>
                <c:pt idx="190">
                  <c:v>501187.23362727347</c:v>
                </c:pt>
                <c:pt idx="191">
                  <c:v>537031.79637025285</c:v>
                </c:pt>
                <c:pt idx="192">
                  <c:v>575439.93733715697</c:v>
                </c:pt>
                <c:pt idx="193">
                  <c:v>616595.00186148309</c:v>
                </c:pt>
                <c:pt idx="194">
                  <c:v>660693.44800759561</c:v>
                </c:pt>
                <c:pt idx="195">
                  <c:v>707945.78438413853</c:v>
                </c:pt>
                <c:pt idx="196">
                  <c:v>758577.57502918423</c:v>
                </c:pt>
                <c:pt idx="197">
                  <c:v>812830.51616410096</c:v>
                </c:pt>
                <c:pt idx="198">
                  <c:v>870963.58995608077</c:v>
                </c:pt>
                <c:pt idx="199">
                  <c:v>933254.30079699249</c:v>
                </c:pt>
                <c:pt idx="200">
                  <c:v>1000000</c:v>
                </c:pt>
              </c:numCache>
            </c:numRef>
          </c:xVal>
          <c:yVal>
            <c:numRef>
              <c:f>Compensator!$CD$64:$CD$264</c:f>
              <c:numCache>
                <c:formatCode>General</c:formatCode>
                <c:ptCount val="201"/>
                <c:pt idx="0">
                  <c:v>63.834655190289318</c:v>
                </c:pt>
                <c:pt idx="1">
                  <c:v>63.833814325514624</c:v>
                </c:pt>
                <c:pt idx="2">
                  <c:v>63.832849084285911</c:v>
                </c:pt>
                <c:pt idx="3">
                  <c:v>63.831741103539414</c:v>
                </c:pt>
                <c:pt idx="4">
                  <c:v>63.830469319887598</c:v>
                </c:pt>
                <c:pt idx="5">
                  <c:v>63.829009575964413</c:v>
                </c:pt>
                <c:pt idx="6">
                  <c:v>63.827334170471694</c:v>
                </c:pt>
                <c:pt idx="7">
                  <c:v>63.82541134422317</c:v>
                </c:pt>
                <c:pt idx="8">
                  <c:v>63.823204693537392</c:v>
                </c:pt>
                <c:pt idx="9">
                  <c:v>63.820672501308209</c:v>
                </c:pt>
                <c:pt idx="10">
                  <c:v>63.817766974991258</c:v>
                </c:pt>
                <c:pt idx="11">
                  <c:v>63.814433379586504</c:v>
                </c:pt>
                <c:pt idx="12">
                  <c:v>63.810609052510131</c:v>
                </c:pt>
                <c:pt idx="13">
                  <c:v>63.806222286052886</c:v>
                </c:pt>
                <c:pt idx="14">
                  <c:v>63.801191061974677</c:v>
                </c:pt>
                <c:pt idx="15">
                  <c:v>63.795421621746812</c:v>
                </c:pt>
                <c:pt idx="16">
                  <c:v>63.788806855131881</c:v>
                </c:pt>
                <c:pt idx="17">
                  <c:v>63.781224489307149</c:v>
                </c:pt>
                <c:pt idx="18">
                  <c:v>63.772535060760873</c:v>
                </c:pt>
                <c:pt idx="19">
                  <c:v>63.762579652961556</c:v>
                </c:pt>
                <c:pt idx="20">
                  <c:v>63.751177384580913</c:v>
                </c:pt>
                <c:pt idx="21">
                  <c:v>63.738122636225604</c:v>
                </c:pt>
                <c:pt idx="22">
                  <c:v>63.723182008634694</c:v>
                </c:pt>
                <c:pt idx="23">
                  <c:v>63.706091012661197</c:v>
                </c:pt>
                <c:pt idx="24">
                  <c:v>63.686550501723438</c:v>
                </c:pt>
                <c:pt idx="25">
                  <c:v>63.664222871475111</c:v>
                </c:pt>
                <c:pt idx="26">
                  <c:v>63.638728069991124</c:v>
                </c:pt>
                <c:pt idx="27">
                  <c:v>63.609639485557715</c:v>
                </c:pt>
                <c:pt idx="28">
                  <c:v>63.576479808897723</c:v>
                </c:pt>
                <c:pt idx="29">
                  <c:v>63.538717002808276</c:v>
                </c:pt>
                <c:pt idx="30">
                  <c:v>63.495760554822489</c:v>
                </c:pt>
                <c:pt idx="31">
                  <c:v>63.446958237008381</c:v>
                </c:pt>
                <c:pt idx="32">
                  <c:v>63.391593649769213</c:v>
                </c:pt>
                <c:pt idx="33">
                  <c:v>63.328884880544159</c:v>
                </c:pt>
                <c:pt idx="34">
                  <c:v>63.257984658867912</c:v>
                </c:pt>
                <c:pt idx="35">
                  <c:v>63.177982429535852</c:v>
                </c:pt>
                <c:pt idx="36">
                  <c:v>63.087908786676152</c:v>
                </c:pt>
                <c:pt idx="37">
                  <c:v>62.986742702482978</c:v>
                </c:pt>
                <c:pt idx="38">
                  <c:v>62.873421933308229</c:v>
                </c:pt>
                <c:pt idx="39">
                  <c:v>62.746856881343966</c:v>
                </c:pt>
                <c:pt idx="40">
                  <c:v>62.605948023770715</c:v>
                </c:pt>
                <c:pt idx="41">
                  <c:v>62.449606790509478</c:v>
                </c:pt>
                <c:pt idx="42">
                  <c:v>62.276779483398563</c:v>
                </c:pt>
                <c:pt idx="43">
                  <c:v>62.086473502585946</c:v>
                </c:pt>
                <c:pt idx="44">
                  <c:v>61.877784812159611</c:v>
                </c:pt>
                <c:pt idx="45">
                  <c:v>61.649925279983279</c:v>
                </c:pt>
                <c:pt idx="46">
                  <c:v>61.402248315940462</c:v>
                </c:pt>
                <c:pt idx="47">
                  <c:v>61.134271155495213</c:v>
                </c:pt>
                <c:pt idx="48">
                  <c:v>60.845692225742383</c:v>
                </c:pt>
                <c:pt idx="49">
                  <c:v>60.536402299946133</c:v>
                </c:pt>
                <c:pt idx="50">
                  <c:v>60.206488575603679</c:v>
                </c:pt>
                <c:pt idx="51">
                  <c:v>59.85623135273628</c:v>
                </c:pt>
                <c:pt idx="52">
                  <c:v>59.486093573884887</c:v>
                </c:pt>
                <c:pt idx="53">
                  <c:v>59.096704037091563</c:v>
                </c:pt>
                <c:pt idx="54">
                  <c:v>58.688835536850668</c:v>
                </c:pt>
                <c:pt idx="55">
                  <c:v>58.263379475225328</c:v>
                </c:pt>
                <c:pt idx="56">
                  <c:v>57.821318594464941</c:v>
                </c:pt>
                <c:pt idx="57">
                  <c:v>57.363699421609269</c:v>
                </c:pt>
                <c:pt idx="58">
                  <c:v>56.891605816818426</c:v>
                </c:pt>
                <c:pt idx="59">
                  <c:v>56.406134726804815</c:v>
                </c:pt>
                <c:pt idx="60">
                  <c:v>55.908374912567361</c:v>
                </c:pt>
                <c:pt idx="61">
                  <c:v>55.399389091047048</c:v>
                </c:pt>
                <c:pt idx="62">
                  <c:v>54.880199636656862</c:v>
                </c:pt>
                <c:pt idx="63">
                  <c:v>54.351777751153875</c:v>
                </c:pt>
                <c:pt idx="64">
                  <c:v>53.815035836955254</c:v>
                </c:pt>
                <c:pt idx="65">
                  <c:v>53.270822698131056</c:v>
                </c:pt>
                <c:pt idx="66">
                  <c:v>52.719921136879726</c:v>
                </c:pt>
                <c:pt idx="67">
                  <c:v>52.163047500153048</c:v>
                </c:pt>
                <c:pt idx="68">
                  <c:v>51.600852749224451</c:v>
                </c:pt>
                <c:pt idx="69">
                  <c:v>51.033924663426077</c:v>
                </c:pt>
                <c:pt idx="70">
                  <c:v>50.462790838774197</c:v>
                </c:pt>
                <c:pt idx="71">
                  <c:v>49.887922195752175</c:v>
                </c:pt>
                <c:pt idx="72">
                  <c:v>49.309736763165112</c:v>
                </c:pt>
                <c:pt idx="73">
                  <c:v>48.728603553555644</c:v>
                </c:pt>
                <c:pt idx="74">
                  <c:v>48.144846388447675</c:v>
                </c:pt>
                <c:pt idx="75">
                  <c:v>47.558747567949304</c:v>
                </c:pt>
                <c:pt idx="76">
                  <c:v>46.970551309010105</c:v>
                </c:pt>
                <c:pt idx="77">
                  <c:v>46.380466900323498</c:v>
                </c:pt>
                <c:pt idx="78">
                  <c:v>45.788671540180857</c:v>
                </c:pt>
                <c:pt idx="79">
                  <c:v>45.195312837280653</c:v>
                </c:pt>
                <c:pt idx="80">
                  <c:v>44.600510964375026</c:v>
                </c:pt>
                <c:pt idx="81">
                  <c:v>44.004360461422642</c:v>
                </c:pt>
                <c:pt idx="82">
                  <c:v>43.406931689280924</c:v>
                </c:pt>
                <c:pt idx="83">
                  <c:v>42.808271937497288</c:v>
                </c:pt>
                <c:pt idx="84">
                  <c:v>42.208406190967203</c:v>
                </c:pt>
                <c:pt idx="85">
                  <c:v>41.607337560546881</c:v>
                </c:pt>
                <c:pt idx="86">
                  <c:v>41.005047382558971</c:v>
                </c:pt>
                <c:pt idx="87">
                  <c:v>40.401494991874671</c:v>
                </c:pt>
                <c:pt idx="88">
                  <c:v>39.796617173239056</c:v>
                </c:pt>
                <c:pt idx="89">
                  <c:v>39.190327296145128</c:v>
                </c:pt>
                <c:pt idx="90">
                  <c:v>38.582514140193766</c:v>
                </c:pt>
                <c:pt idx="91">
                  <c:v>37.97304042100933</c:v>
                </c:pt>
                <c:pt idx="92">
                  <c:v>37.361741031890368</c:v>
                </c:pt>
                <c:pt idx="93">
                  <c:v>36.748421024058366</c:v>
                </c:pt>
                <c:pt idx="94">
                  <c:v>36.132853359297002</c:v>
                </c:pt>
                <c:pt idx="95">
                  <c:v>35.514776483675199</c:v>
                </c:pt>
                <c:pt idx="96">
                  <c:v>34.893891790709908</c:v>
                </c:pt>
                <c:pt idx="97">
                  <c:v>34.269861067508458</c:v>
                </c:pt>
                <c:pt idx="98">
                  <c:v>33.64230404880275</c:v>
                </c:pt>
                <c:pt idx="99">
                  <c:v>33.010796241780497</c:v>
                </c:pt>
                <c:pt idx="100">
                  <c:v>32.37486722919185</c:v>
                </c:pt>
                <c:pt idx="101">
                  <c:v>31.733999708628783</c:v>
                </c:pt>
                <c:pt idx="102">
                  <c:v>31.087629580342341</c:v>
                </c:pt>
                <c:pt idx="103">
                  <c:v>30.435147451235515</c:v>
                </c:pt>
                <c:pt idx="104">
                  <c:v>29.775901973667121</c:v>
                </c:pt>
                <c:pt idx="105">
                  <c:v>29.109205477239357</c:v>
                </c:pt>
                <c:pt idx="106">
                  <c:v>28.434342370338207</c:v>
                </c:pt>
                <c:pt idx="107">
                  <c:v>27.750580774511491</c:v>
                </c:pt>
                <c:pt idx="108">
                  <c:v>27.057187796307275</c:v>
                </c:pt>
                <c:pt idx="109">
                  <c:v>26.353448726090928</c:v>
                </c:pt>
                <c:pt idx="110">
                  <c:v>25.638690272672548</c:v>
                </c:pt>
                <c:pt idx="111">
                  <c:v>24.91230769352018</c:v>
                </c:pt>
                <c:pt idx="112">
                  <c:v>24.173795369501264</c:v>
                </c:pt>
                <c:pt idx="113">
                  <c:v>23.422780019188924</c:v>
                </c:pt>
                <c:pt idx="114">
                  <c:v>22.659055382585546</c:v>
                </c:pt>
                <c:pt idx="115">
                  <c:v>21.882616870658968</c:v>
                </c:pt>
                <c:pt idx="116">
                  <c:v>21.093694424234187</c:v>
                </c:pt>
                <c:pt idx="117">
                  <c:v>20.292781699704285</c:v>
                </c:pt>
                <c:pt idx="118">
                  <c:v>19.4806597327647</c:v>
                </c:pt>
                <c:pt idx="119">
                  <c:v>18.658413435506532</c:v>
                </c:pt>
                <c:pt idx="120">
                  <c:v>17.827439639370922</c:v>
                </c:pt>
                <c:pt idx="121">
                  <c:v>16.989445862558959</c:v>
                </c:pt>
                <c:pt idx="122">
                  <c:v>16.146439492921086</c:v>
                </c:pt>
                <c:pt idx="123">
                  <c:v>15.300707568771211</c:v>
                </c:pt>
                <c:pt idx="124">
                  <c:v>14.454787753799769</c:v>
                </c:pt>
                <c:pt idx="125">
                  <c:v>13.611431404679067</c:v>
                </c:pt>
                <c:pt idx="126">
                  <c:v>12.773559816466991</c:v>
                </c:pt>
                <c:pt idx="127">
                  <c:v>11.944214823657923</c:v>
                </c:pt>
                <c:pt idx="128">
                  <c:v>11.126504973296097</c:v>
                </c:pt>
                <c:pt idx="129">
                  <c:v>10.323548514708826</c:v>
                </c:pt>
                <c:pt idx="130">
                  <c:v>9.5384145026884219</c:v>
                </c:pt>
                <c:pt idx="131">
                  <c:v>8.774063402960568</c:v>
                </c:pt>
                <c:pt idx="132">
                  <c:v>8.0332887133022304</c:v>
                </c:pt>
                <c:pt idx="133">
                  <c:v>7.3186612431891316</c:v>
                </c:pt>
                <c:pt idx="134">
                  <c:v>6.6324777894014009</c:v>
                </c:pt>
                <c:pt idx="135">
                  <c:v>5.9767159627238042</c:v>
                </c:pt>
                <c:pt idx="136">
                  <c:v>5.3529968282394327</c:v>
                </c:pt>
                <c:pt idx="137">
                  <c:v>4.7625568009398158</c:v>
                </c:pt>
                <c:pt idx="138">
                  <c:v>4.2062298903358135</c:v>
                </c:pt>
                <c:pt idx="139">
                  <c:v>3.6844409309238539</c:v>
                </c:pt>
                <c:pt idx="140">
                  <c:v>3.1972099019925135</c:v>
                </c:pt>
                <c:pt idx="141">
                  <c:v>2.7441668718247052</c:v>
                </c:pt>
                <c:pt idx="142">
                  <c:v>2.324576544142162</c:v>
                </c:pt>
                <c:pt idx="143">
                  <c:v>1.9373708857710934</c:v>
                </c:pt>
                <c:pt idx="144">
                  <c:v>1.5811879176069967</c:v>
                </c:pt>
                <c:pt idx="145">
                  <c:v>1.2544144911564172</c:v>
                </c:pt>
                <c:pt idx="146">
                  <c:v>0.9552307715578352</c:v>
                </c:pt>
                <c:pt idx="147">
                  <c:v>0.68165420842607061</c:v>
                </c:pt>
                <c:pt idx="148">
                  <c:v>0.43158098215142604</c:v>
                </c:pt>
                <c:pt idx="149">
                  <c:v>0.20282323238103303</c:v>
                </c:pt>
                <c:pt idx="150">
                  <c:v>-6.859237187122536E-3</c:v>
                </c:pt>
                <c:pt idx="151">
                  <c:v>-0.19973367622840171</c:v>
                </c:pt>
                <c:pt idx="152">
                  <c:v>-0.37807604361827518</c:v>
                </c:pt>
                <c:pt idx="153">
                  <c:v>-0.54415979633644351</c:v>
                </c:pt>
                <c:pt idx="154">
                  <c:v>-0.70025176948984225</c:v>
                </c:pt>
                <c:pt idx="155">
                  <c:v>-0.84861496591463181</c:v>
                </c:pt>
                <c:pt idx="156">
                  <c:v>-0.99151803349372747</c:v>
                </c:pt>
                <c:pt idx="157">
                  <c:v>-1.1312512623269673</c:v>
                </c:pt>
                <c:pt idx="158">
                  <c:v>-1.2701490724512925</c:v>
                </c:pt>
                <c:pt idx="159">
                  <c:v>-1.4106191722423855</c:v>
                </c:pt>
                <c:pt idx="160">
                  <c:v>-1.5551788284876034</c:v>
                </c:pt>
                <c:pt idx="161">
                  <c:v>-1.7064989705894931</c:v>
                </c:pt>
                <c:pt idx="162">
                  <c:v>-1.8674571002742675</c:v>
                </c:pt>
                <c:pt idx="163">
                  <c:v>-2.0412001012992103</c:v>
                </c:pt>
                <c:pt idx="164">
                  <c:v>-2.2312178820425954</c:v>
                </c:pt>
                <c:pt idx="165">
                  <c:v>-2.4414280812217548</c:v>
                </c:pt>
                <c:pt idx="166">
                  <c:v>-2.6762704401739743</c:v>
                </c:pt>
                <c:pt idx="167">
                  <c:v>-2.940806380184414</c:v>
                </c:pt>
                <c:pt idx="168">
                  <c:v>-3.240814245450681</c:v>
                </c:pt>
                <c:pt idx="169">
                  <c:v>-3.5828631733454293</c:v>
                </c:pt>
                <c:pt idx="170">
                  <c:v>-3.9743388830345214</c:v>
                </c:pt>
                <c:pt idx="171">
                  <c:v>-4.4233845469644599</c:v>
                </c:pt>
                <c:pt idx="172">
                  <c:v>-4.9387134517045457</c:v>
                </c:pt>
                <c:pt idx="173">
                  <c:v>-5.5292542602614434</c:v>
                </c:pt>
                <c:pt idx="174">
                  <c:v>-6.2036124305015541</c:v>
                </c:pt>
                <c:pt idx="175">
                  <c:v>-6.969377078914607</c:v>
                </c:pt>
                <c:pt idx="176">
                  <c:v>-7.832364508077216</c:v>
                </c:pt>
                <c:pt idx="177">
                  <c:v>-8.7959450633063749</c:v>
                </c:pt>
                <c:pt idx="178">
                  <c:v>-9.8606166209687913</c:v>
                </c:pt>
                <c:pt idx="179">
                  <c:v>-11.023943616490019</c:v>
                </c:pt>
                <c:pt idx="180">
                  <c:v>-12.280883994723613</c:v>
                </c:pt>
                <c:pt idx="181">
                  <c:v>-13.624419108263965</c:v>
                </c:pt>
                <c:pt idx="182">
                  <c:v>-15.046331946551788</c:v>
                </c:pt>
                <c:pt idx="183">
                  <c:v>-16.537971429127893</c:v>
                </c:pt>
                <c:pt idx="184">
                  <c:v>-18.090883998400738</c:v>
                </c:pt>
                <c:pt idx="185">
                  <c:v>-19.697257333273473</c:v>
                </c:pt>
                <c:pt idx="186">
                  <c:v>-21.350176113271427</c:v>
                </c:pt>
                <c:pt idx="187">
                  <c:v>-23.043722828248207</c:v>
                </c:pt>
                <c:pt idx="188">
                  <c:v>-24.772968118486688</c:v>
                </c:pt>
                <c:pt idx="189">
                  <c:v>-26.533892341383986</c:v>
                </c:pt>
                <c:pt idx="190">
                  <c:v>-28.323270807907015</c:v>
                </c:pt>
                <c:pt idx="191">
                  <c:v>-30.138544824703686</c:v>
                </c:pt>
                <c:pt idx="192">
                  <c:v>-31.977692026353605</c:v>
                </c:pt>
                <c:pt idx="193">
                  <c:v>-33.839103304340405</c:v>
                </c:pt>
                <c:pt idx="194">
                  <c:v>-35.721469762785674</c:v>
                </c:pt>
                <c:pt idx="195">
                  <c:v>-37.623681017495123</c:v>
                </c:pt>
                <c:pt idx="196">
                  <c:v>-39.544735227818258</c:v>
                </c:pt>
                <c:pt idx="197">
                  <c:v>-41.483661025229431</c:v>
                </c:pt>
                <c:pt idx="198">
                  <c:v>-43.439451613970512</c:v>
                </c:pt>
                <c:pt idx="199">
                  <c:v>-45.41101151326275</c:v>
                </c:pt>
                <c:pt idx="200">
                  <c:v>-47.397116524332333</c:v>
                </c:pt>
              </c:numCache>
            </c:numRef>
          </c:yVal>
          <c:smooth val="1"/>
          <c:extLst>
            <c:ext xmlns:c16="http://schemas.microsoft.com/office/drawing/2014/chart" uri="{C3380CC4-5D6E-409C-BE32-E72D297353CC}">
              <c16:uniqueId val="{00000000-3D71-4C29-918D-1696D678E20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150383232"/>
        <c:axId val="150393600"/>
      </c:scatterChart>
      <c:valAx>
        <c:axId val="150383232"/>
        <c:scaling>
          <c:logBase val="10"/>
          <c:orientation val="minMax"/>
          <c:min val="100"/>
        </c:scaling>
        <c:delete val="0"/>
        <c:axPos val="b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minorGridlines>
          <c:spPr>
            <a:ln w="3175">
              <a:solidFill>
                <a:srgbClr val="000000"/>
              </a:solidFill>
              <a:prstDash val="solid"/>
            </a:ln>
          </c:spPr>
        </c:minorGridlines>
        <c:title>
          <c:tx>
            <c:rich>
              <a:bodyPr/>
              <a:lstStyle/>
              <a:p>
                <a:pPr>
                  <a:defRPr/>
                </a:pPr>
                <a:r>
                  <a:rPr lang="en-US"/>
                  <a:t>Frequency (Hz)</a:t>
                </a:r>
              </a:p>
            </c:rich>
          </c:tx>
          <c:layout/>
          <c:overlay val="0"/>
        </c:title>
        <c:numFmt formatCode="0.0E+00" sourceLinked="0"/>
        <c:majorTickMark val="out"/>
        <c:minorTickMark val="out"/>
        <c:tickLblPos val="low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8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zh-CN"/>
          </a:p>
        </c:txPr>
        <c:crossAx val="150393600"/>
        <c:crosses val="autoZero"/>
        <c:crossBetween val="midCat"/>
      </c:valAx>
      <c:valAx>
        <c:axId val="150393600"/>
        <c:scaling>
          <c:orientation val="minMax"/>
          <c:max val="60"/>
          <c:min val="-60"/>
        </c:scaling>
        <c:delete val="0"/>
        <c:axPos val="l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title>
          <c:tx>
            <c:rich>
              <a:bodyPr rot="0" vert="wordArtVert"/>
              <a:lstStyle/>
              <a:p>
                <a:pPr>
                  <a:defRPr/>
                </a:pPr>
                <a:r>
                  <a:rPr lang="en-US"/>
                  <a:t>Gain (dB)</a:t>
                </a:r>
              </a:p>
            </c:rich>
          </c:tx>
          <c:layout/>
          <c:overlay val="0"/>
        </c:title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8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zh-CN"/>
          </a:p>
        </c:txPr>
        <c:crossAx val="150383232"/>
        <c:crosses val="autoZero"/>
        <c:crossBetween val="midCat"/>
      </c:valAx>
      <c:spPr>
        <a:noFill/>
        <a:ln w="12700">
          <a:solidFill>
            <a:srgbClr val="808080"/>
          </a:solidFill>
          <a:prstDash val="solid"/>
        </a:ln>
      </c:spPr>
    </c:plotArea>
    <c:legend>
      <c:legendPos val="r"/>
      <c:legendEntry>
        <c:idx val="0"/>
        <c:txPr>
          <a:bodyPr/>
          <a:lstStyle/>
          <a:p>
            <a:pPr>
              <a:defRPr sz="14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zh-CN"/>
          </a:p>
        </c:txPr>
      </c:legendEntry>
      <c:layout>
        <c:manualLayout>
          <c:xMode val="edge"/>
          <c:yMode val="edge"/>
          <c:x val="0.61567621316411758"/>
          <c:y val="6.9711538461538464E-2"/>
          <c:w val="0.29147617795961284"/>
          <c:h val="0.16684734453751368"/>
        </c:manualLayout>
      </c:layout>
      <c:overlay val="0"/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>
            <a:defRPr sz="735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zh-CN"/>
        </a:p>
      </c:txPr>
    </c:legend>
    <c:plotVisOnly val="1"/>
    <c:dispBlanksAs val="gap"/>
    <c:showDLblsOverMax val="0"/>
  </c:chart>
  <c:spPr>
    <a:solidFill>
      <a:srgbClr val="FFFFFF"/>
    </a:solidFill>
    <a:ln w="3175">
      <a:solidFill>
        <a:srgbClr val="000000"/>
      </a:solidFill>
      <a:prstDash val="solid"/>
    </a:ln>
  </c:spPr>
  <c:txPr>
    <a:bodyPr/>
    <a:lstStyle/>
    <a:p>
      <a:pPr>
        <a:defRPr sz="85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zh-CN"/>
    </a:p>
  </c:txPr>
  <c:printSettings>
    <c:headerFooter alignWithMargins="0"/>
    <c:pageMargins b="1" l="0.75" r="0.75" t="1" header="0.5" footer="0.5"/>
    <c:pageSetup/>
  </c:printSettings>
  <c:userShapes r:id="rId1"/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zh-CN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layout/>
      <c:overlay val="0"/>
    </c:title>
    <c:autoTitleDeleted val="0"/>
    <c:plotArea>
      <c:layout>
        <c:manualLayout>
          <c:layoutTarget val="inner"/>
          <c:xMode val="edge"/>
          <c:yMode val="edge"/>
          <c:x val="6.902368250158239E-2"/>
          <c:y val="7.0422632073382577E-2"/>
          <c:w val="0.88552334136176436"/>
          <c:h val="0.82856384409807549"/>
        </c:manualLayout>
      </c:layout>
      <c:scatterChart>
        <c:scatterStyle val="smoothMarker"/>
        <c:varyColors val="0"/>
        <c:ser>
          <c:idx val="2"/>
          <c:order val="0"/>
          <c:tx>
            <c:v>Phase Margin of Closed Loop</c:v>
          </c:tx>
          <c:spPr>
            <a:ln>
              <a:solidFill>
                <a:srgbClr val="FF0000"/>
              </a:solidFill>
            </a:ln>
          </c:spPr>
          <c:marker>
            <c:symbol val="none"/>
          </c:marker>
          <c:xVal>
            <c:numRef>
              <c:f>Compensator!$B$49:$B$249</c:f>
              <c:numCache>
                <c:formatCode>General</c:formatCode>
                <c:ptCount val="201"/>
                <c:pt idx="0">
                  <c:v>1</c:v>
                </c:pt>
                <c:pt idx="1">
                  <c:v>1.0715193052376064</c:v>
                </c:pt>
                <c:pt idx="2">
                  <c:v>1.1481536214968828</c:v>
                </c:pt>
                <c:pt idx="3">
                  <c:v>1.2302687708123816</c:v>
                </c:pt>
                <c:pt idx="4">
                  <c:v>1.3182567385564072</c:v>
                </c:pt>
                <c:pt idx="5">
                  <c:v>1.4125375446227544</c:v>
                </c:pt>
                <c:pt idx="6">
                  <c:v>1.5135612484362082</c:v>
                </c:pt>
                <c:pt idx="7">
                  <c:v>1.62181009735893</c:v>
                </c:pt>
                <c:pt idx="8">
                  <c:v>1.7378008287493756</c:v>
                </c:pt>
                <c:pt idx="9">
                  <c:v>1.8620871366628675</c:v>
                </c:pt>
                <c:pt idx="10">
                  <c:v>1.9952623149688797</c:v>
                </c:pt>
                <c:pt idx="11">
                  <c:v>2.1379620895022322</c:v>
                </c:pt>
                <c:pt idx="12">
                  <c:v>2.2908676527677732</c:v>
                </c:pt>
                <c:pt idx="13">
                  <c:v>2.4547089156850306</c:v>
                </c:pt>
                <c:pt idx="14">
                  <c:v>2.6302679918953822</c:v>
                </c:pt>
                <c:pt idx="15">
                  <c:v>2.8183829312644537</c:v>
                </c:pt>
                <c:pt idx="16">
                  <c:v>3.0199517204020165</c:v>
                </c:pt>
                <c:pt idx="17">
                  <c:v>3.2359365692962836</c:v>
                </c:pt>
                <c:pt idx="18">
                  <c:v>3.4673685045253171</c:v>
                </c:pt>
                <c:pt idx="19">
                  <c:v>3.7153522909717256</c:v>
                </c:pt>
                <c:pt idx="20">
                  <c:v>3.9810717055349727</c:v>
                </c:pt>
                <c:pt idx="21">
                  <c:v>4.2657951880159271</c:v>
                </c:pt>
                <c:pt idx="22">
                  <c:v>4.5708818961487498</c:v>
                </c:pt>
                <c:pt idx="23">
                  <c:v>4.8977881936844625</c:v>
                </c:pt>
                <c:pt idx="24">
                  <c:v>5.2480746024977263</c:v>
                </c:pt>
                <c:pt idx="25">
                  <c:v>5.6234132519034921</c:v>
                </c:pt>
                <c:pt idx="26">
                  <c:v>6.0255958607435796</c:v>
                </c:pt>
                <c:pt idx="27">
                  <c:v>6.4565422903465555</c:v>
                </c:pt>
                <c:pt idx="28">
                  <c:v>6.9183097091893666</c:v>
                </c:pt>
                <c:pt idx="29">
                  <c:v>7.4131024130091765</c:v>
                </c:pt>
                <c:pt idx="30">
                  <c:v>7.943282347242814</c:v>
                </c:pt>
                <c:pt idx="31">
                  <c:v>8.5113803820237646</c:v>
                </c:pt>
                <c:pt idx="32">
                  <c:v>9.1201083935590983</c:v>
                </c:pt>
                <c:pt idx="33">
                  <c:v>9.7723722095581103</c:v>
                </c:pt>
                <c:pt idx="34">
                  <c:v>10.471285480509</c:v>
                </c:pt>
                <c:pt idx="35">
                  <c:v>11.220184543019636</c:v>
                </c:pt>
                <c:pt idx="36">
                  <c:v>12.022644346174133</c:v>
                </c:pt>
                <c:pt idx="37">
                  <c:v>12.882495516931341</c:v>
                </c:pt>
                <c:pt idx="38">
                  <c:v>13.803842646028851</c:v>
                </c:pt>
                <c:pt idx="39">
                  <c:v>14.791083881682074</c:v>
                </c:pt>
                <c:pt idx="40">
                  <c:v>15.848931924611136</c:v>
                </c:pt>
                <c:pt idx="41">
                  <c:v>16.982436524617448</c:v>
                </c:pt>
                <c:pt idx="42">
                  <c:v>18.197008586099841</c:v>
                </c:pt>
                <c:pt idx="43">
                  <c:v>19.498445997580465</c:v>
                </c:pt>
                <c:pt idx="44">
                  <c:v>20.892961308540393</c:v>
                </c:pt>
                <c:pt idx="45">
                  <c:v>22.387211385683397</c:v>
                </c:pt>
                <c:pt idx="46">
                  <c:v>23.988329190194907</c:v>
                </c:pt>
                <c:pt idx="47">
                  <c:v>25.703957827688647</c:v>
                </c:pt>
                <c:pt idx="48">
                  <c:v>27.542287033381665</c:v>
                </c:pt>
                <c:pt idx="49">
                  <c:v>29.512092266663863</c:v>
                </c:pt>
                <c:pt idx="50">
                  <c:v>31.622776601683803</c:v>
                </c:pt>
                <c:pt idx="51">
                  <c:v>33.884415613920268</c:v>
                </c:pt>
                <c:pt idx="52">
                  <c:v>36.307805477010156</c:v>
                </c:pt>
                <c:pt idx="53">
                  <c:v>38.904514499428053</c:v>
                </c:pt>
                <c:pt idx="54">
                  <c:v>41.686938347033546</c:v>
                </c:pt>
                <c:pt idx="55">
                  <c:v>44.668359215096324</c:v>
                </c:pt>
                <c:pt idx="56">
                  <c:v>47.863009232263856</c:v>
                </c:pt>
                <c:pt idx="57">
                  <c:v>51.28613839913649</c:v>
                </c:pt>
                <c:pt idx="58">
                  <c:v>54.95408738576247</c:v>
                </c:pt>
                <c:pt idx="59">
                  <c:v>58.884365535558949</c:v>
                </c:pt>
                <c:pt idx="60">
                  <c:v>63.095734448019307</c:v>
                </c:pt>
                <c:pt idx="61">
                  <c:v>67.60829753919819</c:v>
                </c:pt>
                <c:pt idx="62">
                  <c:v>72.443596007499011</c:v>
                </c:pt>
                <c:pt idx="63">
                  <c:v>77.624711662869217</c:v>
                </c:pt>
                <c:pt idx="64">
                  <c:v>83.176377110267126</c:v>
                </c:pt>
                <c:pt idx="65">
                  <c:v>89.125093813374562</c:v>
                </c:pt>
                <c:pt idx="66">
                  <c:v>95.499258602143655</c:v>
                </c:pt>
                <c:pt idx="67">
                  <c:v>102.32929922807544</c:v>
                </c:pt>
                <c:pt idx="68">
                  <c:v>109.64781961431861</c:v>
                </c:pt>
                <c:pt idx="69">
                  <c:v>117.48975549395293</c:v>
                </c:pt>
                <c:pt idx="70">
                  <c:v>125.89254117941677</c:v>
                </c:pt>
                <c:pt idx="71">
                  <c:v>134.89628825916537</c:v>
                </c:pt>
                <c:pt idx="72">
                  <c:v>144.54397707459285</c:v>
                </c:pt>
                <c:pt idx="73">
                  <c:v>154.8816618912482</c:v>
                </c:pt>
                <c:pt idx="74">
                  <c:v>165.95869074375608</c:v>
                </c:pt>
                <c:pt idx="75">
                  <c:v>177.82794100389242</c:v>
                </c:pt>
                <c:pt idx="76">
                  <c:v>190.54607179632481</c:v>
                </c:pt>
                <c:pt idx="77">
                  <c:v>204.17379446695315</c:v>
                </c:pt>
                <c:pt idx="78">
                  <c:v>218.77616239495524</c:v>
                </c:pt>
                <c:pt idx="79">
                  <c:v>234.42288153199232</c:v>
                </c:pt>
                <c:pt idx="80">
                  <c:v>251.18864315095806</c:v>
                </c:pt>
                <c:pt idx="81">
                  <c:v>269.15348039269156</c:v>
                </c:pt>
                <c:pt idx="82">
                  <c:v>288.40315031266073</c:v>
                </c:pt>
                <c:pt idx="83">
                  <c:v>309.02954325135909</c:v>
                </c:pt>
                <c:pt idx="84">
                  <c:v>331.13112148259137</c:v>
                </c:pt>
                <c:pt idx="85">
                  <c:v>354.81338923357566</c:v>
                </c:pt>
                <c:pt idx="86">
                  <c:v>380.18939632056163</c:v>
                </c:pt>
                <c:pt idx="87">
                  <c:v>407.38027780411272</c:v>
                </c:pt>
                <c:pt idx="88">
                  <c:v>436.51583224016582</c:v>
                </c:pt>
                <c:pt idx="89">
                  <c:v>467.7351412871983</c:v>
                </c:pt>
                <c:pt idx="90">
                  <c:v>501.18723362727229</c:v>
                </c:pt>
                <c:pt idx="91">
                  <c:v>537.03179637025301</c:v>
                </c:pt>
                <c:pt idx="92">
                  <c:v>575.43993733715706</c:v>
                </c:pt>
                <c:pt idx="93">
                  <c:v>616.59500186148273</c:v>
                </c:pt>
                <c:pt idx="94">
                  <c:v>660.69344800759643</c:v>
                </c:pt>
                <c:pt idx="95">
                  <c:v>707.94578438413873</c:v>
                </c:pt>
                <c:pt idx="96">
                  <c:v>758.57757502918378</c:v>
                </c:pt>
                <c:pt idx="97">
                  <c:v>812.83051616409898</c:v>
                </c:pt>
                <c:pt idx="98">
                  <c:v>870.96358995608091</c:v>
                </c:pt>
                <c:pt idx="99">
                  <c:v>933.25430079699106</c:v>
                </c:pt>
                <c:pt idx="100">
                  <c:v>1000</c:v>
                </c:pt>
                <c:pt idx="101">
                  <c:v>1071.5193052376069</c:v>
                </c:pt>
                <c:pt idx="102">
                  <c:v>1148.1536214968839</c:v>
                </c:pt>
                <c:pt idx="103">
                  <c:v>1230.2687708123824</c:v>
                </c:pt>
                <c:pt idx="104">
                  <c:v>1318.2567385564089</c:v>
                </c:pt>
                <c:pt idx="105">
                  <c:v>1412.5375446227545</c:v>
                </c:pt>
                <c:pt idx="106">
                  <c:v>1513.561248436208</c:v>
                </c:pt>
                <c:pt idx="107">
                  <c:v>1621.8100973589308</c:v>
                </c:pt>
                <c:pt idx="108">
                  <c:v>1737.8008287493758</c:v>
                </c:pt>
                <c:pt idx="109">
                  <c:v>1862.0871366628687</c:v>
                </c:pt>
                <c:pt idx="110">
                  <c:v>1995.2623149688804</c:v>
                </c:pt>
                <c:pt idx="111">
                  <c:v>2137.9620895022344</c:v>
                </c:pt>
                <c:pt idx="112">
                  <c:v>2290.8676527677749</c:v>
                </c:pt>
                <c:pt idx="113">
                  <c:v>2454.7089156850293</c:v>
                </c:pt>
                <c:pt idx="114">
                  <c:v>2630.2679918953822</c:v>
                </c:pt>
                <c:pt idx="115">
                  <c:v>2818.3829312644534</c:v>
                </c:pt>
                <c:pt idx="116">
                  <c:v>3019.9517204020176</c:v>
                </c:pt>
                <c:pt idx="117">
                  <c:v>3235.9365692962833</c:v>
                </c:pt>
                <c:pt idx="118">
                  <c:v>3467.3685045253224</c:v>
                </c:pt>
                <c:pt idx="119">
                  <c:v>3715.352290971724</c:v>
                </c:pt>
                <c:pt idx="120">
                  <c:v>3981.0717055349701</c:v>
                </c:pt>
                <c:pt idx="121">
                  <c:v>4265.7951880159299</c:v>
                </c:pt>
                <c:pt idx="122">
                  <c:v>4570.8818961487532</c:v>
                </c:pt>
                <c:pt idx="123">
                  <c:v>4897.7881936844633</c:v>
                </c:pt>
                <c:pt idx="124">
                  <c:v>5248.0746024977261</c:v>
                </c:pt>
                <c:pt idx="125">
                  <c:v>5623.4132519034993</c:v>
                </c:pt>
                <c:pt idx="126">
                  <c:v>6025.595860743585</c:v>
                </c:pt>
                <c:pt idx="127">
                  <c:v>6456.5422903465615</c:v>
                </c:pt>
                <c:pt idx="128">
                  <c:v>6918.3097091893687</c:v>
                </c:pt>
                <c:pt idx="129">
                  <c:v>7413.1024130091773</c:v>
                </c:pt>
                <c:pt idx="130">
                  <c:v>7943.2823472428154</c:v>
                </c:pt>
                <c:pt idx="131">
                  <c:v>8511.3803820237626</c:v>
                </c:pt>
                <c:pt idx="132">
                  <c:v>9120.1083935591087</c:v>
                </c:pt>
                <c:pt idx="133">
                  <c:v>9772.3722095581161</c:v>
                </c:pt>
                <c:pt idx="134">
                  <c:v>10471.285480509003</c:v>
                </c:pt>
                <c:pt idx="135">
                  <c:v>11220.184543019639</c:v>
                </c:pt>
                <c:pt idx="136">
                  <c:v>12022.644346174151</c:v>
                </c:pt>
                <c:pt idx="137">
                  <c:v>12882.495516931338</c:v>
                </c:pt>
                <c:pt idx="138">
                  <c:v>13803.842646028841</c:v>
                </c:pt>
                <c:pt idx="139">
                  <c:v>14791.083881682089</c:v>
                </c:pt>
                <c:pt idx="140">
                  <c:v>15848.931924611146</c:v>
                </c:pt>
                <c:pt idx="141">
                  <c:v>16982.436524617453</c:v>
                </c:pt>
                <c:pt idx="142">
                  <c:v>18197.008586099837</c:v>
                </c:pt>
                <c:pt idx="143">
                  <c:v>19498.445997580486</c:v>
                </c:pt>
                <c:pt idx="144">
                  <c:v>20892.961308540423</c:v>
                </c:pt>
                <c:pt idx="145">
                  <c:v>22387.211385683382</c:v>
                </c:pt>
                <c:pt idx="146">
                  <c:v>23988.329190194923</c:v>
                </c:pt>
                <c:pt idx="147">
                  <c:v>25703.95782768865</c:v>
                </c:pt>
                <c:pt idx="148">
                  <c:v>27542.287033381672</c:v>
                </c:pt>
                <c:pt idx="149">
                  <c:v>29512.092266663854</c:v>
                </c:pt>
                <c:pt idx="150">
                  <c:v>31622.77660168384</c:v>
                </c:pt>
                <c:pt idx="151">
                  <c:v>33884.41561392029</c:v>
                </c:pt>
                <c:pt idx="152">
                  <c:v>36307.805477010166</c:v>
                </c:pt>
                <c:pt idx="153">
                  <c:v>38904.514499428085</c:v>
                </c:pt>
                <c:pt idx="154">
                  <c:v>41686.938347033625</c:v>
                </c:pt>
                <c:pt idx="155">
                  <c:v>44668.359215096309</c:v>
                </c:pt>
                <c:pt idx="156">
                  <c:v>47863.009232263823</c:v>
                </c:pt>
                <c:pt idx="157">
                  <c:v>51286.138399136544</c:v>
                </c:pt>
                <c:pt idx="158">
                  <c:v>54954.087385762505</c:v>
                </c:pt>
                <c:pt idx="159">
                  <c:v>58884.365535558936</c:v>
                </c:pt>
                <c:pt idx="160">
                  <c:v>63095.734448019342</c:v>
                </c:pt>
                <c:pt idx="161">
                  <c:v>67608.297539198305</c:v>
                </c:pt>
                <c:pt idx="162">
                  <c:v>72443.596007498985</c:v>
                </c:pt>
                <c:pt idx="163">
                  <c:v>77624.711662869129</c:v>
                </c:pt>
                <c:pt idx="164">
                  <c:v>83176.377110267174</c:v>
                </c:pt>
                <c:pt idx="165">
                  <c:v>89125.093813374609</c:v>
                </c:pt>
                <c:pt idx="166">
                  <c:v>95499.258602143629</c:v>
                </c:pt>
                <c:pt idx="167">
                  <c:v>102329.29922807543</c:v>
                </c:pt>
                <c:pt idx="168">
                  <c:v>109647.81961431868</c:v>
                </c:pt>
                <c:pt idx="169">
                  <c:v>117489.75549395289</c:v>
                </c:pt>
                <c:pt idx="170">
                  <c:v>125892.54117941685</c:v>
                </c:pt>
                <c:pt idx="171">
                  <c:v>134896.28825916545</c:v>
                </c:pt>
                <c:pt idx="172">
                  <c:v>144543.97707459307</c:v>
                </c:pt>
                <c:pt idx="173">
                  <c:v>154881.66189124816</c:v>
                </c:pt>
                <c:pt idx="174">
                  <c:v>165958.69074375604</c:v>
                </c:pt>
                <c:pt idx="175">
                  <c:v>177827.94100389251</c:v>
                </c:pt>
                <c:pt idx="176">
                  <c:v>190546.0717963246</c:v>
                </c:pt>
                <c:pt idx="177">
                  <c:v>204173.79446695308</c:v>
                </c:pt>
                <c:pt idx="178">
                  <c:v>218776.16239495538</c:v>
                </c:pt>
                <c:pt idx="179">
                  <c:v>234422.88153199267</c:v>
                </c:pt>
                <c:pt idx="180">
                  <c:v>251188.643150958</c:v>
                </c:pt>
                <c:pt idx="181">
                  <c:v>269153.48039269145</c:v>
                </c:pt>
                <c:pt idx="182">
                  <c:v>288403.1503126609</c:v>
                </c:pt>
                <c:pt idx="183">
                  <c:v>309029.54325135931</c:v>
                </c:pt>
                <c:pt idx="184">
                  <c:v>331131.12148259126</c:v>
                </c:pt>
                <c:pt idx="185">
                  <c:v>354813.38923357555</c:v>
                </c:pt>
                <c:pt idx="186">
                  <c:v>380189.39632056188</c:v>
                </c:pt>
                <c:pt idx="187">
                  <c:v>407380.27780411259</c:v>
                </c:pt>
                <c:pt idx="188">
                  <c:v>436515.83224016649</c:v>
                </c:pt>
                <c:pt idx="189">
                  <c:v>467735.14128719864</c:v>
                </c:pt>
                <c:pt idx="190">
                  <c:v>501187.23362727347</c:v>
                </c:pt>
                <c:pt idx="191">
                  <c:v>537031.79637025285</c:v>
                </c:pt>
                <c:pt idx="192">
                  <c:v>575439.93733715697</c:v>
                </c:pt>
                <c:pt idx="193">
                  <c:v>616595.00186148309</c:v>
                </c:pt>
                <c:pt idx="194">
                  <c:v>660693.44800759561</c:v>
                </c:pt>
                <c:pt idx="195">
                  <c:v>707945.78438413853</c:v>
                </c:pt>
                <c:pt idx="196">
                  <c:v>758577.57502918423</c:v>
                </c:pt>
                <c:pt idx="197">
                  <c:v>812830.51616410096</c:v>
                </c:pt>
                <c:pt idx="198">
                  <c:v>870963.58995608077</c:v>
                </c:pt>
                <c:pt idx="199">
                  <c:v>933254.30079699249</c:v>
                </c:pt>
                <c:pt idx="200">
                  <c:v>1000000</c:v>
                </c:pt>
              </c:numCache>
            </c:numRef>
          </c:xVal>
          <c:yVal>
            <c:numRef>
              <c:f>Compensator!$CE$64:$CE$264</c:f>
              <c:numCache>
                <c:formatCode>General</c:formatCode>
                <c:ptCount val="201"/>
                <c:pt idx="0">
                  <c:v>177.91979255572687</c:v>
                </c:pt>
                <c:pt idx="1">
                  <c:v>177.77116085124544</c:v>
                </c:pt>
                <c:pt idx="2">
                  <c:v>177.61193206098949</c:v>
                </c:pt>
                <c:pt idx="3">
                  <c:v>177.44135585809565</c:v>
                </c:pt>
                <c:pt idx="4">
                  <c:v>177.25862998837493</c:v>
                </c:pt>
                <c:pt idx="5">
                  <c:v>177.06289695308087</c:v>
                </c:pt>
                <c:pt idx="6">
                  <c:v>176.85324054449396</c:v>
                </c:pt>
                <c:pt idx="7">
                  <c:v>176.62868224401905</c:v>
                </c:pt>
                <c:pt idx="8">
                  <c:v>176.38817749763652</c:v>
                </c:pt>
                <c:pt idx="9">
                  <c:v>176.13061188999268</c:v>
                </c:pt>
                <c:pt idx="10">
                  <c:v>175.85479724644995</c:v>
                </c:pt>
                <c:pt idx="11">
                  <c:v>175.55946770235346</c:v>
                </c:pt>
                <c:pt idx="12">
                  <c:v>175.24327579099565</c:v>
                </c:pt>
                <c:pt idx="13">
                  <c:v>174.90478861670351</c:v>
                </c:pt>
                <c:pt idx="14">
                  <c:v>174.54248419762561</c:v>
                </c:pt>
                <c:pt idx="15">
                  <c:v>174.15474808471774</c:v>
                </c:pt>
                <c:pt idx="16">
                  <c:v>173.73987038969233</c:v>
                </c:pt>
                <c:pt idx="17">
                  <c:v>173.29604338595843</c:v>
                </c:pt>
                <c:pt idx="18">
                  <c:v>172.82135988343714</c:v>
                </c:pt>
                <c:pt idx="19">
                  <c:v>172.31381262117648</c:v>
                </c:pt>
                <c:pt idx="20">
                  <c:v>171.77129497134155</c:v>
                </c:pt>
                <c:pt idx="21">
                  <c:v>171.19160330463035</c:v>
                </c:pt>
                <c:pt idx="22">
                  <c:v>170.57244143024218</c:v>
                </c:pt>
                <c:pt idx="23">
                  <c:v>169.91142759242121</c:v>
                </c:pt>
                <c:pt idx="24">
                  <c:v>169.20610457856401</c:v>
                </c:pt>
                <c:pt idx="25">
                  <c:v>168.45395356798167</c:v>
                </c:pt>
                <c:pt idx="26">
                  <c:v>167.65241242097787</c:v>
                </c:pt>
                <c:pt idx="27">
                  <c:v>166.79889916806317</c:v>
                </c:pt>
                <c:pt idx="28">
                  <c:v>165.8908414993376</c:v>
                </c:pt>
                <c:pt idx="29">
                  <c:v>164.92571306145709</c:v>
                </c:pt>
                <c:pt idx="30">
                  <c:v>163.90107732779222</c:v>
                </c:pt>
                <c:pt idx="31">
                  <c:v>162.81463969637318</c:v>
                </c:pt>
                <c:pt idx="32">
                  <c:v>161.66430826696441</c:v>
                </c:pt>
                <c:pt idx="33">
                  <c:v>160.44826342861998</c:v>
                </c:pt>
                <c:pt idx="34">
                  <c:v>159.16503592899636</c:v>
                </c:pt>
                <c:pt idx="35">
                  <c:v>157.8135924789859</c:v>
                </c:pt>
                <c:pt idx="36">
                  <c:v>156.39342716506383</c:v>
                </c:pt>
                <c:pt idx="37">
                  <c:v>154.9046560110329</c:v>
                </c:pt>
                <c:pt idx="38">
                  <c:v>153.34811099272599</c:v>
                </c:pt>
                <c:pt idx="39">
                  <c:v>151.72542874178183</c:v>
                </c:pt>
                <c:pt idx="40">
                  <c:v>150.03912819615857</c:v>
                </c:pt>
                <c:pt idx="41">
                  <c:v>148.29267072156841</c:v>
                </c:pt>
                <c:pt idx="42">
                  <c:v>146.49049592026591</c:v>
                </c:pt>
                <c:pt idx="43">
                  <c:v>144.63802664207392</c:v>
                </c:pt>
                <c:pt idx="44">
                  <c:v>142.74163776016908</c:v>
                </c:pt>
                <c:pt idx="45">
                  <c:v>140.80858513316431</c:v>
                </c:pt>
                <c:pt idx="46">
                  <c:v>138.84689378627269</c:v>
                </c:pt>
                <c:pt idx="47">
                  <c:v>136.86520750396585</c:v>
                </c:pt>
                <c:pt idx="48">
                  <c:v>134.87260539204175</c:v>
                </c:pt>
                <c:pt idx="49">
                  <c:v>132.87839410016494</c:v>
                </c:pt>
                <c:pt idx="50">
                  <c:v>130.89188683905473</c:v>
                </c:pt>
                <c:pt idx="51">
                  <c:v>128.9221816956416</c:v>
                </c:pt>
                <c:pt idx="52">
                  <c:v>126.97795182063714</c:v>
                </c:pt>
                <c:pt idx="53">
                  <c:v>125.06725882417265</c:v>
                </c:pt>
                <c:pt idx="54">
                  <c:v>123.19739836983167</c:v>
                </c:pt>
                <c:pt idx="55">
                  <c:v>121.37478387609863</c:v>
                </c:pt>
                <c:pt idx="56">
                  <c:v>119.60487087138402</c:v>
                </c:pt>
                <c:pt idx="57">
                  <c:v>117.89212134873991</c:v>
                </c:pt>
                <c:pt idx="58">
                  <c:v>116.24000478452609</c:v>
                </c:pt>
                <c:pt idx="59">
                  <c:v>114.65103054108326</c:v>
                </c:pt>
                <c:pt idx="60">
                  <c:v>113.12680524072293</c:v>
                </c:pt>
                <c:pt idx="61">
                  <c:v>111.66810832605039</c:v>
                </c:pt>
                <c:pt idx="62">
                  <c:v>110.27497927323913</c:v>
                </c:pt>
                <c:pt idx="63">
                  <c:v>108.94681062199153</c:v>
                </c:pt>
                <c:pt idx="64">
                  <c:v>107.68244194641082</c:v>
                </c:pt>
                <c:pt idx="65">
                  <c:v>106.48025095543154</c:v>
                </c:pt>
                <c:pt idx="66">
                  <c:v>105.33823895730995</c:v>
                </c:pt>
                <c:pt idx="67">
                  <c:v>104.25410886765741</c:v>
                </c:pt>
                <c:pt idx="68">
                  <c:v>103.22533473907039</c:v>
                </c:pt>
                <c:pt idx="69">
                  <c:v>102.24922242611602</c:v>
                </c:pt>
                <c:pt idx="70">
                  <c:v>101.32296147635502</c:v>
                </c:pt>
                <c:pt idx="71">
                  <c:v>100.44366867301771</c:v>
                </c:pt>
                <c:pt idx="72">
                  <c:v>99.608423870813439</c:v>
                </c:pt>
                <c:pt idx="73">
                  <c:v>98.814298887852743</c:v>
                </c:pt>
                <c:pt idx="74">
                  <c:v>98.058380267102677</c:v>
                </c:pt>
                <c:pt idx="75">
                  <c:v>97.337786720689579</c:v>
                </c:pt>
                <c:pt idx="76">
                  <c:v>96.649682036610429</c:v>
                </c:pt>
                <c:pt idx="77">
                  <c:v>95.991284173377039</c:v>
                </c:pt>
                <c:pt idx="78">
                  <c:v>95.359871203896091</c:v>
                </c:pt>
                <c:pt idx="79">
                  <c:v>94.752784702818019</c:v>
                </c:pt>
                <c:pt idx="80">
                  <c:v>94.167431106814078</c:v>
                </c:pt>
                <c:pt idx="81">
                  <c:v>93.601281518192039</c:v>
                </c:pt>
                <c:pt idx="82">
                  <c:v>93.051870371128331</c:v>
                </c:pt>
                <c:pt idx="83">
                  <c:v>92.516793337881907</c:v>
                </c:pt>
                <c:pt idx="84">
                  <c:v>91.993704820387052</c:v>
                </c:pt>
                <c:pt idx="85">
                  <c:v>91.480315350942362</c:v>
                </c:pt>
                <c:pt idx="86">
                  <c:v>90.974389214455869</c:v>
                </c:pt>
                <c:pt idx="87">
                  <c:v>90.473742603869695</c:v>
                </c:pt>
                <c:pt idx="88">
                  <c:v>89.976242629902231</c:v>
                </c:pt>
                <c:pt idx="89">
                  <c:v>89.479807525957668</c:v>
                </c:pt>
                <c:pt idx="90">
                  <c:v>88.982408418668086</c:v>
                </c:pt>
                <c:pt idx="91">
                  <c:v>88.482073073541571</c:v>
                </c:pt>
                <c:pt idx="92">
                  <c:v>87.976892072687818</c:v>
                </c:pt>
                <c:pt idx="93">
                  <c:v>87.465027936048614</c:v>
                </c:pt>
                <c:pt idx="94">
                  <c:v>86.94472775657934</c:v>
                </c:pt>
                <c:pt idx="95">
                  <c:v>86.414339979679198</c:v>
                </c:pt>
                <c:pt idx="96">
                  <c:v>85.872336012431447</c:v>
                </c:pt>
                <c:pt idx="97">
                  <c:v>85.317337391176508</c:v>
                </c:pt>
                <c:pt idx="98">
                  <c:v>84.748149256105435</c:v>
                </c:pt>
                <c:pt idx="99">
                  <c:v>84.16380086507759</c:v>
                </c:pt>
                <c:pt idx="100">
                  <c:v>83.563593808268166</c:v>
                </c:pt>
                <c:pt idx="101">
                  <c:v>82.947158439382832</c:v>
                </c:pt>
                <c:pt idx="102">
                  <c:v>82.314518793897165</c:v>
                </c:pt>
                <c:pt idx="103">
                  <c:v>81.666165894501418</c:v>
                </c:pt>
                <c:pt idx="104">
                  <c:v>81.003138824559656</c:v>
                </c:pt>
                <c:pt idx="105">
                  <c:v>80.327112263875165</c:v>
                </c:pt>
                <c:pt idx="106">
                  <c:v>79.640488321820797</c:v>
                </c:pt>
                <c:pt idx="107">
                  <c:v>78.946489485768666</c:v>
                </c:pt>
                <c:pt idx="108">
                  <c:v>78.2492483717852</c:v>
                </c:pt>
                <c:pt idx="109">
                  <c:v>77.553888800738093</c:v>
                </c:pt>
                <c:pt idx="110">
                  <c:v>76.866591648351189</c:v>
                </c:pt>
                <c:pt idx="111">
                  <c:v>76.194638092673088</c:v>
                </c:pt>
                <c:pt idx="112">
                  <c:v>75.546422492210255</c:v>
                </c:pt>
                <c:pt idx="113">
                  <c:v>74.931427357341221</c:v>
                </c:pt>
                <c:pt idx="114">
                  <c:v>74.360153873698252</c:v>
                </c:pt>
                <c:pt idx="115">
                  <c:v>73.844003265474186</c:v>
                </c:pt>
                <c:pt idx="116">
                  <c:v>73.395106896135587</c:v>
                </c:pt>
                <c:pt idx="117">
                  <c:v>73.026106200310934</c:v>
                </c:pt>
                <c:pt idx="118">
                  <c:v>72.749886998488108</c:v>
                </c:pt>
                <c:pt idx="119">
                  <c:v>72.579276053879752</c:v>
                </c:pt>
                <c:pt idx="120">
                  <c:v>72.526710466748426</c:v>
                </c:pt>
                <c:pt idx="121">
                  <c:v>72.603892324371344</c:v>
                </c:pt>
                <c:pt idx="122">
                  <c:v>72.821441753005502</c:v>
                </c:pt>
                <c:pt idx="123">
                  <c:v>73.188561171443212</c:v>
                </c:pt>
                <c:pt idx="124">
                  <c:v>73.712722335029994</c:v>
                </c:pt>
                <c:pt idx="125">
                  <c:v>74.399386025510609</c:v>
                </c:pt>
                <c:pt idx="126">
                  <c:v>75.251762363158633</c:v>
                </c:pt>
                <c:pt idx="127">
                  <c:v>76.270618008539614</c:v>
                </c:pt>
                <c:pt idx="128">
                  <c:v>77.454135160426389</c:v>
                </c:pt>
                <c:pt idx="129">
                  <c:v>78.797826253992241</c:v>
                </c:pt>
                <c:pt idx="130">
                  <c:v>80.294507478584606</c:v>
                </c:pt>
                <c:pt idx="131">
                  <c:v>81.934333432064392</c:v>
                </c:pt>
                <c:pt idx="132">
                  <c:v>83.704894158530351</c:v>
                </c:pt>
                <c:pt idx="133">
                  <c:v>85.591374290222703</c:v>
                </c:pt>
                <c:pt idx="134">
                  <c:v>87.576771963316261</c:v>
                </c:pt>
                <c:pt idx="135">
                  <c:v>89.642172672879994</c:v>
                </c:pt>
                <c:pt idx="136">
                  <c:v>91.767070472356977</c:v>
                </c:pt>
                <c:pt idx="137">
                  <c:v>93.929726188641482</c:v>
                </c:pt>
                <c:pt idx="138">
                  <c:v>96.107549923652542</c:v>
                </c:pt>
                <c:pt idx="139">
                  <c:v>98.277493331575712</c:v>
                </c:pt>
                <c:pt idx="140">
                  <c:v>100.41643622015759</c:v>
                </c:pt>
                <c:pt idx="141">
                  <c:v>102.50155206461338</c:v>
                </c:pt>
                <c:pt idx="142">
                  <c:v>104.5106380915353</c:v>
                </c:pt>
                <c:pt idx="143">
                  <c:v>106.4223976382451</c:v>
                </c:pt>
                <c:pt idx="144">
                  <c:v>108.21666537244806</c:v>
                </c:pt>
                <c:pt idx="145">
                  <c:v>109.87456942712832</c:v>
                </c:pt>
                <c:pt idx="146">
                  <c:v>111.37862825310168</c:v>
                </c:pt>
                <c:pt idx="147">
                  <c:v>112.71278366755024</c:v>
                </c:pt>
                <c:pt idx="148">
                  <c:v>113.86237484654879</c:v>
                </c:pt>
                <c:pt idx="149">
                  <c:v>114.81406060358239</c:v>
                </c:pt>
                <c:pt idx="150">
                  <c:v>115.55569904935841</c:v>
                </c:pt>
                <c:pt idx="151">
                  <c:v>116.07619459676802</c:v>
                </c:pt>
                <c:pt idx="152">
                  <c:v>116.36532232890468</c:v>
                </c:pt>
                <c:pt idx="153">
                  <c:v>116.41353914584535</c:v>
                </c:pt>
                <c:pt idx="154">
                  <c:v>116.21179005895436</c:v>
                </c:pt>
                <c:pt idx="155">
                  <c:v>115.75131674153825</c:v>
                </c:pt>
                <c:pt idx="156">
                  <c:v>115.02347420002617</c:v>
                </c:pt>
                <c:pt idx="157">
                  <c:v>114.01956041604615</c:v>
                </c:pt>
                <c:pt idx="158">
                  <c:v>112.73066323451766</c:v>
                </c:pt>
                <c:pt idx="159">
                  <c:v>111.14752885387341</c:v>
                </c:pt>
                <c:pt idx="160">
                  <c:v>109.26045726508617</c:v>
                </c:pt>
                <c:pt idx="161">
                  <c:v>107.05923220305931</c:v>
                </c:pt>
                <c:pt idx="162">
                  <c:v>104.53309701479263</c:v>
                </c:pt>
                <c:pt idx="163">
                  <c:v>101.67079377918333</c:v>
                </c:pt>
                <c:pt idx="164">
                  <c:v>98.460691485276882</c:v>
                </c:pt>
                <c:pt idx="165">
                  <c:v>94.891040314200922</c:v>
                </c:pt>
                <c:pt idx="166">
                  <c:v>90.950402634430134</c:v>
                </c:pt>
                <c:pt idx="167">
                  <c:v>86.628325329304474</c:v>
                </c:pt>
                <c:pt idx="168">
                  <c:v>81.916328035486913</c:v>
                </c:pt>
                <c:pt idx="169">
                  <c:v>76.809279265201013</c:v>
                </c:pt>
                <c:pt idx="170">
                  <c:v>71.307203758005571</c:v>
                </c:pt>
                <c:pt idx="171">
                  <c:v>65.417492672875383</c:v>
                </c:pt>
                <c:pt idx="172">
                  <c:v>59.157359064787386</c:v>
                </c:pt>
                <c:pt idx="173">
                  <c:v>52.556197052312427</c:v>
                </c:pt>
                <c:pt idx="174">
                  <c:v>45.657303654321794</c:v>
                </c:pt>
                <c:pt idx="175">
                  <c:v>38.518297133589414</c:v>
                </c:pt>
                <c:pt idx="176">
                  <c:v>31.209636544037409</c:v>
                </c:pt>
                <c:pt idx="177">
                  <c:v>23.810999086466467</c:v>
                </c:pt>
                <c:pt idx="178">
                  <c:v>16.405857635276618</c:v>
                </c:pt>
                <c:pt idx="179">
                  <c:v>9.0752012283280123</c:v>
                </c:pt>
                <c:pt idx="180">
                  <c:v>1.8916609360477707</c:v>
                </c:pt>
                <c:pt idx="181">
                  <c:v>-5.0848340513253447</c:v>
                </c:pt>
                <c:pt idx="182">
                  <c:v>-11.809264569953854</c:v>
                </c:pt>
                <c:pt idx="183">
                  <c:v>-18.251619556058557</c:v>
                </c:pt>
                <c:pt idx="184">
                  <c:v>-24.395380402572101</c:v>
                </c:pt>
                <c:pt idx="185">
                  <c:v>-30.235074934477183</c:v>
                </c:pt>
                <c:pt idx="186">
                  <c:v>-35.773527020753534</c:v>
                </c:pt>
                <c:pt idx="187">
                  <c:v>-41.019243956083699</c:v>
                </c:pt>
                <c:pt idx="188">
                  <c:v>-45.98418235896375</c:v>
                </c:pt>
                <c:pt idx="189">
                  <c:v>-50.681975620077139</c:v>
                </c:pt>
                <c:pt idx="190">
                  <c:v>-55.126608238412672</c:v>
                </c:pt>
                <c:pt idx="191">
                  <c:v>-59.331475653119909</c:v>
                </c:pt>
                <c:pt idx="192">
                  <c:v>-63.30875533389424</c:v>
                </c:pt>
                <c:pt idx="193">
                  <c:v>-67.069020359113907</c:v>
                </c:pt>
                <c:pt idx="194">
                  <c:v>-70.621039584587379</c:v>
                </c:pt>
                <c:pt idx="195">
                  <c:v>-73.971722380463675</c:v>
                </c:pt>
                <c:pt idx="196">
                  <c:v>-77.126177627459342</c:v>
                </c:pt>
                <c:pt idx="197">
                  <c:v>-80.087865054869638</c:v>
                </c:pt>
                <c:pt idx="198">
                  <c:v>-82.858822022852394</c:v>
                </c:pt>
                <c:pt idx="199">
                  <c:v>-85.439951021938384</c:v>
                </c:pt>
                <c:pt idx="200">
                  <c:v>-87.831353269754047</c:v>
                </c:pt>
              </c:numCache>
            </c:numRef>
          </c:yVal>
          <c:smooth val="1"/>
          <c:extLst>
            <c:ext xmlns:c16="http://schemas.microsoft.com/office/drawing/2014/chart" uri="{C3380CC4-5D6E-409C-BE32-E72D297353CC}">
              <c16:uniqueId val="{00000000-E156-40AC-9C53-A4123D2DC331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199358336"/>
        <c:axId val="199507968"/>
      </c:scatterChart>
      <c:valAx>
        <c:axId val="199358336"/>
        <c:scaling>
          <c:logBase val="10"/>
          <c:orientation val="minMax"/>
          <c:min val="100"/>
        </c:scaling>
        <c:delete val="0"/>
        <c:axPos val="b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minorGridlines>
          <c:spPr>
            <a:ln w="3175">
              <a:solidFill>
                <a:srgbClr val="000000"/>
              </a:solidFill>
              <a:prstDash val="solid"/>
            </a:ln>
          </c:spPr>
        </c:minorGridlines>
        <c:title>
          <c:tx>
            <c:rich>
              <a:bodyPr/>
              <a:lstStyle/>
              <a:p>
                <a:pPr>
                  <a:defRPr/>
                </a:pPr>
                <a:r>
                  <a:rPr lang="en-US"/>
                  <a:t>Frequency (Hz)</a:t>
                </a:r>
              </a:p>
            </c:rich>
          </c:tx>
          <c:layout/>
          <c:overlay val="0"/>
        </c:title>
        <c:numFmt formatCode="0.0E+00" sourceLinked="0"/>
        <c:majorTickMark val="out"/>
        <c:minorTickMark val="out"/>
        <c:tickLblPos val="low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8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zh-CN"/>
          </a:p>
        </c:txPr>
        <c:crossAx val="199507968"/>
        <c:crosses val="autoZero"/>
        <c:crossBetween val="midCat"/>
      </c:valAx>
      <c:valAx>
        <c:axId val="199507968"/>
        <c:scaling>
          <c:orientation val="minMax"/>
          <c:max val="150"/>
          <c:min val="-150"/>
        </c:scaling>
        <c:delete val="0"/>
        <c:axPos val="l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title>
          <c:tx>
            <c:rich>
              <a:bodyPr rot="0" vert="wordArtVert"/>
              <a:lstStyle/>
              <a:p>
                <a:pPr>
                  <a:defRPr/>
                </a:pPr>
                <a:r>
                  <a:rPr lang="en-US"/>
                  <a:t>Phase (</a:t>
                </a:r>
                <a:r>
                  <a:rPr lang="en-US">
                    <a:sym typeface="Symbol"/>
                  </a:rPr>
                  <a:t></a:t>
                </a:r>
                <a:r>
                  <a:rPr lang="en-US"/>
                  <a:t>)</a:t>
                </a:r>
              </a:p>
            </c:rich>
          </c:tx>
          <c:layout/>
          <c:overlay val="0"/>
        </c:title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8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zh-CN"/>
          </a:p>
        </c:txPr>
        <c:crossAx val="199358336"/>
        <c:crosses val="autoZero"/>
        <c:crossBetween val="midCat"/>
      </c:valAx>
      <c:spPr>
        <a:noFill/>
        <a:ln w="12700">
          <a:solidFill>
            <a:srgbClr val="808080"/>
          </a:solidFill>
          <a:prstDash val="solid"/>
        </a:ln>
      </c:spPr>
    </c:plotArea>
    <c:legend>
      <c:legendPos val="r"/>
      <c:layout>
        <c:manualLayout>
          <c:xMode val="edge"/>
          <c:yMode val="edge"/>
          <c:x val="0.62282879777642475"/>
          <c:y val="6.9711525239299535E-2"/>
          <c:w val="0.37116713621806446"/>
          <c:h val="0.12736366951853115"/>
        </c:manualLayout>
      </c:layout>
      <c:overlay val="0"/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>
            <a:defRPr sz="1400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zh-CN"/>
        </a:p>
      </c:txPr>
    </c:legend>
    <c:plotVisOnly val="1"/>
    <c:dispBlanksAs val="gap"/>
    <c:showDLblsOverMax val="0"/>
  </c:chart>
  <c:spPr>
    <a:solidFill>
      <a:srgbClr val="FFFFFF"/>
    </a:solidFill>
    <a:ln w="3175">
      <a:solidFill>
        <a:srgbClr val="000000"/>
      </a:solidFill>
      <a:prstDash val="solid"/>
    </a:ln>
  </c:spPr>
  <c:txPr>
    <a:bodyPr/>
    <a:lstStyle/>
    <a:p>
      <a:pPr>
        <a:defRPr sz="85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zh-CN"/>
    </a:p>
  </c:txPr>
  <c:printSettings>
    <c:headerFooter alignWithMargins="0"/>
    <c:pageMargins b="1" l="0.75" r="0.75" t="1" header="0.5" footer="0.5"/>
    <c:pageSetup/>
  </c:printSettings>
  <c:userShapes r:id="rId1"/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zh-CN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6.902368250158239E-2"/>
          <c:y val="7.0422632073382577E-2"/>
          <c:w val="0.88552334136176436"/>
          <c:h val="0.82856384409807549"/>
        </c:manualLayout>
      </c:layout>
      <c:scatterChart>
        <c:scatterStyle val="smoothMarker"/>
        <c:varyColors val="0"/>
        <c:ser>
          <c:idx val="2"/>
          <c:order val="0"/>
          <c:tx>
            <c:v>Bandwidth of Close Loop - Excel</c:v>
          </c:tx>
          <c:spPr>
            <a:ln>
              <a:solidFill>
                <a:srgbClr val="000000"/>
              </a:solidFill>
            </a:ln>
          </c:spPr>
          <c:marker>
            <c:symbol val="none"/>
          </c:marker>
          <c:xVal>
            <c:numRef>
              <c:f>Compensator!$B$49:$B$249</c:f>
              <c:numCache>
                <c:formatCode>General</c:formatCode>
                <c:ptCount val="201"/>
                <c:pt idx="0">
                  <c:v>1</c:v>
                </c:pt>
                <c:pt idx="1">
                  <c:v>1.0715193052376064</c:v>
                </c:pt>
                <c:pt idx="2">
                  <c:v>1.1481536214968828</c:v>
                </c:pt>
                <c:pt idx="3">
                  <c:v>1.2302687708123816</c:v>
                </c:pt>
                <c:pt idx="4">
                  <c:v>1.3182567385564072</c:v>
                </c:pt>
                <c:pt idx="5">
                  <c:v>1.4125375446227544</c:v>
                </c:pt>
                <c:pt idx="6">
                  <c:v>1.5135612484362082</c:v>
                </c:pt>
                <c:pt idx="7">
                  <c:v>1.62181009735893</c:v>
                </c:pt>
                <c:pt idx="8">
                  <c:v>1.7378008287493756</c:v>
                </c:pt>
                <c:pt idx="9">
                  <c:v>1.8620871366628675</c:v>
                </c:pt>
                <c:pt idx="10">
                  <c:v>1.9952623149688797</c:v>
                </c:pt>
                <c:pt idx="11">
                  <c:v>2.1379620895022322</c:v>
                </c:pt>
                <c:pt idx="12">
                  <c:v>2.2908676527677732</c:v>
                </c:pt>
                <c:pt idx="13">
                  <c:v>2.4547089156850306</c:v>
                </c:pt>
                <c:pt idx="14">
                  <c:v>2.6302679918953822</c:v>
                </c:pt>
                <c:pt idx="15">
                  <c:v>2.8183829312644537</c:v>
                </c:pt>
                <c:pt idx="16">
                  <c:v>3.0199517204020165</c:v>
                </c:pt>
                <c:pt idx="17">
                  <c:v>3.2359365692962836</c:v>
                </c:pt>
                <c:pt idx="18">
                  <c:v>3.4673685045253171</c:v>
                </c:pt>
                <c:pt idx="19">
                  <c:v>3.7153522909717256</c:v>
                </c:pt>
                <c:pt idx="20">
                  <c:v>3.9810717055349727</c:v>
                </c:pt>
                <c:pt idx="21">
                  <c:v>4.2657951880159271</c:v>
                </c:pt>
                <c:pt idx="22">
                  <c:v>4.5708818961487498</c:v>
                </c:pt>
                <c:pt idx="23">
                  <c:v>4.8977881936844625</c:v>
                </c:pt>
                <c:pt idx="24">
                  <c:v>5.2480746024977263</c:v>
                </c:pt>
                <c:pt idx="25">
                  <c:v>5.6234132519034921</c:v>
                </c:pt>
                <c:pt idx="26">
                  <c:v>6.0255958607435796</c:v>
                </c:pt>
                <c:pt idx="27">
                  <c:v>6.4565422903465555</c:v>
                </c:pt>
                <c:pt idx="28">
                  <c:v>6.9183097091893666</c:v>
                </c:pt>
                <c:pt idx="29">
                  <c:v>7.4131024130091765</c:v>
                </c:pt>
                <c:pt idx="30">
                  <c:v>7.943282347242814</c:v>
                </c:pt>
                <c:pt idx="31">
                  <c:v>8.5113803820237646</c:v>
                </c:pt>
                <c:pt idx="32">
                  <c:v>9.1201083935590983</c:v>
                </c:pt>
                <c:pt idx="33">
                  <c:v>9.7723722095581103</c:v>
                </c:pt>
                <c:pt idx="34">
                  <c:v>10.471285480509</c:v>
                </c:pt>
                <c:pt idx="35">
                  <c:v>11.220184543019636</c:v>
                </c:pt>
                <c:pt idx="36">
                  <c:v>12.022644346174133</c:v>
                </c:pt>
                <c:pt idx="37">
                  <c:v>12.882495516931341</c:v>
                </c:pt>
                <c:pt idx="38">
                  <c:v>13.803842646028851</c:v>
                </c:pt>
                <c:pt idx="39">
                  <c:v>14.791083881682074</c:v>
                </c:pt>
                <c:pt idx="40">
                  <c:v>15.848931924611136</c:v>
                </c:pt>
                <c:pt idx="41">
                  <c:v>16.982436524617448</c:v>
                </c:pt>
                <c:pt idx="42">
                  <c:v>18.197008586099841</c:v>
                </c:pt>
                <c:pt idx="43">
                  <c:v>19.498445997580465</c:v>
                </c:pt>
                <c:pt idx="44">
                  <c:v>20.892961308540393</c:v>
                </c:pt>
                <c:pt idx="45">
                  <c:v>22.387211385683397</c:v>
                </c:pt>
                <c:pt idx="46">
                  <c:v>23.988329190194907</c:v>
                </c:pt>
                <c:pt idx="47">
                  <c:v>25.703957827688647</c:v>
                </c:pt>
                <c:pt idx="48">
                  <c:v>27.542287033381665</c:v>
                </c:pt>
                <c:pt idx="49">
                  <c:v>29.512092266663863</c:v>
                </c:pt>
                <c:pt idx="50">
                  <c:v>31.622776601683803</c:v>
                </c:pt>
                <c:pt idx="51">
                  <c:v>33.884415613920268</c:v>
                </c:pt>
                <c:pt idx="52">
                  <c:v>36.307805477010156</c:v>
                </c:pt>
                <c:pt idx="53">
                  <c:v>38.904514499428053</c:v>
                </c:pt>
                <c:pt idx="54">
                  <c:v>41.686938347033546</c:v>
                </c:pt>
                <c:pt idx="55">
                  <c:v>44.668359215096324</c:v>
                </c:pt>
                <c:pt idx="56">
                  <c:v>47.863009232263856</c:v>
                </c:pt>
                <c:pt idx="57">
                  <c:v>51.28613839913649</c:v>
                </c:pt>
                <c:pt idx="58">
                  <c:v>54.95408738576247</c:v>
                </c:pt>
                <c:pt idx="59">
                  <c:v>58.884365535558949</c:v>
                </c:pt>
                <c:pt idx="60">
                  <c:v>63.095734448019307</c:v>
                </c:pt>
                <c:pt idx="61">
                  <c:v>67.60829753919819</c:v>
                </c:pt>
                <c:pt idx="62">
                  <c:v>72.443596007499011</c:v>
                </c:pt>
                <c:pt idx="63">
                  <c:v>77.624711662869217</c:v>
                </c:pt>
                <c:pt idx="64">
                  <c:v>83.176377110267126</c:v>
                </c:pt>
                <c:pt idx="65">
                  <c:v>89.125093813374562</c:v>
                </c:pt>
                <c:pt idx="66">
                  <c:v>95.499258602143655</c:v>
                </c:pt>
                <c:pt idx="67">
                  <c:v>102.32929922807544</c:v>
                </c:pt>
                <c:pt idx="68">
                  <c:v>109.64781961431861</c:v>
                </c:pt>
                <c:pt idx="69">
                  <c:v>117.48975549395293</c:v>
                </c:pt>
                <c:pt idx="70">
                  <c:v>125.89254117941677</c:v>
                </c:pt>
                <c:pt idx="71">
                  <c:v>134.89628825916537</c:v>
                </c:pt>
                <c:pt idx="72">
                  <c:v>144.54397707459285</c:v>
                </c:pt>
                <c:pt idx="73">
                  <c:v>154.8816618912482</c:v>
                </c:pt>
                <c:pt idx="74">
                  <c:v>165.95869074375608</c:v>
                </c:pt>
                <c:pt idx="75">
                  <c:v>177.82794100389242</c:v>
                </c:pt>
                <c:pt idx="76">
                  <c:v>190.54607179632481</c:v>
                </c:pt>
                <c:pt idx="77">
                  <c:v>204.17379446695315</c:v>
                </c:pt>
                <c:pt idx="78">
                  <c:v>218.77616239495524</c:v>
                </c:pt>
                <c:pt idx="79">
                  <c:v>234.42288153199232</c:v>
                </c:pt>
                <c:pt idx="80">
                  <c:v>251.18864315095806</c:v>
                </c:pt>
                <c:pt idx="81">
                  <c:v>269.15348039269156</c:v>
                </c:pt>
                <c:pt idx="82">
                  <c:v>288.40315031266073</c:v>
                </c:pt>
                <c:pt idx="83">
                  <c:v>309.02954325135909</c:v>
                </c:pt>
                <c:pt idx="84">
                  <c:v>331.13112148259137</c:v>
                </c:pt>
                <c:pt idx="85">
                  <c:v>354.81338923357566</c:v>
                </c:pt>
                <c:pt idx="86">
                  <c:v>380.18939632056163</c:v>
                </c:pt>
                <c:pt idx="87">
                  <c:v>407.38027780411272</c:v>
                </c:pt>
                <c:pt idx="88">
                  <c:v>436.51583224016582</c:v>
                </c:pt>
                <c:pt idx="89">
                  <c:v>467.7351412871983</c:v>
                </c:pt>
                <c:pt idx="90">
                  <c:v>501.18723362727229</c:v>
                </c:pt>
                <c:pt idx="91">
                  <c:v>537.03179637025301</c:v>
                </c:pt>
                <c:pt idx="92">
                  <c:v>575.43993733715706</c:v>
                </c:pt>
                <c:pt idx="93">
                  <c:v>616.59500186148273</c:v>
                </c:pt>
                <c:pt idx="94">
                  <c:v>660.69344800759643</c:v>
                </c:pt>
                <c:pt idx="95">
                  <c:v>707.94578438413873</c:v>
                </c:pt>
                <c:pt idx="96">
                  <c:v>758.57757502918378</c:v>
                </c:pt>
                <c:pt idx="97">
                  <c:v>812.83051616409898</c:v>
                </c:pt>
                <c:pt idx="98">
                  <c:v>870.96358995608091</c:v>
                </c:pt>
                <c:pt idx="99">
                  <c:v>933.25430079699106</c:v>
                </c:pt>
                <c:pt idx="100">
                  <c:v>1000</c:v>
                </c:pt>
                <c:pt idx="101">
                  <c:v>1071.5193052376069</c:v>
                </c:pt>
                <c:pt idx="102">
                  <c:v>1148.1536214968839</c:v>
                </c:pt>
                <c:pt idx="103">
                  <c:v>1230.2687708123824</c:v>
                </c:pt>
                <c:pt idx="104">
                  <c:v>1318.2567385564089</c:v>
                </c:pt>
                <c:pt idx="105">
                  <c:v>1412.5375446227545</c:v>
                </c:pt>
                <c:pt idx="106">
                  <c:v>1513.561248436208</c:v>
                </c:pt>
                <c:pt idx="107">
                  <c:v>1621.8100973589308</c:v>
                </c:pt>
                <c:pt idx="108">
                  <c:v>1737.8008287493758</c:v>
                </c:pt>
                <c:pt idx="109">
                  <c:v>1862.0871366628687</c:v>
                </c:pt>
                <c:pt idx="110">
                  <c:v>1995.2623149688804</c:v>
                </c:pt>
                <c:pt idx="111">
                  <c:v>2137.9620895022344</c:v>
                </c:pt>
                <c:pt idx="112">
                  <c:v>2290.8676527677749</c:v>
                </c:pt>
                <c:pt idx="113">
                  <c:v>2454.7089156850293</c:v>
                </c:pt>
                <c:pt idx="114">
                  <c:v>2630.2679918953822</c:v>
                </c:pt>
                <c:pt idx="115">
                  <c:v>2818.3829312644534</c:v>
                </c:pt>
                <c:pt idx="116">
                  <c:v>3019.9517204020176</c:v>
                </c:pt>
                <c:pt idx="117">
                  <c:v>3235.9365692962833</c:v>
                </c:pt>
                <c:pt idx="118">
                  <c:v>3467.3685045253224</c:v>
                </c:pt>
                <c:pt idx="119">
                  <c:v>3715.352290971724</c:v>
                </c:pt>
                <c:pt idx="120">
                  <c:v>3981.0717055349701</c:v>
                </c:pt>
                <c:pt idx="121">
                  <c:v>4265.7951880159299</c:v>
                </c:pt>
                <c:pt idx="122">
                  <c:v>4570.8818961487532</c:v>
                </c:pt>
                <c:pt idx="123">
                  <c:v>4897.7881936844633</c:v>
                </c:pt>
                <c:pt idx="124">
                  <c:v>5248.0746024977261</c:v>
                </c:pt>
                <c:pt idx="125">
                  <c:v>5623.4132519034993</c:v>
                </c:pt>
                <c:pt idx="126">
                  <c:v>6025.595860743585</c:v>
                </c:pt>
                <c:pt idx="127">
                  <c:v>6456.5422903465615</c:v>
                </c:pt>
                <c:pt idx="128">
                  <c:v>6918.3097091893687</c:v>
                </c:pt>
                <c:pt idx="129">
                  <c:v>7413.1024130091773</c:v>
                </c:pt>
                <c:pt idx="130">
                  <c:v>7943.2823472428154</c:v>
                </c:pt>
                <c:pt idx="131">
                  <c:v>8511.3803820237626</c:v>
                </c:pt>
                <c:pt idx="132">
                  <c:v>9120.1083935591087</c:v>
                </c:pt>
                <c:pt idx="133">
                  <c:v>9772.3722095581161</c:v>
                </c:pt>
                <c:pt idx="134">
                  <c:v>10471.285480509003</c:v>
                </c:pt>
                <c:pt idx="135">
                  <c:v>11220.184543019639</c:v>
                </c:pt>
                <c:pt idx="136">
                  <c:v>12022.644346174151</c:v>
                </c:pt>
                <c:pt idx="137">
                  <c:v>12882.495516931338</c:v>
                </c:pt>
                <c:pt idx="138">
                  <c:v>13803.842646028841</c:v>
                </c:pt>
                <c:pt idx="139">
                  <c:v>14791.083881682089</c:v>
                </c:pt>
                <c:pt idx="140">
                  <c:v>15848.931924611146</c:v>
                </c:pt>
                <c:pt idx="141">
                  <c:v>16982.436524617453</c:v>
                </c:pt>
                <c:pt idx="142">
                  <c:v>18197.008586099837</c:v>
                </c:pt>
                <c:pt idx="143">
                  <c:v>19498.445997580486</c:v>
                </c:pt>
                <c:pt idx="144">
                  <c:v>20892.961308540423</c:v>
                </c:pt>
                <c:pt idx="145">
                  <c:v>22387.211385683382</c:v>
                </c:pt>
                <c:pt idx="146">
                  <c:v>23988.329190194923</c:v>
                </c:pt>
                <c:pt idx="147">
                  <c:v>25703.95782768865</c:v>
                </c:pt>
                <c:pt idx="148">
                  <c:v>27542.287033381672</c:v>
                </c:pt>
                <c:pt idx="149">
                  <c:v>29512.092266663854</c:v>
                </c:pt>
                <c:pt idx="150">
                  <c:v>31622.77660168384</c:v>
                </c:pt>
                <c:pt idx="151">
                  <c:v>33884.41561392029</c:v>
                </c:pt>
                <c:pt idx="152">
                  <c:v>36307.805477010166</c:v>
                </c:pt>
                <c:pt idx="153">
                  <c:v>38904.514499428085</c:v>
                </c:pt>
                <c:pt idx="154">
                  <c:v>41686.938347033625</c:v>
                </c:pt>
                <c:pt idx="155">
                  <c:v>44668.359215096309</c:v>
                </c:pt>
                <c:pt idx="156">
                  <c:v>47863.009232263823</c:v>
                </c:pt>
                <c:pt idx="157">
                  <c:v>51286.138399136544</c:v>
                </c:pt>
                <c:pt idx="158">
                  <c:v>54954.087385762505</c:v>
                </c:pt>
                <c:pt idx="159">
                  <c:v>58884.365535558936</c:v>
                </c:pt>
                <c:pt idx="160">
                  <c:v>63095.734448019342</c:v>
                </c:pt>
                <c:pt idx="161">
                  <c:v>67608.297539198305</c:v>
                </c:pt>
                <c:pt idx="162">
                  <c:v>72443.596007498985</c:v>
                </c:pt>
                <c:pt idx="163">
                  <c:v>77624.711662869129</c:v>
                </c:pt>
                <c:pt idx="164">
                  <c:v>83176.377110267174</c:v>
                </c:pt>
                <c:pt idx="165">
                  <c:v>89125.093813374609</c:v>
                </c:pt>
                <c:pt idx="166">
                  <c:v>95499.258602143629</c:v>
                </c:pt>
                <c:pt idx="167">
                  <c:v>102329.29922807543</c:v>
                </c:pt>
                <c:pt idx="168">
                  <c:v>109647.81961431868</c:v>
                </c:pt>
                <c:pt idx="169">
                  <c:v>117489.75549395289</c:v>
                </c:pt>
                <c:pt idx="170">
                  <c:v>125892.54117941685</c:v>
                </c:pt>
                <c:pt idx="171">
                  <c:v>134896.28825916545</c:v>
                </c:pt>
                <c:pt idx="172">
                  <c:v>144543.97707459307</c:v>
                </c:pt>
                <c:pt idx="173">
                  <c:v>154881.66189124816</c:v>
                </c:pt>
                <c:pt idx="174">
                  <c:v>165958.69074375604</c:v>
                </c:pt>
                <c:pt idx="175">
                  <c:v>177827.94100389251</c:v>
                </c:pt>
                <c:pt idx="176">
                  <c:v>190546.0717963246</c:v>
                </c:pt>
                <c:pt idx="177">
                  <c:v>204173.79446695308</c:v>
                </c:pt>
                <c:pt idx="178">
                  <c:v>218776.16239495538</c:v>
                </c:pt>
                <c:pt idx="179">
                  <c:v>234422.88153199267</c:v>
                </c:pt>
                <c:pt idx="180">
                  <c:v>251188.643150958</c:v>
                </c:pt>
                <c:pt idx="181">
                  <c:v>269153.48039269145</c:v>
                </c:pt>
                <c:pt idx="182">
                  <c:v>288403.1503126609</c:v>
                </c:pt>
                <c:pt idx="183">
                  <c:v>309029.54325135931</c:v>
                </c:pt>
                <c:pt idx="184">
                  <c:v>331131.12148259126</c:v>
                </c:pt>
                <c:pt idx="185">
                  <c:v>354813.38923357555</c:v>
                </c:pt>
                <c:pt idx="186">
                  <c:v>380189.39632056188</c:v>
                </c:pt>
                <c:pt idx="187">
                  <c:v>407380.27780411259</c:v>
                </c:pt>
                <c:pt idx="188">
                  <c:v>436515.83224016649</c:v>
                </c:pt>
                <c:pt idx="189">
                  <c:v>467735.14128719864</c:v>
                </c:pt>
                <c:pt idx="190">
                  <c:v>501187.23362727347</c:v>
                </c:pt>
                <c:pt idx="191">
                  <c:v>537031.79637025285</c:v>
                </c:pt>
                <c:pt idx="192">
                  <c:v>575439.93733715697</c:v>
                </c:pt>
                <c:pt idx="193">
                  <c:v>616595.00186148309</c:v>
                </c:pt>
                <c:pt idx="194">
                  <c:v>660693.44800759561</c:v>
                </c:pt>
                <c:pt idx="195">
                  <c:v>707945.78438413853</c:v>
                </c:pt>
                <c:pt idx="196">
                  <c:v>758577.57502918423</c:v>
                </c:pt>
                <c:pt idx="197">
                  <c:v>812830.51616410096</c:v>
                </c:pt>
                <c:pt idx="198">
                  <c:v>870963.58995608077</c:v>
                </c:pt>
                <c:pt idx="199">
                  <c:v>933254.30079699249</c:v>
                </c:pt>
                <c:pt idx="200">
                  <c:v>1000000</c:v>
                </c:pt>
              </c:numCache>
            </c:numRef>
          </c:xVal>
          <c:yVal>
            <c:numRef>
              <c:f>Compensator!$CD$64:$CD$264</c:f>
              <c:numCache>
                <c:formatCode>General</c:formatCode>
                <c:ptCount val="201"/>
                <c:pt idx="0">
                  <c:v>63.834655190289318</c:v>
                </c:pt>
                <c:pt idx="1">
                  <c:v>63.833814325514624</c:v>
                </c:pt>
                <c:pt idx="2">
                  <c:v>63.832849084285911</c:v>
                </c:pt>
                <c:pt idx="3">
                  <c:v>63.831741103539414</c:v>
                </c:pt>
                <c:pt idx="4">
                  <c:v>63.830469319887598</c:v>
                </c:pt>
                <c:pt idx="5">
                  <c:v>63.829009575964413</c:v>
                </c:pt>
                <c:pt idx="6">
                  <c:v>63.827334170471694</c:v>
                </c:pt>
                <c:pt idx="7">
                  <c:v>63.82541134422317</c:v>
                </c:pt>
                <c:pt idx="8">
                  <c:v>63.823204693537392</c:v>
                </c:pt>
                <c:pt idx="9">
                  <c:v>63.820672501308209</c:v>
                </c:pt>
                <c:pt idx="10">
                  <c:v>63.817766974991258</c:v>
                </c:pt>
                <c:pt idx="11">
                  <c:v>63.814433379586504</c:v>
                </c:pt>
                <c:pt idx="12">
                  <c:v>63.810609052510131</c:v>
                </c:pt>
                <c:pt idx="13">
                  <c:v>63.806222286052886</c:v>
                </c:pt>
                <c:pt idx="14">
                  <c:v>63.801191061974677</c:v>
                </c:pt>
                <c:pt idx="15">
                  <c:v>63.795421621746812</c:v>
                </c:pt>
                <c:pt idx="16">
                  <c:v>63.788806855131881</c:v>
                </c:pt>
                <c:pt idx="17">
                  <c:v>63.781224489307149</c:v>
                </c:pt>
                <c:pt idx="18">
                  <c:v>63.772535060760873</c:v>
                </c:pt>
                <c:pt idx="19">
                  <c:v>63.762579652961556</c:v>
                </c:pt>
                <c:pt idx="20">
                  <c:v>63.751177384580913</c:v>
                </c:pt>
                <c:pt idx="21">
                  <c:v>63.738122636225604</c:v>
                </c:pt>
                <c:pt idx="22">
                  <c:v>63.723182008634694</c:v>
                </c:pt>
                <c:pt idx="23">
                  <c:v>63.706091012661197</c:v>
                </c:pt>
                <c:pt idx="24">
                  <c:v>63.686550501723438</c:v>
                </c:pt>
                <c:pt idx="25">
                  <c:v>63.664222871475111</c:v>
                </c:pt>
                <c:pt idx="26">
                  <c:v>63.638728069991124</c:v>
                </c:pt>
                <c:pt idx="27">
                  <c:v>63.609639485557715</c:v>
                </c:pt>
                <c:pt idx="28">
                  <c:v>63.576479808897723</c:v>
                </c:pt>
                <c:pt idx="29">
                  <c:v>63.538717002808276</c:v>
                </c:pt>
                <c:pt idx="30">
                  <c:v>63.495760554822489</c:v>
                </c:pt>
                <c:pt idx="31">
                  <c:v>63.446958237008381</c:v>
                </c:pt>
                <c:pt idx="32">
                  <c:v>63.391593649769213</c:v>
                </c:pt>
                <c:pt idx="33">
                  <c:v>63.328884880544159</c:v>
                </c:pt>
                <c:pt idx="34">
                  <c:v>63.257984658867912</c:v>
                </c:pt>
                <c:pt idx="35">
                  <c:v>63.177982429535852</c:v>
                </c:pt>
                <c:pt idx="36">
                  <c:v>63.087908786676152</c:v>
                </c:pt>
                <c:pt idx="37">
                  <c:v>62.986742702482978</c:v>
                </c:pt>
                <c:pt idx="38">
                  <c:v>62.873421933308229</c:v>
                </c:pt>
                <c:pt idx="39">
                  <c:v>62.746856881343966</c:v>
                </c:pt>
                <c:pt idx="40">
                  <c:v>62.605948023770715</c:v>
                </c:pt>
                <c:pt idx="41">
                  <c:v>62.449606790509478</c:v>
                </c:pt>
                <c:pt idx="42">
                  <c:v>62.276779483398563</c:v>
                </c:pt>
                <c:pt idx="43">
                  <c:v>62.086473502585946</c:v>
                </c:pt>
                <c:pt idx="44">
                  <c:v>61.877784812159611</c:v>
                </c:pt>
                <c:pt idx="45">
                  <c:v>61.649925279983279</c:v>
                </c:pt>
                <c:pt idx="46">
                  <c:v>61.402248315940462</c:v>
                </c:pt>
                <c:pt idx="47">
                  <c:v>61.134271155495213</c:v>
                </c:pt>
                <c:pt idx="48">
                  <c:v>60.845692225742383</c:v>
                </c:pt>
                <c:pt idx="49">
                  <c:v>60.536402299946133</c:v>
                </c:pt>
                <c:pt idx="50">
                  <c:v>60.206488575603679</c:v>
                </c:pt>
                <c:pt idx="51">
                  <c:v>59.85623135273628</c:v>
                </c:pt>
                <c:pt idx="52">
                  <c:v>59.486093573884887</c:v>
                </c:pt>
                <c:pt idx="53">
                  <c:v>59.096704037091563</c:v>
                </c:pt>
                <c:pt idx="54">
                  <c:v>58.688835536850668</c:v>
                </c:pt>
                <c:pt idx="55">
                  <c:v>58.263379475225328</c:v>
                </c:pt>
                <c:pt idx="56">
                  <c:v>57.821318594464941</c:v>
                </c:pt>
                <c:pt idx="57">
                  <c:v>57.363699421609269</c:v>
                </c:pt>
                <c:pt idx="58">
                  <c:v>56.891605816818426</c:v>
                </c:pt>
                <c:pt idx="59">
                  <c:v>56.406134726804815</c:v>
                </c:pt>
                <c:pt idx="60">
                  <c:v>55.908374912567361</c:v>
                </c:pt>
                <c:pt idx="61">
                  <c:v>55.399389091047048</c:v>
                </c:pt>
                <c:pt idx="62">
                  <c:v>54.880199636656862</c:v>
                </c:pt>
                <c:pt idx="63">
                  <c:v>54.351777751153875</c:v>
                </c:pt>
                <c:pt idx="64">
                  <c:v>53.815035836955254</c:v>
                </c:pt>
                <c:pt idx="65">
                  <c:v>53.270822698131056</c:v>
                </c:pt>
                <c:pt idx="66">
                  <c:v>52.719921136879726</c:v>
                </c:pt>
                <c:pt idx="67">
                  <c:v>52.163047500153048</c:v>
                </c:pt>
                <c:pt idx="68">
                  <c:v>51.600852749224451</c:v>
                </c:pt>
                <c:pt idx="69">
                  <c:v>51.033924663426077</c:v>
                </c:pt>
                <c:pt idx="70">
                  <c:v>50.462790838774197</c:v>
                </c:pt>
                <c:pt idx="71">
                  <c:v>49.887922195752175</c:v>
                </c:pt>
                <c:pt idx="72">
                  <c:v>49.309736763165112</c:v>
                </c:pt>
                <c:pt idx="73">
                  <c:v>48.728603553555644</c:v>
                </c:pt>
                <c:pt idx="74">
                  <c:v>48.144846388447675</c:v>
                </c:pt>
                <c:pt idx="75">
                  <c:v>47.558747567949304</c:v>
                </c:pt>
                <c:pt idx="76">
                  <c:v>46.970551309010105</c:v>
                </c:pt>
                <c:pt idx="77">
                  <c:v>46.380466900323498</c:v>
                </c:pt>
                <c:pt idx="78">
                  <c:v>45.788671540180857</c:v>
                </c:pt>
                <c:pt idx="79">
                  <c:v>45.195312837280653</c:v>
                </c:pt>
                <c:pt idx="80">
                  <c:v>44.600510964375026</c:v>
                </c:pt>
                <c:pt idx="81">
                  <c:v>44.004360461422642</c:v>
                </c:pt>
                <c:pt idx="82">
                  <c:v>43.406931689280924</c:v>
                </c:pt>
                <c:pt idx="83">
                  <c:v>42.808271937497288</c:v>
                </c:pt>
                <c:pt idx="84">
                  <c:v>42.208406190967203</c:v>
                </c:pt>
                <c:pt idx="85">
                  <c:v>41.607337560546881</c:v>
                </c:pt>
                <c:pt idx="86">
                  <c:v>41.005047382558971</c:v>
                </c:pt>
                <c:pt idx="87">
                  <c:v>40.401494991874671</c:v>
                </c:pt>
                <c:pt idx="88">
                  <c:v>39.796617173239056</c:v>
                </c:pt>
                <c:pt idx="89">
                  <c:v>39.190327296145128</c:v>
                </c:pt>
                <c:pt idx="90">
                  <c:v>38.582514140193766</c:v>
                </c:pt>
                <c:pt idx="91">
                  <c:v>37.97304042100933</c:v>
                </c:pt>
                <c:pt idx="92">
                  <c:v>37.361741031890368</c:v>
                </c:pt>
                <c:pt idx="93">
                  <c:v>36.748421024058366</c:v>
                </c:pt>
                <c:pt idx="94">
                  <c:v>36.132853359297002</c:v>
                </c:pt>
                <c:pt idx="95">
                  <c:v>35.514776483675199</c:v>
                </c:pt>
                <c:pt idx="96">
                  <c:v>34.893891790709908</c:v>
                </c:pt>
                <c:pt idx="97">
                  <c:v>34.269861067508458</c:v>
                </c:pt>
                <c:pt idx="98">
                  <c:v>33.64230404880275</c:v>
                </c:pt>
                <c:pt idx="99">
                  <c:v>33.010796241780497</c:v>
                </c:pt>
                <c:pt idx="100">
                  <c:v>32.37486722919185</c:v>
                </c:pt>
                <c:pt idx="101">
                  <c:v>31.733999708628783</c:v>
                </c:pt>
                <c:pt idx="102">
                  <c:v>31.087629580342341</c:v>
                </c:pt>
                <c:pt idx="103">
                  <c:v>30.435147451235515</c:v>
                </c:pt>
                <c:pt idx="104">
                  <c:v>29.775901973667121</c:v>
                </c:pt>
                <c:pt idx="105">
                  <c:v>29.109205477239357</c:v>
                </c:pt>
                <c:pt idx="106">
                  <c:v>28.434342370338207</c:v>
                </c:pt>
                <c:pt idx="107">
                  <c:v>27.750580774511491</c:v>
                </c:pt>
                <c:pt idx="108">
                  <c:v>27.057187796307275</c:v>
                </c:pt>
                <c:pt idx="109">
                  <c:v>26.353448726090928</c:v>
                </c:pt>
                <c:pt idx="110">
                  <c:v>25.638690272672548</c:v>
                </c:pt>
                <c:pt idx="111">
                  <c:v>24.91230769352018</c:v>
                </c:pt>
                <c:pt idx="112">
                  <c:v>24.173795369501264</c:v>
                </c:pt>
                <c:pt idx="113">
                  <c:v>23.422780019188924</c:v>
                </c:pt>
                <c:pt idx="114">
                  <c:v>22.659055382585546</c:v>
                </c:pt>
                <c:pt idx="115">
                  <c:v>21.882616870658968</c:v>
                </c:pt>
                <c:pt idx="116">
                  <c:v>21.093694424234187</c:v>
                </c:pt>
                <c:pt idx="117">
                  <c:v>20.292781699704285</c:v>
                </c:pt>
                <c:pt idx="118">
                  <c:v>19.4806597327647</c:v>
                </c:pt>
                <c:pt idx="119">
                  <c:v>18.658413435506532</c:v>
                </c:pt>
                <c:pt idx="120">
                  <c:v>17.827439639370922</c:v>
                </c:pt>
                <c:pt idx="121">
                  <c:v>16.989445862558959</c:v>
                </c:pt>
                <c:pt idx="122">
                  <c:v>16.146439492921086</c:v>
                </c:pt>
                <c:pt idx="123">
                  <c:v>15.300707568771211</c:v>
                </c:pt>
                <c:pt idx="124">
                  <c:v>14.454787753799769</c:v>
                </c:pt>
                <c:pt idx="125">
                  <c:v>13.611431404679067</c:v>
                </c:pt>
                <c:pt idx="126">
                  <c:v>12.773559816466991</c:v>
                </c:pt>
                <c:pt idx="127">
                  <c:v>11.944214823657923</c:v>
                </c:pt>
                <c:pt idx="128">
                  <c:v>11.126504973296097</c:v>
                </c:pt>
                <c:pt idx="129">
                  <c:v>10.323548514708826</c:v>
                </c:pt>
                <c:pt idx="130">
                  <c:v>9.5384145026884219</c:v>
                </c:pt>
                <c:pt idx="131">
                  <c:v>8.774063402960568</c:v>
                </c:pt>
                <c:pt idx="132">
                  <c:v>8.0332887133022304</c:v>
                </c:pt>
                <c:pt idx="133">
                  <c:v>7.3186612431891316</c:v>
                </c:pt>
                <c:pt idx="134">
                  <c:v>6.6324777894014009</c:v>
                </c:pt>
                <c:pt idx="135">
                  <c:v>5.9767159627238042</c:v>
                </c:pt>
                <c:pt idx="136">
                  <c:v>5.3529968282394327</c:v>
                </c:pt>
                <c:pt idx="137">
                  <c:v>4.7625568009398158</c:v>
                </c:pt>
                <c:pt idx="138">
                  <c:v>4.2062298903358135</c:v>
                </c:pt>
                <c:pt idx="139">
                  <c:v>3.6844409309238539</c:v>
                </c:pt>
                <c:pt idx="140">
                  <c:v>3.1972099019925135</c:v>
                </c:pt>
                <c:pt idx="141">
                  <c:v>2.7441668718247052</c:v>
                </c:pt>
                <c:pt idx="142">
                  <c:v>2.324576544142162</c:v>
                </c:pt>
                <c:pt idx="143">
                  <c:v>1.9373708857710934</c:v>
                </c:pt>
                <c:pt idx="144">
                  <c:v>1.5811879176069967</c:v>
                </c:pt>
                <c:pt idx="145">
                  <c:v>1.2544144911564172</c:v>
                </c:pt>
                <c:pt idx="146">
                  <c:v>0.9552307715578352</c:v>
                </c:pt>
                <c:pt idx="147">
                  <c:v>0.68165420842607061</c:v>
                </c:pt>
                <c:pt idx="148">
                  <c:v>0.43158098215142604</c:v>
                </c:pt>
                <c:pt idx="149">
                  <c:v>0.20282323238103303</c:v>
                </c:pt>
                <c:pt idx="150">
                  <c:v>-6.859237187122536E-3</c:v>
                </c:pt>
                <c:pt idx="151">
                  <c:v>-0.19973367622840171</c:v>
                </c:pt>
                <c:pt idx="152">
                  <c:v>-0.37807604361827518</c:v>
                </c:pt>
                <c:pt idx="153">
                  <c:v>-0.54415979633644351</c:v>
                </c:pt>
                <c:pt idx="154">
                  <c:v>-0.70025176948984225</c:v>
                </c:pt>
                <c:pt idx="155">
                  <c:v>-0.84861496591463181</c:v>
                </c:pt>
                <c:pt idx="156">
                  <c:v>-0.99151803349372747</c:v>
                </c:pt>
                <c:pt idx="157">
                  <c:v>-1.1312512623269673</c:v>
                </c:pt>
                <c:pt idx="158">
                  <c:v>-1.2701490724512925</c:v>
                </c:pt>
                <c:pt idx="159">
                  <c:v>-1.4106191722423855</c:v>
                </c:pt>
                <c:pt idx="160">
                  <c:v>-1.5551788284876034</c:v>
                </c:pt>
                <c:pt idx="161">
                  <c:v>-1.7064989705894931</c:v>
                </c:pt>
                <c:pt idx="162">
                  <c:v>-1.8674571002742675</c:v>
                </c:pt>
                <c:pt idx="163">
                  <c:v>-2.0412001012992103</c:v>
                </c:pt>
                <c:pt idx="164">
                  <c:v>-2.2312178820425954</c:v>
                </c:pt>
                <c:pt idx="165">
                  <c:v>-2.4414280812217548</c:v>
                </c:pt>
                <c:pt idx="166">
                  <c:v>-2.6762704401739743</c:v>
                </c:pt>
                <c:pt idx="167">
                  <c:v>-2.940806380184414</c:v>
                </c:pt>
                <c:pt idx="168">
                  <c:v>-3.240814245450681</c:v>
                </c:pt>
                <c:pt idx="169">
                  <c:v>-3.5828631733454293</c:v>
                </c:pt>
                <c:pt idx="170">
                  <c:v>-3.9743388830345214</c:v>
                </c:pt>
                <c:pt idx="171">
                  <c:v>-4.4233845469644599</c:v>
                </c:pt>
                <c:pt idx="172">
                  <c:v>-4.9387134517045457</c:v>
                </c:pt>
                <c:pt idx="173">
                  <c:v>-5.5292542602614434</c:v>
                </c:pt>
                <c:pt idx="174">
                  <c:v>-6.2036124305015541</c:v>
                </c:pt>
                <c:pt idx="175">
                  <c:v>-6.969377078914607</c:v>
                </c:pt>
                <c:pt idx="176">
                  <c:v>-7.832364508077216</c:v>
                </c:pt>
                <c:pt idx="177">
                  <c:v>-8.7959450633063749</c:v>
                </c:pt>
                <c:pt idx="178">
                  <c:v>-9.8606166209687913</c:v>
                </c:pt>
                <c:pt idx="179">
                  <c:v>-11.023943616490019</c:v>
                </c:pt>
                <c:pt idx="180">
                  <c:v>-12.280883994723613</c:v>
                </c:pt>
                <c:pt idx="181">
                  <c:v>-13.624419108263965</c:v>
                </c:pt>
                <c:pt idx="182">
                  <c:v>-15.046331946551788</c:v>
                </c:pt>
                <c:pt idx="183">
                  <c:v>-16.537971429127893</c:v>
                </c:pt>
                <c:pt idx="184">
                  <c:v>-18.090883998400738</c:v>
                </c:pt>
                <c:pt idx="185">
                  <c:v>-19.697257333273473</c:v>
                </c:pt>
                <c:pt idx="186">
                  <c:v>-21.350176113271427</c:v>
                </c:pt>
                <c:pt idx="187">
                  <c:v>-23.043722828248207</c:v>
                </c:pt>
                <c:pt idx="188">
                  <c:v>-24.772968118486688</c:v>
                </c:pt>
                <c:pt idx="189">
                  <c:v>-26.533892341383986</c:v>
                </c:pt>
                <c:pt idx="190">
                  <c:v>-28.323270807907015</c:v>
                </c:pt>
                <c:pt idx="191">
                  <c:v>-30.138544824703686</c:v>
                </c:pt>
                <c:pt idx="192">
                  <c:v>-31.977692026353605</c:v>
                </c:pt>
                <c:pt idx="193">
                  <c:v>-33.839103304340405</c:v>
                </c:pt>
                <c:pt idx="194">
                  <c:v>-35.721469762785674</c:v>
                </c:pt>
                <c:pt idx="195">
                  <c:v>-37.623681017495123</c:v>
                </c:pt>
                <c:pt idx="196">
                  <c:v>-39.544735227818258</c:v>
                </c:pt>
                <c:pt idx="197">
                  <c:v>-41.483661025229431</c:v>
                </c:pt>
                <c:pt idx="198">
                  <c:v>-43.439451613970512</c:v>
                </c:pt>
                <c:pt idx="199">
                  <c:v>-45.41101151326275</c:v>
                </c:pt>
                <c:pt idx="200">
                  <c:v>-47.397116524332333</c:v>
                </c:pt>
              </c:numCache>
            </c:numRef>
          </c:yVal>
          <c:smooth val="1"/>
          <c:extLst>
            <c:ext xmlns:c16="http://schemas.microsoft.com/office/drawing/2014/chart" uri="{C3380CC4-5D6E-409C-BE32-E72D297353CC}">
              <c16:uniqueId val="{00000000-782E-45CD-8A60-FE18F61A00C3}"/>
            </c:ext>
          </c:extLst>
        </c:ser>
        <c:ser>
          <c:idx val="0"/>
          <c:order val="1"/>
          <c:tx>
            <c:v>Close BW Gain - Simplis</c:v>
          </c:tx>
          <c:marker>
            <c:symbol val="none"/>
          </c:marker>
          <c:xVal>
            <c:numRef>
              <c:f>Compensator!$CN$63:$CN$237</c:f>
              <c:numCache>
                <c:formatCode>0.00E+00</c:formatCode>
                <c:ptCount val="175"/>
                <c:pt idx="0" formatCode="General">
                  <c:v>100</c:v>
                </c:pt>
                <c:pt idx="1">
                  <c:v>104.71285480508899</c:v>
                </c:pt>
                <c:pt idx="2">
                  <c:v>109.647819614318</c:v>
                </c:pt>
                <c:pt idx="3">
                  <c:v>114.815362149688</c:v>
                </c:pt>
                <c:pt idx="4">
                  <c:v>120.226443461741</c:v>
                </c:pt>
                <c:pt idx="5">
                  <c:v>125.892541179416</c:v>
                </c:pt>
                <c:pt idx="6">
                  <c:v>131.82567385563999</c:v>
                </c:pt>
                <c:pt idx="7">
                  <c:v>138.03842646028801</c:v>
                </c:pt>
                <c:pt idx="8">
                  <c:v>144.54397707459199</c:v>
                </c:pt>
                <c:pt idx="9">
                  <c:v>151.35612484361999</c:v>
                </c:pt>
                <c:pt idx="10">
                  <c:v>158.48931924611099</c:v>
                </c:pt>
                <c:pt idx="11">
                  <c:v>165.95869074375599</c:v>
                </c:pt>
                <c:pt idx="12">
                  <c:v>173.78008287493699</c:v>
                </c:pt>
                <c:pt idx="13">
                  <c:v>181.97008586099801</c:v>
                </c:pt>
                <c:pt idx="14">
                  <c:v>190.54607179632399</c:v>
                </c:pt>
                <c:pt idx="15">
                  <c:v>199.52623149688699</c:v>
                </c:pt>
                <c:pt idx="16">
                  <c:v>208.92961308540299</c:v>
                </c:pt>
                <c:pt idx="17">
                  <c:v>218.77616239495501</c:v>
                </c:pt>
                <c:pt idx="18">
                  <c:v>229.08676527677699</c:v>
                </c:pt>
                <c:pt idx="19">
                  <c:v>239.88329190194901</c:v>
                </c:pt>
                <c:pt idx="20">
                  <c:v>251.188643150958</c:v>
                </c:pt>
                <c:pt idx="21">
                  <c:v>263.026799189538</c:v>
                </c:pt>
                <c:pt idx="22">
                  <c:v>275.42287033381598</c:v>
                </c:pt>
                <c:pt idx="23">
                  <c:v>288.40315031265999</c:v>
                </c:pt>
                <c:pt idx="24">
                  <c:v>301.995172040201</c:v>
                </c:pt>
                <c:pt idx="25">
                  <c:v>316.22776601683699</c:v>
                </c:pt>
                <c:pt idx="26">
                  <c:v>331.13112148259103</c:v>
                </c:pt>
                <c:pt idx="27">
                  <c:v>346.73685045253097</c:v>
                </c:pt>
                <c:pt idx="28">
                  <c:v>363.07805477010101</c:v>
                </c:pt>
                <c:pt idx="29">
                  <c:v>380.189396320561</c:v>
                </c:pt>
                <c:pt idx="30">
                  <c:v>398.10717055349699</c:v>
                </c:pt>
                <c:pt idx="31">
                  <c:v>416.86938347033498</c:v>
                </c:pt>
                <c:pt idx="32">
                  <c:v>436.51583224016503</c:v>
                </c:pt>
                <c:pt idx="33">
                  <c:v>457.08818961487498</c:v>
                </c:pt>
                <c:pt idx="34">
                  <c:v>478.63009232263801</c:v>
                </c:pt>
                <c:pt idx="35">
                  <c:v>501.18723362727201</c:v>
                </c:pt>
                <c:pt idx="36">
                  <c:v>524.80746024977202</c:v>
                </c:pt>
                <c:pt idx="37">
                  <c:v>549.54087385762398</c:v>
                </c:pt>
                <c:pt idx="38">
                  <c:v>575.43993733715604</c:v>
                </c:pt>
                <c:pt idx="39">
                  <c:v>602.55958607435696</c:v>
                </c:pt>
                <c:pt idx="40">
                  <c:v>630.957344480193</c:v>
                </c:pt>
                <c:pt idx="41">
                  <c:v>660.69344800759495</c:v>
                </c:pt>
                <c:pt idx="42">
                  <c:v>691.83097091893603</c:v>
                </c:pt>
                <c:pt idx="43">
                  <c:v>724.43596007499002</c:v>
                </c:pt>
                <c:pt idx="44">
                  <c:v>758.57757502918298</c:v>
                </c:pt>
                <c:pt idx="45">
                  <c:v>794.32823472428095</c:v>
                </c:pt>
                <c:pt idx="46">
                  <c:v>831.76377110267094</c:v>
                </c:pt>
                <c:pt idx="47">
                  <c:v>870.96358995608</c:v>
                </c:pt>
                <c:pt idx="48">
                  <c:v>912.01083935590896</c:v>
                </c:pt>
                <c:pt idx="49">
                  <c:v>954.99258602143505</c:v>
                </c:pt>
                <c:pt idx="50">
                  <c:v>1000</c:v>
                </c:pt>
                <c:pt idx="51">
                  <c:v>1047.12854805089</c:v>
                </c:pt>
                <c:pt idx="52">
                  <c:v>1096.47819614318</c:v>
                </c:pt>
                <c:pt idx="53">
                  <c:v>1148.1536214968801</c:v>
                </c:pt>
                <c:pt idx="54">
                  <c:v>1202.26443461741</c:v>
                </c:pt>
                <c:pt idx="55">
                  <c:v>1258.92541179416</c:v>
                </c:pt>
                <c:pt idx="56">
                  <c:v>1318.2567385564</c:v>
                </c:pt>
                <c:pt idx="57">
                  <c:v>1380.38426460288</c:v>
                </c:pt>
                <c:pt idx="58">
                  <c:v>1445.43977074592</c:v>
                </c:pt>
                <c:pt idx="59">
                  <c:v>1513.5612484362</c:v>
                </c:pt>
                <c:pt idx="60">
                  <c:v>1584.8931924611099</c:v>
                </c:pt>
                <c:pt idx="61">
                  <c:v>1659.5869074375601</c:v>
                </c:pt>
                <c:pt idx="62">
                  <c:v>1737.8008287493701</c:v>
                </c:pt>
                <c:pt idx="63">
                  <c:v>1819.7008586099801</c:v>
                </c:pt>
                <c:pt idx="64">
                  <c:v>1905.4607179632401</c:v>
                </c:pt>
                <c:pt idx="65">
                  <c:v>1995.26231496887</c:v>
                </c:pt>
                <c:pt idx="66">
                  <c:v>2089.2961308540298</c:v>
                </c:pt>
                <c:pt idx="67">
                  <c:v>2187.7616239495501</c:v>
                </c:pt>
                <c:pt idx="68">
                  <c:v>2290.8676527677699</c:v>
                </c:pt>
                <c:pt idx="69">
                  <c:v>2398.83291901948</c:v>
                </c:pt>
                <c:pt idx="70">
                  <c:v>2511.8864315095698</c:v>
                </c:pt>
                <c:pt idx="71">
                  <c:v>2630.26799189538</c:v>
                </c:pt>
                <c:pt idx="72">
                  <c:v>2754.2287033381599</c:v>
                </c:pt>
                <c:pt idx="73">
                  <c:v>2884.0315031266</c:v>
                </c:pt>
                <c:pt idx="74">
                  <c:v>3019.9517204020099</c:v>
                </c:pt>
                <c:pt idx="75">
                  <c:v>3162.2776601683699</c:v>
                </c:pt>
                <c:pt idx="76">
                  <c:v>3311.3112148259102</c:v>
                </c:pt>
                <c:pt idx="77">
                  <c:v>3467.3685045253101</c:v>
                </c:pt>
                <c:pt idx="78">
                  <c:v>3630.7805477010102</c:v>
                </c:pt>
                <c:pt idx="79">
                  <c:v>3801.8939632056099</c:v>
                </c:pt>
                <c:pt idx="80">
                  <c:v>3981.0717055349701</c:v>
                </c:pt>
                <c:pt idx="81">
                  <c:v>4168.6938347033501</c:v>
                </c:pt>
                <c:pt idx="82">
                  <c:v>4365.1583224016504</c:v>
                </c:pt>
                <c:pt idx="83">
                  <c:v>4570.8818961487405</c:v>
                </c:pt>
                <c:pt idx="84">
                  <c:v>4786.3009232263803</c:v>
                </c:pt>
                <c:pt idx="85">
                  <c:v>5011.8723362727196</c:v>
                </c:pt>
                <c:pt idx="86">
                  <c:v>5248.0746024977198</c:v>
                </c:pt>
                <c:pt idx="87">
                  <c:v>5495.4087385762396</c:v>
                </c:pt>
                <c:pt idx="88">
                  <c:v>5754.3993733715597</c:v>
                </c:pt>
                <c:pt idx="89">
                  <c:v>6025.5958607435696</c:v>
                </c:pt>
                <c:pt idx="90">
                  <c:v>6309.5734448019302</c:v>
                </c:pt>
                <c:pt idx="91">
                  <c:v>6606.93448007596</c:v>
                </c:pt>
                <c:pt idx="92">
                  <c:v>6918.3097091893596</c:v>
                </c:pt>
                <c:pt idx="93">
                  <c:v>7244.3596007499</c:v>
                </c:pt>
                <c:pt idx="94">
                  <c:v>7585.7757502918303</c:v>
                </c:pt>
                <c:pt idx="95">
                  <c:v>7943.2823472428099</c:v>
                </c:pt>
                <c:pt idx="96">
                  <c:v>8317.6377110267003</c:v>
                </c:pt>
                <c:pt idx="97">
                  <c:v>8709.6358995608007</c:v>
                </c:pt>
                <c:pt idx="98">
                  <c:v>9120.1083935590905</c:v>
                </c:pt>
                <c:pt idx="99">
                  <c:v>9549.9258602143509</c:v>
                </c:pt>
                <c:pt idx="100">
                  <c:v>10000</c:v>
                </c:pt>
                <c:pt idx="101">
                  <c:v>10471.285480508899</c:v>
                </c:pt>
                <c:pt idx="102">
                  <c:v>10964.7819614318</c:v>
                </c:pt>
                <c:pt idx="103">
                  <c:v>11481.536214968801</c:v>
                </c:pt>
                <c:pt idx="104">
                  <c:v>12022.6443461741</c:v>
                </c:pt>
                <c:pt idx="105">
                  <c:v>12589.2541179416</c:v>
                </c:pt>
                <c:pt idx="106">
                  <c:v>13182.567385564</c:v>
                </c:pt>
                <c:pt idx="107">
                  <c:v>13803.842646028799</c:v>
                </c:pt>
                <c:pt idx="108">
                  <c:v>14454.3977074592</c:v>
                </c:pt>
                <c:pt idx="109">
                  <c:v>15135.612484362</c:v>
                </c:pt>
                <c:pt idx="110">
                  <c:v>15848.931924611101</c:v>
                </c:pt>
                <c:pt idx="111">
                  <c:v>16595.869074375601</c:v>
                </c:pt>
                <c:pt idx="112">
                  <c:v>17378.0082874937</c:v>
                </c:pt>
                <c:pt idx="113">
                  <c:v>18197.008586099801</c:v>
                </c:pt>
                <c:pt idx="114">
                  <c:v>19054.607179632399</c:v>
                </c:pt>
                <c:pt idx="115">
                  <c:v>19952.623149688701</c:v>
                </c:pt>
                <c:pt idx="116">
                  <c:v>20892.9613085403</c:v>
                </c:pt>
                <c:pt idx="117">
                  <c:v>21877.616239495499</c:v>
                </c:pt>
                <c:pt idx="118">
                  <c:v>22908.676527677701</c:v>
                </c:pt>
                <c:pt idx="119">
                  <c:v>23988.3291901948</c:v>
                </c:pt>
                <c:pt idx="120">
                  <c:v>25118.8643150957</c:v>
                </c:pt>
                <c:pt idx="121">
                  <c:v>26302.6799189538</c:v>
                </c:pt>
                <c:pt idx="122">
                  <c:v>27542.287033381599</c:v>
                </c:pt>
                <c:pt idx="123">
                  <c:v>28840.315031266</c:v>
                </c:pt>
                <c:pt idx="124">
                  <c:v>30199.5172040201</c:v>
                </c:pt>
                <c:pt idx="125">
                  <c:v>31622.776601683701</c:v>
                </c:pt>
                <c:pt idx="126">
                  <c:v>33113.112148259097</c:v>
                </c:pt>
                <c:pt idx="127">
                  <c:v>34673.6850452531</c:v>
                </c:pt>
                <c:pt idx="128">
                  <c:v>36307.805477010101</c:v>
                </c:pt>
                <c:pt idx="129">
                  <c:v>38018.939632056099</c:v>
                </c:pt>
                <c:pt idx="130">
                  <c:v>39810.717055349698</c:v>
                </c:pt>
                <c:pt idx="131">
                  <c:v>41686.938347033501</c:v>
                </c:pt>
                <c:pt idx="132">
                  <c:v>43651.583224016598</c:v>
                </c:pt>
                <c:pt idx="133">
                  <c:v>45708.818961487501</c:v>
                </c:pt>
                <c:pt idx="134">
                  <c:v>47863.009232263801</c:v>
                </c:pt>
                <c:pt idx="135">
                  <c:v>50118.7233627272</c:v>
                </c:pt>
                <c:pt idx="136">
                  <c:v>52480.746024977198</c:v>
                </c:pt>
                <c:pt idx="137">
                  <c:v>54954.087385762403</c:v>
                </c:pt>
                <c:pt idx="138">
                  <c:v>57543.993733715601</c:v>
                </c:pt>
                <c:pt idx="139">
                  <c:v>60255.958607435699</c:v>
                </c:pt>
                <c:pt idx="140">
                  <c:v>63095.734448019197</c:v>
                </c:pt>
                <c:pt idx="141">
                  <c:v>66069.3448007595</c:v>
                </c:pt>
                <c:pt idx="142">
                  <c:v>69183.097091893593</c:v>
                </c:pt>
                <c:pt idx="143">
                  <c:v>72443.596007498898</c:v>
                </c:pt>
                <c:pt idx="144">
                  <c:v>75857.757502918306</c:v>
                </c:pt>
                <c:pt idx="145">
                  <c:v>79432.823472428106</c:v>
                </c:pt>
                <c:pt idx="146">
                  <c:v>83176.377110267</c:v>
                </c:pt>
                <c:pt idx="147">
                  <c:v>87096.358995607996</c:v>
                </c:pt>
                <c:pt idx="148">
                  <c:v>91201.083935590897</c:v>
                </c:pt>
                <c:pt idx="149">
                  <c:v>95499.2586021436</c:v>
                </c:pt>
                <c:pt idx="150">
                  <c:v>100000</c:v>
                </c:pt>
                <c:pt idx="151">
                  <c:v>104712.85480508899</c:v>
                </c:pt>
                <c:pt idx="152">
                  <c:v>109647.819614318</c:v>
                </c:pt>
                <c:pt idx="153">
                  <c:v>114815.36214968799</c:v>
                </c:pt>
                <c:pt idx="154">
                  <c:v>120226.443461741</c:v>
                </c:pt>
                <c:pt idx="155">
                  <c:v>125892.541179416</c:v>
                </c:pt>
                <c:pt idx="156">
                  <c:v>131825.67385563999</c:v>
                </c:pt>
                <c:pt idx="157">
                  <c:v>138038.426460288</c:v>
                </c:pt>
                <c:pt idx="158">
                  <c:v>144543.977074592</c:v>
                </c:pt>
                <c:pt idx="159">
                  <c:v>151356.12484362</c:v>
                </c:pt>
                <c:pt idx="160">
                  <c:v>158489.319246111</c:v>
                </c:pt>
                <c:pt idx="161">
                  <c:v>165958.69074375599</c:v>
                </c:pt>
                <c:pt idx="162">
                  <c:v>173780.08287493701</c:v>
                </c:pt>
                <c:pt idx="163">
                  <c:v>181970.08586099799</c:v>
                </c:pt>
                <c:pt idx="164">
                  <c:v>190546.07179632399</c:v>
                </c:pt>
                <c:pt idx="165">
                  <c:v>199526.23149688699</c:v>
                </c:pt>
                <c:pt idx="166">
                  <c:v>208929.61308540299</c:v>
                </c:pt>
                <c:pt idx="167">
                  <c:v>218776.162394955</c:v>
                </c:pt>
                <c:pt idx="168">
                  <c:v>229086.76527677701</c:v>
                </c:pt>
                <c:pt idx="169">
                  <c:v>239883.29190194901</c:v>
                </c:pt>
                <c:pt idx="170">
                  <c:v>251188.64315095701</c:v>
                </c:pt>
                <c:pt idx="171">
                  <c:v>263026.799189538</c:v>
                </c:pt>
                <c:pt idx="172">
                  <c:v>275422.87033381598</c:v>
                </c:pt>
                <c:pt idx="173">
                  <c:v>288403.15031265997</c:v>
                </c:pt>
                <c:pt idx="174">
                  <c:v>300000</c:v>
                </c:pt>
              </c:numCache>
            </c:numRef>
          </c:xVal>
          <c:yVal>
            <c:numRef>
              <c:f>Compensator!$CO$63:$CO$237</c:f>
              <c:numCache>
                <c:formatCode>0.00E+00</c:formatCode>
                <c:ptCount val="175"/>
                <c:pt idx="0" formatCode="General">
                  <c:v>55.851031262664698</c:v>
                </c:pt>
                <c:pt idx="1">
                  <c:v>55.470015385817298</c:v>
                </c:pt>
                <c:pt idx="2">
                  <c:v>55.087365643489399</c:v>
                </c:pt>
                <c:pt idx="3">
                  <c:v>54.703210179557999</c:v>
                </c:pt>
                <c:pt idx="4">
                  <c:v>54.317667413068598</c:v>
                </c:pt>
                <c:pt idx="5">
                  <c:v>53.930846570281503</c:v>
                </c:pt>
                <c:pt idx="6">
                  <c:v>53.5428481993671</c:v>
                </c:pt>
                <c:pt idx="7">
                  <c:v>53.153764689732903</c:v>
                </c:pt>
                <c:pt idx="8">
                  <c:v>52.763680760379799</c:v>
                </c:pt>
                <c:pt idx="9">
                  <c:v>52.372673938479899</c:v>
                </c:pt>
                <c:pt idx="10">
                  <c:v>51.9808150013438</c:v>
                </c:pt>
                <c:pt idx="11">
                  <c:v>51.588168416730099</c:v>
                </c:pt>
                <c:pt idx="12">
                  <c:v>51.194792729436301</c:v>
                </c:pt>
                <c:pt idx="13">
                  <c:v>50.800740942478903</c:v>
                </c:pt>
                <c:pt idx="14">
                  <c:v>50.406060864452499</c:v>
                </c:pt>
                <c:pt idx="15">
                  <c:v>50.0107954238768</c:v>
                </c:pt>
                <c:pt idx="16">
                  <c:v>49.614982966149903</c:v>
                </c:pt>
                <c:pt idx="17">
                  <c:v>49.218657517317297</c:v>
                </c:pt>
                <c:pt idx="18">
                  <c:v>48.821849021987802</c:v>
                </c:pt>
                <c:pt idx="19">
                  <c:v>48.424583561029202</c:v>
                </c:pt>
                <c:pt idx="20">
                  <c:v>48.026883535103302</c:v>
                </c:pt>
                <c:pt idx="21">
                  <c:v>47.628767829597997</c:v>
                </c:pt>
                <c:pt idx="22">
                  <c:v>47.230251955286697</c:v>
                </c:pt>
                <c:pt idx="23">
                  <c:v>46.831348162490499</c:v>
                </c:pt>
                <c:pt idx="24">
                  <c:v>46.432065534608398</c:v>
                </c:pt>
                <c:pt idx="25">
                  <c:v>46.032410056857501</c:v>
                </c:pt>
                <c:pt idx="26">
                  <c:v>45.632384664672102</c:v>
                </c:pt>
                <c:pt idx="27">
                  <c:v>45.231989267853699</c:v>
                </c:pt>
                <c:pt idx="28">
                  <c:v>44.831220754926001</c:v>
                </c:pt>
                <c:pt idx="29">
                  <c:v>44.430072973836502</c:v>
                </c:pt>
                <c:pt idx="30">
                  <c:v>44.028536693226599</c:v>
                </c:pt>
                <c:pt idx="31">
                  <c:v>43.626599539895302</c:v>
                </c:pt>
                <c:pt idx="32">
                  <c:v>43.2242459159296</c:v>
                </c:pt>
                <c:pt idx="33">
                  <c:v>42.821456894513197</c:v>
                </c:pt>
                <c:pt idx="34">
                  <c:v>42.418210093301703</c:v>
                </c:pt>
                <c:pt idx="35">
                  <c:v>42.014479526516602</c:v>
                </c:pt>
                <c:pt idx="36">
                  <c:v>41.610235435883403</c:v>
                </c:pt>
                <c:pt idx="37">
                  <c:v>41.205444099520903</c:v>
                </c:pt>
                <c:pt idx="38">
                  <c:v>40.800067620247297</c:v>
                </c:pt>
                <c:pt idx="39">
                  <c:v>40.394063692606103</c:v>
                </c:pt>
                <c:pt idx="40">
                  <c:v>39.987385350233303</c:v>
                </c:pt>
                <c:pt idx="41">
                  <c:v>39.579980693639797</c:v>
                </c:pt>
                <c:pt idx="42">
                  <c:v>39.171792600341</c:v>
                </c:pt>
                <c:pt idx="43">
                  <c:v>38.762758419976201</c:v>
                </c:pt>
                <c:pt idx="44">
                  <c:v>38.352809653516303</c:v>
                </c:pt>
                <c:pt idx="45">
                  <c:v>37.941871624173402</c:v>
                </c:pt>
                <c:pt idx="46">
                  <c:v>37.5298631399614</c:v>
                </c:pt>
                <c:pt idx="47">
                  <c:v>37.116696155735397</c:v>
                </c:pt>
                <c:pt idx="48">
                  <c:v>36.702275437812901</c:v>
                </c:pt>
                <c:pt idx="49">
                  <c:v>36.286498241241702</c:v>
                </c:pt>
                <c:pt idx="50">
                  <c:v>35.869254005637103</c:v>
                </c:pt>
                <c:pt idx="51">
                  <c:v>35.450424081981801</c:v>
                </c:pt>
                <c:pt idx="52">
                  <c:v>35.0298815017387</c:v>
                </c:pt>
                <c:pt idx="53">
                  <c:v>34.607490799747097</c:v>
                </c:pt>
                <c:pt idx="54">
                  <c:v>34.183107912797198</c:v>
                </c:pt>
                <c:pt idx="55">
                  <c:v>33.756580164239402</c:v>
                </c:pt>
                <c:pt idx="56">
                  <c:v>33.327746361937898</c:v>
                </c:pt>
                <c:pt idx="57">
                  <c:v>32.896437024920502</c:v>
                </c:pt>
                <c:pt idx="58">
                  <c:v>32.462474769146603</c:v>
                </c:pt>
                <c:pt idx="59">
                  <c:v>32.025674871615003</c:v>
                </c:pt>
                <c:pt idx="60">
                  <c:v>31.585846044965301</c:v>
                </c:pt>
                <c:pt idx="61">
                  <c:v>31.142791443073399</c:v>
                </c:pt>
                <c:pt idx="62">
                  <c:v>30.696309930035401</c:v>
                </c:pt>
                <c:pt idx="63">
                  <c:v>30.2461976305195</c:v>
                </c:pt>
                <c:pt idx="64">
                  <c:v>29.792249787484799</c:v>
                </c:pt>
                <c:pt idx="65">
                  <c:v>29.334262941412899</c:v>
                </c:pt>
                <c:pt idx="66">
                  <c:v>28.872037440334601</c:v>
                </c:pt>
                <c:pt idx="67">
                  <c:v>28.405380285120199</c:v>
                </c:pt>
                <c:pt idx="68">
                  <c:v>27.934108298693499</c:v>
                </c:pt>
                <c:pt idx="69">
                  <c:v>27.458051600648101</c:v>
                </c:pt>
                <c:pt idx="70">
                  <c:v>26.977057353530402</c:v>
                </c:pt>
                <c:pt idx="71">
                  <c:v>26.4909937308</c:v>
                </c:pt>
                <c:pt idx="72">
                  <c:v>25.999754044841001</c:v>
                </c:pt>
                <c:pt idx="73">
                  <c:v>25.503260953920599</c:v>
                </c:pt>
                <c:pt idx="74">
                  <c:v>25.001470659632101</c:v>
                </c:pt>
                <c:pt idx="75">
                  <c:v>24.4943769840194</c:v>
                </c:pt>
                <c:pt idx="76">
                  <c:v>23.982015217853</c:v>
                </c:pt>
                <c:pt idx="77">
                  <c:v>23.4644656169474</c:v>
                </c:pt>
                <c:pt idx="78">
                  <c:v>22.9418564295915</c:v>
                </c:pt>
                <c:pt idx="79">
                  <c:v>22.414366335038402</c:v>
                </c:pt>
                <c:pt idx="80">
                  <c:v>21.882226191618599</c:v>
                </c:pt>
                <c:pt idx="81">
                  <c:v>21.345719999858598</c:v>
                </c:pt>
                <c:pt idx="82">
                  <c:v>20.805185010072201</c:v>
                </c:pt>
                <c:pt idx="83">
                  <c:v>20.261010925793599</c:v>
                </c:pt>
                <c:pt idx="84">
                  <c:v>19.7136381830062</c:v>
                </c:pt>
                <c:pt idx="85">
                  <c:v>19.1635553080847</c:v>
                </c:pt>
                <c:pt idx="86">
                  <c:v>18.611295392987</c:v>
                </c:pt>
                <c:pt idx="87">
                  <c:v>18.057431748408501</c:v>
                </c:pt>
                <c:pt idx="88">
                  <c:v>17.502572821120101</c:v>
                </c:pt>
                <c:pt idx="89">
                  <c:v>16.947356489218901</c:v>
                </c:pt>
                <c:pt idx="90">
                  <c:v>16.3924438620929</c:v>
                </c:pt>
                <c:pt idx="91">
                  <c:v>15.838512729386199</c:v>
                </c:pt>
                <c:pt idx="92">
                  <c:v>15.286250812996901</c:v>
                </c:pt>
                <c:pt idx="93">
                  <c:v>14.736348980746101</c:v>
                </c:pt>
                <c:pt idx="94">
                  <c:v>14.189494581758</c:v>
                </c:pt>
                <c:pt idx="95">
                  <c:v>13.6463650563957</c:v>
                </c:pt>
                <c:pt idx="96">
                  <c:v>13.1076219675845</c:v>
                </c:pt>
                <c:pt idx="97">
                  <c:v>12.5739055831231</c:v>
                </c:pt>
                <c:pt idx="98">
                  <c:v>12.045830120973701</c:v>
                </c:pt>
                <c:pt idx="99">
                  <c:v>11.523979746865701</c:v>
                </c:pt>
                <c:pt idx="100">
                  <c:v>11.0089053862556</c:v>
                </c:pt>
                <c:pt idx="101">
                  <c:v>10.5011223848275</c:v>
                </c:pt>
                <c:pt idx="102">
                  <c:v>10.001109019758999</c:v>
                </c:pt>
                <c:pt idx="103">
                  <c:v>9.5093058349800099</c:v>
                </c:pt>
                <c:pt idx="104">
                  <c:v>9.0261157423323493</c:v>
                </c:pt>
                <c:pt idx="105">
                  <c:v>8.5519048041298191</c:v>
                </c:pt>
                <c:pt idx="106">
                  <c:v>8.0870035900786803</c:v>
                </c:pt>
                <c:pt idx="107">
                  <c:v>7.6317089812628298</c:v>
                </c:pt>
                <c:pt idx="108">
                  <c:v>7.1862862836444101</c:v>
                </c:pt>
                <c:pt idx="109">
                  <c:v>6.7509715058352899</c:v>
                </c:pt>
                <c:pt idx="110">
                  <c:v>6.3259736571259699</c:v>
                </c:pt>
                <c:pt idx="111">
                  <c:v>5.9114769284595603</c:v>
                </c:pt>
                <c:pt idx="112">
                  <c:v>5.5076426319460099</c:v>
                </c:pt>
                <c:pt idx="113">
                  <c:v>5.1146107921287403</c:v>
                </c:pt>
                <c:pt idx="114">
                  <c:v>4.7325013050023399</c:v>
                </c:pt>
                <c:pt idx="115">
                  <c:v>4.3614146056804799</c:v>
                </c:pt>
                <c:pt idx="116">
                  <c:v>4.0014318131444098</c:v>
                </c:pt>
                <c:pt idx="117">
                  <c:v>3.6526143487801099</c:v>
                </c:pt>
                <c:pt idx="118">
                  <c:v>3.31500305247814</c:v>
                </c:pt>
                <c:pt idx="119">
                  <c:v>2.9886168468648702</c:v>
                </c:pt>
                <c:pt idx="120">
                  <c:v>2.6734510223997101</c:v>
                </c:pt>
                <c:pt idx="121">
                  <c:v>2.36947523576934</c:v>
                </c:pt>
                <c:pt idx="122">
                  <c:v>2.0766313280804898</c:v>
                </c:pt>
                <c:pt idx="123">
                  <c:v>1.7948310781741299</c:v>
                </c:pt>
                <c:pt idx="124">
                  <c:v>1.52395400868401</c:v>
                </c:pt>
                <c:pt idx="125">
                  <c:v>1.2638453593465999</c:v>
                </c:pt>
                <c:pt idx="126">
                  <c:v>1.01431433222046</c:v>
                </c:pt>
                <c:pt idx="127">
                  <c:v>0.775132698694039</c:v>
                </c:pt>
                <c:pt idx="128">
                  <c:v>0.54603383875449596</c:v>
                </c:pt>
                <c:pt idx="129">
                  <c:v>0.32671226045969098</c:v>
                </c:pt>
                <c:pt idx="130">
                  <c:v>0.116823623319861</c:v>
                </c:pt>
                <c:pt idx="131">
                  <c:v>-8.40147351722762E-2</c:v>
                </c:pt>
                <c:pt idx="132">
                  <c:v>-0.27622279359035601</c:v>
                </c:pt>
                <c:pt idx="133">
                  <c:v>-0.46025640530768902</c:v>
                </c:pt>
                <c:pt idx="134">
                  <c:v>-0.63660548238846504</c:v>
                </c:pt>
                <c:pt idx="135">
                  <c:v>-0.80579187701911104</c:v>
                </c:pt>
                <c:pt idx="136">
                  <c:v>-0.96836703993031203</c:v>
                </c:pt>
                <c:pt idx="137">
                  <c:v>-1.12490953731301</c:v>
                </c:pt>
                <c:pt idx="138">
                  <c:v>-1.2760225055532199</c:v>
                </c:pt>
                <c:pt idx="139">
                  <c:v>-1.4223311173216899</c:v>
                </c:pt>
                <c:pt idx="140">
                  <c:v>-1.5644801239883901</c:v>
                </c:pt>
                <c:pt idx="141">
                  <c:v>-1.70313152968336</c:v>
                </c:pt>
                <c:pt idx="142">
                  <c:v>-1.8389624420148101</c:v>
                </c:pt>
                <c:pt idx="143">
                  <c:v>-1.9726631358420601</c:v>
                </c:pt>
                <c:pt idx="144">
                  <c:v>-2.1049353601018801</c:v>
                </c:pt>
                <c:pt idx="145">
                  <c:v>-2.2364909153671202</c:v>
                </c:pt>
                <c:pt idx="146">
                  <c:v>-2.3680505332482</c:v>
                </c:pt>
                <c:pt idx="147">
                  <c:v>-2.5003430990633801</c:v>
                </c:pt>
                <c:pt idx="148">
                  <c:v>-2.63620638535519</c:v>
                </c:pt>
                <c:pt idx="149">
                  <c:v>-2.772158473208</c:v>
                </c:pt>
                <c:pt idx="150">
                  <c:v>-2.9110735299394901</c:v>
                </c:pt>
                <c:pt idx="151">
                  <c:v>-3.0537150018541501</c:v>
                </c:pt>
                <c:pt idx="152">
                  <c:v>-3.20085936005886</c:v>
                </c:pt>
                <c:pt idx="153">
                  <c:v>-3.3533004117512699</c:v>
                </c:pt>
                <c:pt idx="154">
                  <c:v>-3.51185576609118</c:v>
                </c:pt>
                <c:pt idx="155">
                  <c:v>-3.6773762708695501</c:v>
                </c:pt>
                <c:pt idx="156">
                  <c:v>-3.8507595375174399</c:v>
                </c:pt>
                <c:pt idx="157">
                  <c:v>-4.0326228986719403</c:v>
                </c:pt>
                <c:pt idx="158">
                  <c:v>-4.22471619252119</c:v>
                </c:pt>
                <c:pt idx="159">
                  <c:v>-4.4278784992751898</c:v>
                </c:pt>
                <c:pt idx="160">
                  <c:v>-4.6434770371575604</c:v>
                </c:pt>
                <c:pt idx="161">
                  <c:v>-4.8731302101655096</c:v>
                </c:pt>
                <c:pt idx="162">
                  <c:v>-5.1188025961647199</c:v>
                </c:pt>
                <c:pt idx="163">
                  <c:v>-5.3826203111225803</c:v>
                </c:pt>
                <c:pt idx="164">
                  <c:v>-5.6682981487370201</c:v>
                </c:pt>
                <c:pt idx="165">
                  <c:v>-5.9794576034076297</c:v>
                </c:pt>
                <c:pt idx="166">
                  <c:v>-6.3211816806236696</c:v>
                </c:pt>
                <c:pt idx="167">
                  <c:v>-6.70003263326437</c:v>
                </c:pt>
                <c:pt idx="168">
                  <c:v>-7.1245517016511197</c:v>
                </c:pt>
                <c:pt idx="169">
                  <c:v>-7.6051980159973498</c:v>
                </c:pt>
                <c:pt idx="170">
                  <c:v>-8.1554159204585304</c:v>
                </c:pt>
                <c:pt idx="171">
                  <c:v>-8.7912916357014392</c:v>
                </c:pt>
                <c:pt idx="172">
                  <c:v>-9.5314257180201096</c:v>
                </c:pt>
                <c:pt idx="173">
                  <c:v>-10.396541349611599</c:v>
                </c:pt>
                <c:pt idx="174">
                  <c:v>-11.252514780889999</c:v>
                </c:pt>
              </c:numCache>
            </c:numRef>
          </c:yVal>
          <c:smooth val="1"/>
          <c:extLst>
            <c:ext xmlns:c16="http://schemas.microsoft.com/office/drawing/2014/chart" uri="{C3380CC4-5D6E-409C-BE32-E72D297353CC}">
              <c16:uniqueId val="{00000001-782E-45CD-8A60-FE18F61A00C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201995776"/>
        <c:axId val="201997696"/>
      </c:scatterChart>
      <c:valAx>
        <c:axId val="201995776"/>
        <c:scaling>
          <c:logBase val="10"/>
          <c:orientation val="minMax"/>
          <c:min val="100"/>
        </c:scaling>
        <c:delete val="0"/>
        <c:axPos val="b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minorGridlines>
          <c:spPr>
            <a:ln w="3175">
              <a:solidFill>
                <a:srgbClr val="000000"/>
              </a:solidFill>
              <a:prstDash val="solid"/>
            </a:ln>
          </c:spPr>
        </c:minorGridlines>
        <c:title>
          <c:tx>
            <c:rich>
              <a:bodyPr/>
              <a:lstStyle/>
              <a:p>
                <a:pPr>
                  <a:defRPr/>
                </a:pPr>
                <a:r>
                  <a:rPr lang="en-US"/>
                  <a:t>Frequency (Hz)</a:t>
                </a:r>
              </a:p>
            </c:rich>
          </c:tx>
          <c:overlay val="0"/>
        </c:title>
        <c:numFmt formatCode="0.0E+00" sourceLinked="0"/>
        <c:majorTickMark val="out"/>
        <c:minorTickMark val="out"/>
        <c:tickLblPos val="low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8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zh-CN"/>
          </a:p>
        </c:txPr>
        <c:crossAx val="201997696"/>
        <c:crosses val="autoZero"/>
        <c:crossBetween val="midCat"/>
      </c:valAx>
      <c:valAx>
        <c:axId val="201997696"/>
        <c:scaling>
          <c:orientation val="minMax"/>
          <c:max val="60"/>
          <c:min val="-60"/>
        </c:scaling>
        <c:delete val="0"/>
        <c:axPos val="l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title>
          <c:tx>
            <c:rich>
              <a:bodyPr rot="0" vert="wordArtVert"/>
              <a:lstStyle/>
              <a:p>
                <a:pPr>
                  <a:defRPr/>
                </a:pPr>
                <a:r>
                  <a:rPr lang="en-US"/>
                  <a:t>Gain (dB)</a:t>
                </a:r>
              </a:p>
            </c:rich>
          </c:tx>
          <c:overlay val="0"/>
        </c:title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8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zh-CN"/>
          </a:p>
        </c:txPr>
        <c:crossAx val="201995776"/>
        <c:crosses val="autoZero"/>
        <c:crossBetween val="midCat"/>
      </c:valAx>
      <c:spPr>
        <a:noFill/>
        <a:ln w="12700">
          <a:solidFill>
            <a:srgbClr val="808080"/>
          </a:solidFill>
          <a:prstDash val="solid"/>
        </a:ln>
      </c:spPr>
    </c:plotArea>
    <c:legend>
      <c:legendPos val="r"/>
      <c:legendEntry>
        <c:idx val="0"/>
        <c:txPr>
          <a:bodyPr/>
          <a:lstStyle/>
          <a:p>
            <a:pPr>
              <a:defRPr sz="11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zh-CN"/>
          </a:p>
        </c:txPr>
      </c:legendEntry>
      <c:legendEntry>
        <c:idx val="1"/>
        <c:txPr>
          <a:bodyPr/>
          <a:lstStyle/>
          <a:p>
            <a:pPr>
              <a:defRPr sz="11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zh-CN"/>
          </a:p>
        </c:txPr>
      </c:legendEntry>
      <c:layout>
        <c:manualLayout>
          <c:xMode val="edge"/>
          <c:yMode val="edge"/>
          <c:x val="0.5847135145842618"/>
          <c:y val="6.9711538461538464E-2"/>
          <c:w val="0.41528648541573815"/>
          <c:h val="0.13040087528922212"/>
        </c:manualLayout>
      </c:layout>
      <c:overlay val="0"/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>
            <a:defRPr sz="1100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zh-CN"/>
        </a:p>
      </c:txPr>
    </c:legend>
    <c:plotVisOnly val="1"/>
    <c:dispBlanksAs val="gap"/>
    <c:showDLblsOverMax val="0"/>
  </c:chart>
  <c:spPr>
    <a:solidFill>
      <a:srgbClr val="FFFFFF"/>
    </a:solidFill>
    <a:ln w="3175">
      <a:solidFill>
        <a:srgbClr val="000000"/>
      </a:solidFill>
      <a:prstDash val="solid"/>
    </a:ln>
  </c:spPr>
  <c:txPr>
    <a:bodyPr/>
    <a:lstStyle/>
    <a:p>
      <a:pPr>
        <a:defRPr sz="85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zh-CN"/>
    </a:p>
  </c:txPr>
  <c:printSettings>
    <c:headerFooter alignWithMargins="0"/>
    <c:pageMargins b="1" l="0.75" r="0.75" t="1" header="0.5" footer="0.5"/>
    <c:pageSetup/>
  </c:printSettings>
  <c:userShapes r:id="rId1"/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zh-CN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6.902368250158239E-2"/>
          <c:y val="7.0422632073382577E-2"/>
          <c:w val="0.88552334136176436"/>
          <c:h val="0.82856384409807549"/>
        </c:manualLayout>
      </c:layout>
      <c:scatterChart>
        <c:scatterStyle val="smoothMarker"/>
        <c:varyColors val="0"/>
        <c:ser>
          <c:idx val="2"/>
          <c:order val="0"/>
          <c:tx>
            <c:v>Phase Margin of Closed Loop - Excel</c:v>
          </c:tx>
          <c:spPr>
            <a:ln>
              <a:solidFill>
                <a:srgbClr val="FF0000"/>
              </a:solidFill>
            </a:ln>
          </c:spPr>
          <c:marker>
            <c:symbol val="none"/>
          </c:marker>
          <c:xVal>
            <c:numRef>
              <c:f>Compensator!$B$49:$B$249</c:f>
              <c:numCache>
                <c:formatCode>General</c:formatCode>
                <c:ptCount val="201"/>
                <c:pt idx="0">
                  <c:v>1</c:v>
                </c:pt>
                <c:pt idx="1">
                  <c:v>1.0715193052376064</c:v>
                </c:pt>
                <c:pt idx="2">
                  <c:v>1.1481536214968828</c:v>
                </c:pt>
                <c:pt idx="3">
                  <c:v>1.2302687708123816</c:v>
                </c:pt>
                <c:pt idx="4">
                  <c:v>1.3182567385564072</c:v>
                </c:pt>
                <c:pt idx="5">
                  <c:v>1.4125375446227544</c:v>
                </c:pt>
                <c:pt idx="6">
                  <c:v>1.5135612484362082</c:v>
                </c:pt>
                <c:pt idx="7">
                  <c:v>1.62181009735893</c:v>
                </c:pt>
                <c:pt idx="8">
                  <c:v>1.7378008287493756</c:v>
                </c:pt>
                <c:pt idx="9">
                  <c:v>1.8620871366628675</c:v>
                </c:pt>
                <c:pt idx="10">
                  <c:v>1.9952623149688797</c:v>
                </c:pt>
                <c:pt idx="11">
                  <c:v>2.1379620895022322</c:v>
                </c:pt>
                <c:pt idx="12">
                  <c:v>2.2908676527677732</c:v>
                </c:pt>
                <c:pt idx="13">
                  <c:v>2.4547089156850306</c:v>
                </c:pt>
                <c:pt idx="14">
                  <c:v>2.6302679918953822</c:v>
                </c:pt>
                <c:pt idx="15">
                  <c:v>2.8183829312644537</c:v>
                </c:pt>
                <c:pt idx="16">
                  <c:v>3.0199517204020165</c:v>
                </c:pt>
                <c:pt idx="17">
                  <c:v>3.2359365692962836</c:v>
                </c:pt>
                <c:pt idx="18">
                  <c:v>3.4673685045253171</c:v>
                </c:pt>
                <c:pt idx="19">
                  <c:v>3.7153522909717256</c:v>
                </c:pt>
                <c:pt idx="20">
                  <c:v>3.9810717055349727</c:v>
                </c:pt>
                <c:pt idx="21">
                  <c:v>4.2657951880159271</c:v>
                </c:pt>
                <c:pt idx="22">
                  <c:v>4.5708818961487498</c:v>
                </c:pt>
                <c:pt idx="23">
                  <c:v>4.8977881936844625</c:v>
                </c:pt>
                <c:pt idx="24">
                  <c:v>5.2480746024977263</c:v>
                </c:pt>
                <c:pt idx="25">
                  <c:v>5.6234132519034921</c:v>
                </c:pt>
                <c:pt idx="26">
                  <c:v>6.0255958607435796</c:v>
                </c:pt>
                <c:pt idx="27">
                  <c:v>6.4565422903465555</c:v>
                </c:pt>
                <c:pt idx="28">
                  <c:v>6.9183097091893666</c:v>
                </c:pt>
                <c:pt idx="29">
                  <c:v>7.4131024130091765</c:v>
                </c:pt>
                <c:pt idx="30">
                  <c:v>7.943282347242814</c:v>
                </c:pt>
                <c:pt idx="31">
                  <c:v>8.5113803820237646</c:v>
                </c:pt>
                <c:pt idx="32">
                  <c:v>9.1201083935590983</c:v>
                </c:pt>
                <c:pt idx="33">
                  <c:v>9.7723722095581103</c:v>
                </c:pt>
                <c:pt idx="34">
                  <c:v>10.471285480509</c:v>
                </c:pt>
                <c:pt idx="35">
                  <c:v>11.220184543019636</c:v>
                </c:pt>
                <c:pt idx="36">
                  <c:v>12.022644346174133</c:v>
                </c:pt>
                <c:pt idx="37">
                  <c:v>12.882495516931341</c:v>
                </c:pt>
                <c:pt idx="38">
                  <c:v>13.803842646028851</c:v>
                </c:pt>
                <c:pt idx="39">
                  <c:v>14.791083881682074</c:v>
                </c:pt>
                <c:pt idx="40">
                  <c:v>15.848931924611136</c:v>
                </c:pt>
                <c:pt idx="41">
                  <c:v>16.982436524617448</c:v>
                </c:pt>
                <c:pt idx="42">
                  <c:v>18.197008586099841</c:v>
                </c:pt>
                <c:pt idx="43">
                  <c:v>19.498445997580465</c:v>
                </c:pt>
                <c:pt idx="44">
                  <c:v>20.892961308540393</c:v>
                </c:pt>
                <c:pt idx="45">
                  <c:v>22.387211385683397</c:v>
                </c:pt>
                <c:pt idx="46">
                  <c:v>23.988329190194907</c:v>
                </c:pt>
                <c:pt idx="47">
                  <c:v>25.703957827688647</c:v>
                </c:pt>
                <c:pt idx="48">
                  <c:v>27.542287033381665</c:v>
                </c:pt>
                <c:pt idx="49">
                  <c:v>29.512092266663863</c:v>
                </c:pt>
                <c:pt idx="50">
                  <c:v>31.622776601683803</c:v>
                </c:pt>
                <c:pt idx="51">
                  <c:v>33.884415613920268</c:v>
                </c:pt>
                <c:pt idx="52">
                  <c:v>36.307805477010156</c:v>
                </c:pt>
                <c:pt idx="53">
                  <c:v>38.904514499428053</c:v>
                </c:pt>
                <c:pt idx="54">
                  <c:v>41.686938347033546</c:v>
                </c:pt>
                <c:pt idx="55">
                  <c:v>44.668359215096324</c:v>
                </c:pt>
                <c:pt idx="56">
                  <c:v>47.863009232263856</c:v>
                </c:pt>
                <c:pt idx="57">
                  <c:v>51.28613839913649</c:v>
                </c:pt>
                <c:pt idx="58">
                  <c:v>54.95408738576247</c:v>
                </c:pt>
                <c:pt idx="59">
                  <c:v>58.884365535558949</c:v>
                </c:pt>
                <c:pt idx="60">
                  <c:v>63.095734448019307</c:v>
                </c:pt>
                <c:pt idx="61">
                  <c:v>67.60829753919819</c:v>
                </c:pt>
                <c:pt idx="62">
                  <c:v>72.443596007499011</c:v>
                </c:pt>
                <c:pt idx="63">
                  <c:v>77.624711662869217</c:v>
                </c:pt>
                <c:pt idx="64">
                  <c:v>83.176377110267126</c:v>
                </c:pt>
                <c:pt idx="65">
                  <c:v>89.125093813374562</c:v>
                </c:pt>
                <c:pt idx="66">
                  <c:v>95.499258602143655</c:v>
                </c:pt>
                <c:pt idx="67">
                  <c:v>102.32929922807544</c:v>
                </c:pt>
                <c:pt idx="68">
                  <c:v>109.64781961431861</c:v>
                </c:pt>
                <c:pt idx="69">
                  <c:v>117.48975549395293</c:v>
                </c:pt>
                <c:pt idx="70">
                  <c:v>125.89254117941677</c:v>
                </c:pt>
                <c:pt idx="71">
                  <c:v>134.89628825916537</c:v>
                </c:pt>
                <c:pt idx="72">
                  <c:v>144.54397707459285</c:v>
                </c:pt>
                <c:pt idx="73">
                  <c:v>154.8816618912482</c:v>
                </c:pt>
                <c:pt idx="74">
                  <c:v>165.95869074375608</c:v>
                </c:pt>
                <c:pt idx="75">
                  <c:v>177.82794100389242</c:v>
                </c:pt>
                <c:pt idx="76">
                  <c:v>190.54607179632481</c:v>
                </c:pt>
                <c:pt idx="77">
                  <c:v>204.17379446695315</c:v>
                </c:pt>
                <c:pt idx="78">
                  <c:v>218.77616239495524</c:v>
                </c:pt>
                <c:pt idx="79">
                  <c:v>234.42288153199232</c:v>
                </c:pt>
                <c:pt idx="80">
                  <c:v>251.18864315095806</c:v>
                </c:pt>
                <c:pt idx="81">
                  <c:v>269.15348039269156</c:v>
                </c:pt>
                <c:pt idx="82">
                  <c:v>288.40315031266073</c:v>
                </c:pt>
                <c:pt idx="83">
                  <c:v>309.02954325135909</c:v>
                </c:pt>
                <c:pt idx="84">
                  <c:v>331.13112148259137</c:v>
                </c:pt>
                <c:pt idx="85">
                  <c:v>354.81338923357566</c:v>
                </c:pt>
                <c:pt idx="86">
                  <c:v>380.18939632056163</c:v>
                </c:pt>
                <c:pt idx="87">
                  <c:v>407.38027780411272</c:v>
                </c:pt>
                <c:pt idx="88">
                  <c:v>436.51583224016582</c:v>
                </c:pt>
                <c:pt idx="89">
                  <c:v>467.7351412871983</c:v>
                </c:pt>
                <c:pt idx="90">
                  <c:v>501.18723362727229</c:v>
                </c:pt>
                <c:pt idx="91">
                  <c:v>537.03179637025301</c:v>
                </c:pt>
                <c:pt idx="92">
                  <c:v>575.43993733715706</c:v>
                </c:pt>
                <c:pt idx="93">
                  <c:v>616.59500186148273</c:v>
                </c:pt>
                <c:pt idx="94">
                  <c:v>660.69344800759643</c:v>
                </c:pt>
                <c:pt idx="95">
                  <c:v>707.94578438413873</c:v>
                </c:pt>
                <c:pt idx="96">
                  <c:v>758.57757502918378</c:v>
                </c:pt>
                <c:pt idx="97">
                  <c:v>812.83051616409898</c:v>
                </c:pt>
                <c:pt idx="98">
                  <c:v>870.96358995608091</c:v>
                </c:pt>
                <c:pt idx="99">
                  <c:v>933.25430079699106</c:v>
                </c:pt>
                <c:pt idx="100">
                  <c:v>1000</c:v>
                </c:pt>
                <c:pt idx="101">
                  <c:v>1071.5193052376069</c:v>
                </c:pt>
                <c:pt idx="102">
                  <c:v>1148.1536214968839</c:v>
                </c:pt>
                <c:pt idx="103">
                  <c:v>1230.2687708123824</c:v>
                </c:pt>
                <c:pt idx="104">
                  <c:v>1318.2567385564089</c:v>
                </c:pt>
                <c:pt idx="105">
                  <c:v>1412.5375446227545</c:v>
                </c:pt>
                <c:pt idx="106">
                  <c:v>1513.561248436208</c:v>
                </c:pt>
                <c:pt idx="107">
                  <c:v>1621.8100973589308</c:v>
                </c:pt>
                <c:pt idx="108">
                  <c:v>1737.8008287493758</c:v>
                </c:pt>
                <c:pt idx="109">
                  <c:v>1862.0871366628687</c:v>
                </c:pt>
                <c:pt idx="110">
                  <c:v>1995.2623149688804</c:v>
                </c:pt>
                <c:pt idx="111">
                  <c:v>2137.9620895022344</c:v>
                </c:pt>
                <c:pt idx="112">
                  <c:v>2290.8676527677749</c:v>
                </c:pt>
                <c:pt idx="113">
                  <c:v>2454.7089156850293</c:v>
                </c:pt>
                <c:pt idx="114">
                  <c:v>2630.2679918953822</c:v>
                </c:pt>
                <c:pt idx="115">
                  <c:v>2818.3829312644534</c:v>
                </c:pt>
                <c:pt idx="116">
                  <c:v>3019.9517204020176</c:v>
                </c:pt>
                <c:pt idx="117">
                  <c:v>3235.9365692962833</c:v>
                </c:pt>
                <c:pt idx="118">
                  <c:v>3467.3685045253224</c:v>
                </c:pt>
                <c:pt idx="119">
                  <c:v>3715.352290971724</c:v>
                </c:pt>
                <c:pt idx="120">
                  <c:v>3981.0717055349701</c:v>
                </c:pt>
                <c:pt idx="121">
                  <c:v>4265.7951880159299</c:v>
                </c:pt>
                <c:pt idx="122">
                  <c:v>4570.8818961487532</c:v>
                </c:pt>
                <c:pt idx="123">
                  <c:v>4897.7881936844633</c:v>
                </c:pt>
                <c:pt idx="124">
                  <c:v>5248.0746024977261</c:v>
                </c:pt>
                <c:pt idx="125">
                  <c:v>5623.4132519034993</c:v>
                </c:pt>
                <c:pt idx="126">
                  <c:v>6025.595860743585</c:v>
                </c:pt>
                <c:pt idx="127">
                  <c:v>6456.5422903465615</c:v>
                </c:pt>
                <c:pt idx="128">
                  <c:v>6918.3097091893687</c:v>
                </c:pt>
                <c:pt idx="129">
                  <c:v>7413.1024130091773</c:v>
                </c:pt>
                <c:pt idx="130">
                  <c:v>7943.2823472428154</c:v>
                </c:pt>
                <c:pt idx="131">
                  <c:v>8511.3803820237626</c:v>
                </c:pt>
                <c:pt idx="132">
                  <c:v>9120.1083935591087</c:v>
                </c:pt>
                <c:pt idx="133">
                  <c:v>9772.3722095581161</c:v>
                </c:pt>
                <c:pt idx="134">
                  <c:v>10471.285480509003</c:v>
                </c:pt>
                <c:pt idx="135">
                  <c:v>11220.184543019639</c:v>
                </c:pt>
                <c:pt idx="136">
                  <c:v>12022.644346174151</c:v>
                </c:pt>
                <c:pt idx="137">
                  <c:v>12882.495516931338</c:v>
                </c:pt>
                <c:pt idx="138">
                  <c:v>13803.842646028841</c:v>
                </c:pt>
                <c:pt idx="139">
                  <c:v>14791.083881682089</c:v>
                </c:pt>
                <c:pt idx="140">
                  <c:v>15848.931924611146</c:v>
                </c:pt>
                <c:pt idx="141">
                  <c:v>16982.436524617453</c:v>
                </c:pt>
                <c:pt idx="142">
                  <c:v>18197.008586099837</c:v>
                </c:pt>
                <c:pt idx="143">
                  <c:v>19498.445997580486</c:v>
                </c:pt>
                <c:pt idx="144">
                  <c:v>20892.961308540423</c:v>
                </c:pt>
                <c:pt idx="145">
                  <c:v>22387.211385683382</c:v>
                </c:pt>
                <c:pt idx="146">
                  <c:v>23988.329190194923</c:v>
                </c:pt>
                <c:pt idx="147">
                  <c:v>25703.95782768865</c:v>
                </c:pt>
                <c:pt idx="148">
                  <c:v>27542.287033381672</c:v>
                </c:pt>
                <c:pt idx="149">
                  <c:v>29512.092266663854</c:v>
                </c:pt>
                <c:pt idx="150">
                  <c:v>31622.77660168384</c:v>
                </c:pt>
                <c:pt idx="151">
                  <c:v>33884.41561392029</c:v>
                </c:pt>
                <c:pt idx="152">
                  <c:v>36307.805477010166</c:v>
                </c:pt>
                <c:pt idx="153">
                  <c:v>38904.514499428085</c:v>
                </c:pt>
                <c:pt idx="154">
                  <c:v>41686.938347033625</c:v>
                </c:pt>
                <c:pt idx="155">
                  <c:v>44668.359215096309</c:v>
                </c:pt>
                <c:pt idx="156">
                  <c:v>47863.009232263823</c:v>
                </c:pt>
                <c:pt idx="157">
                  <c:v>51286.138399136544</c:v>
                </c:pt>
                <c:pt idx="158">
                  <c:v>54954.087385762505</c:v>
                </c:pt>
                <c:pt idx="159">
                  <c:v>58884.365535558936</c:v>
                </c:pt>
                <c:pt idx="160">
                  <c:v>63095.734448019342</c:v>
                </c:pt>
                <c:pt idx="161">
                  <c:v>67608.297539198305</c:v>
                </c:pt>
                <c:pt idx="162">
                  <c:v>72443.596007498985</c:v>
                </c:pt>
                <c:pt idx="163">
                  <c:v>77624.711662869129</c:v>
                </c:pt>
                <c:pt idx="164">
                  <c:v>83176.377110267174</c:v>
                </c:pt>
                <c:pt idx="165">
                  <c:v>89125.093813374609</c:v>
                </c:pt>
                <c:pt idx="166">
                  <c:v>95499.258602143629</c:v>
                </c:pt>
                <c:pt idx="167">
                  <c:v>102329.29922807543</c:v>
                </c:pt>
                <c:pt idx="168">
                  <c:v>109647.81961431868</c:v>
                </c:pt>
                <c:pt idx="169">
                  <c:v>117489.75549395289</c:v>
                </c:pt>
                <c:pt idx="170">
                  <c:v>125892.54117941685</c:v>
                </c:pt>
                <c:pt idx="171">
                  <c:v>134896.28825916545</c:v>
                </c:pt>
                <c:pt idx="172">
                  <c:v>144543.97707459307</c:v>
                </c:pt>
                <c:pt idx="173">
                  <c:v>154881.66189124816</c:v>
                </c:pt>
                <c:pt idx="174">
                  <c:v>165958.69074375604</c:v>
                </c:pt>
                <c:pt idx="175">
                  <c:v>177827.94100389251</c:v>
                </c:pt>
                <c:pt idx="176">
                  <c:v>190546.0717963246</c:v>
                </c:pt>
                <c:pt idx="177">
                  <c:v>204173.79446695308</c:v>
                </c:pt>
                <c:pt idx="178">
                  <c:v>218776.16239495538</c:v>
                </c:pt>
                <c:pt idx="179">
                  <c:v>234422.88153199267</c:v>
                </c:pt>
                <c:pt idx="180">
                  <c:v>251188.643150958</c:v>
                </c:pt>
                <c:pt idx="181">
                  <c:v>269153.48039269145</c:v>
                </c:pt>
                <c:pt idx="182">
                  <c:v>288403.1503126609</c:v>
                </c:pt>
                <c:pt idx="183">
                  <c:v>309029.54325135931</c:v>
                </c:pt>
                <c:pt idx="184">
                  <c:v>331131.12148259126</c:v>
                </c:pt>
                <c:pt idx="185">
                  <c:v>354813.38923357555</c:v>
                </c:pt>
                <c:pt idx="186">
                  <c:v>380189.39632056188</c:v>
                </c:pt>
                <c:pt idx="187">
                  <c:v>407380.27780411259</c:v>
                </c:pt>
                <c:pt idx="188">
                  <c:v>436515.83224016649</c:v>
                </c:pt>
                <c:pt idx="189">
                  <c:v>467735.14128719864</c:v>
                </c:pt>
                <c:pt idx="190">
                  <c:v>501187.23362727347</c:v>
                </c:pt>
                <c:pt idx="191">
                  <c:v>537031.79637025285</c:v>
                </c:pt>
                <c:pt idx="192">
                  <c:v>575439.93733715697</c:v>
                </c:pt>
                <c:pt idx="193">
                  <c:v>616595.00186148309</c:v>
                </c:pt>
                <c:pt idx="194">
                  <c:v>660693.44800759561</c:v>
                </c:pt>
                <c:pt idx="195">
                  <c:v>707945.78438413853</c:v>
                </c:pt>
                <c:pt idx="196">
                  <c:v>758577.57502918423</c:v>
                </c:pt>
                <c:pt idx="197">
                  <c:v>812830.51616410096</c:v>
                </c:pt>
                <c:pt idx="198">
                  <c:v>870963.58995608077</c:v>
                </c:pt>
                <c:pt idx="199">
                  <c:v>933254.30079699249</c:v>
                </c:pt>
                <c:pt idx="200">
                  <c:v>1000000</c:v>
                </c:pt>
              </c:numCache>
            </c:numRef>
          </c:xVal>
          <c:yVal>
            <c:numRef>
              <c:f>Compensator!$CE$64:$CE$264</c:f>
              <c:numCache>
                <c:formatCode>General</c:formatCode>
                <c:ptCount val="201"/>
                <c:pt idx="0">
                  <c:v>177.91979255572687</c:v>
                </c:pt>
                <c:pt idx="1">
                  <c:v>177.77116085124544</c:v>
                </c:pt>
                <c:pt idx="2">
                  <c:v>177.61193206098949</c:v>
                </c:pt>
                <c:pt idx="3">
                  <c:v>177.44135585809565</c:v>
                </c:pt>
                <c:pt idx="4">
                  <c:v>177.25862998837493</c:v>
                </c:pt>
                <c:pt idx="5">
                  <c:v>177.06289695308087</c:v>
                </c:pt>
                <c:pt idx="6">
                  <c:v>176.85324054449396</c:v>
                </c:pt>
                <c:pt idx="7">
                  <c:v>176.62868224401905</c:v>
                </c:pt>
                <c:pt idx="8">
                  <c:v>176.38817749763652</c:v>
                </c:pt>
                <c:pt idx="9">
                  <c:v>176.13061188999268</c:v>
                </c:pt>
                <c:pt idx="10">
                  <c:v>175.85479724644995</c:v>
                </c:pt>
                <c:pt idx="11">
                  <c:v>175.55946770235346</c:v>
                </c:pt>
                <c:pt idx="12">
                  <c:v>175.24327579099565</c:v>
                </c:pt>
                <c:pt idx="13">
                  <c:v>174.90478861670351</c:v>
                </c:pt>
                <c:pt idx="14">
                  <c:v>174.54248419762561</c:v>
                </c:pt>
                <c:pt idx="15">
                  <c:v>174.15474808471774</c:v>
                </c:pt>
                <c:pt idx="16">
                  <c:v>173.73987038969233</c:v>
                </c:pt>
                <c:pt idx="17">
                  <c:v>173.29604338595843</c:v>
                </c:pt>
                <c:pt idx="18">
                  <c:v>172.82135988343714</c:v>
                </c:pt>
                <c:pt idx="19">
                  <c:v>172.31381262117648</c:v>
                </c:pt>
                <c:pt idx="20">
                  <c:v>171.77129497134155</c:v>
                </c:pt>
                <c:pt idx="21">
                  <c:v>171.19160330463035</c:v>
                </c:pt>
                <c:pt idx="22">
                  <c:v>170.57244143024218</c:v>
                </c:pt>
                <c:pt idx="23">
                  <c:v>169.91142759242121</c:v>
                </c:pt>
                <c:pt idx="24">
                  <c:v>169.20610457856401</c:v>
                </c:pt>
                <c:pt idx="25">
                  <c:v>168.45395356798167</c:v>
                </c:pt>
                <c:pt idx="26">
                  <c:v>167.65241242097787</c:v>
                </c:pt>
                <c:pt idx="27">
                  <c:v>166.79889916806317</c:v>
                </c:pt>
                <c:pt idx="28">
                  <c:v>165.8908414993376</c:v>
                </c:pt>
                <c:pt idx="29">
                  <c:v>164.92571306145709</c:v>
                </c:pt>
                <c:pt idx="30">
                  <c:v>163.90107732779222</c:v>
                </c:pt>
                <c:pt idx="31">
                  <c:v>162.81463969637318</c:v>
                </c:pt>
                <c:pt idx="32">
                  <c:v>161.66430826696441</c:v>
                </c:pt>
                <c:pt idx="33">
                  <c:v>160.44826342861998</c:v>
                </c:pt>
                <c:pt idx="34">
                  <c:v>159.16503592899636</c:v>
                </c:pt>
                <c:pt idx="35">
                  <c:v>157.8135924789859</c:v>
                </c:pt>
                <c:pt idx="36">
                  <c:v>156.39342716506383</c:v>
                </c:pt>
                <c:pt idx="37">
                  <c:v>154.9046560110329</c:v>
                </c:pt>
                <c:pt idx="38">
                  <c:v>153.34811099272599</c:v>
                </c:pt>
                <c:pt idx="39">
                  <c:v>151.72542874178183</c:v>
                </c:pt>
                <c:pt idx="40">
                  <c:v>150.03912819615857</c:v>
                </c:pt>
                <c:pt idx="41">
                  <c:v>148.29267072156841</c:v>
                </c:pt>
                <c:pt idx="42">
                  <c:v>146.49049592026591</c:v>
                </c:pt>
                <c:pt idx="43">
                  <c:v>144.63802664207392</c:v>
                </c:pt>
                <c:pt idx="44">
                  <c:v>142.74163776016908</c:v>
                </c:pt>
                <c:pt idx="45">
                  <c:v>140.80858513316431</c:v>
                </c:pt>
                <c:pt idx="46">
                  <c:v>138.84689378627269</c:v>
                </c:pt>
                <c:pt idx="47">
                  <c:v>136.86520750396585</c:v>
                </c:pt>
                <c:pt idx="48">
                  <c:v>134.87260539204175</c:v>
                </c:pt>
                <c:pt idx="49">
                  <c:v>132.87839410016494</c:v>
                </c:pt>
                <c:pt idx="50">
                  <c:v>130.89188683905473</c:v>
                </c:pt>
                <c:pt idx="51">
                  <c:v>128.9221816956416</c:v>
                </c:pt>
                <c:pt idx="52">
                  <c:v>126.97795182063714</c:v>
                </c:pt>
                <c:pt idx="53">
                  <c:v>125.06725882417265</c:v>
                </c:pt>
                <c:pt idx="54">
                  <c:v>123.19739836983167</c:v>
                </c:pt>
                <c:pt idx="55">
                  <c:v>121.37478387609863</c:v>
                </c:pt>
                <c:pt idx="56">
                  <c:v>119.60487087138402</c:v>
                </c:pt>
                <c:pt idx="57">
                  <c:v>117.89212134873991</c:v>
                </c:pt>
                <c:pt idx="58">
                  <c:v>116.24000478452609</c:v>
                </c:pt>
                <c:pt idx="59">
                  <c:v>114.65103054108326</c:v>
                </c:pt>
                <c:pt idx="60">
                  <c:v>113.12680524072293</c:v>
                </c:pt>
                <c:pt idx="61">
                  <c:v>111.66810832605039</c:v>
                </c:pt>
                <c:pt idx="62">
                  <c:v>110.27497927323913</c:v>
                </c:pt>
                <c:pt idx="63">
                  <c:v>108.94681062199153</c:v>
                </c:pt>
                <c:pt idx="64">
                  <c:v>107.68244194641082</c:v>
                </c:pt>
                <c:pt idx="65">
                  <c:v>106.48025095543154</c:v>
                </c:pt>
                <c:pt idx="66">
                  <c:v>105.33823895730995</c:v>
                </c:pt>
                <c:pt idx="67">
                  <c:v>104.25410886765741</c:v>
                </c:pt>
                <c:pt idx="68">
                  <c:v>103.22533473907039</c:v>
                </c:pt>
                <c:pt idx="69">
                  <c:v>102.24922242611602</c:v>
                </c:pt>
                <c:pt idx="70">
                  <c:v>101.32296147635502</c:v>
                </c:pt>
                <c:pt idx="71">
                  <c:v>100.44366867301771</c:v>
                </c:pt>
                <c:pt idx="72">
                  <c:v>99.608423870813439</c:v>
                </c:pt>
                <c:pt idx="73">
                  <c:v>98.814298887852743</c:v>
                </c:pt>
                <c:pt idx="74">
                  <c:v>98.058380267102677</c:v>
                </c:pt>
                <c:pt idx="75">
                  <c:v>97.337786720689579</c:v>
                </c:pt>
                <c:pt idx="76">
                  <c:v>96.649682036610429</c:v>
                </c:pt>
                <c:pt idx="77">
                  <c:v>95.991284173377039</c:v>
                </c:pt>
                <c:pt idx="78">
                  <c:v>95.359871203896091</c:v>
                </c:pt>
                <c:pt idx="79">
                  <c:v>94.752784702818019</c:v>
                </c:pt>
                <c:pt idx="80">
                  <c:v>94.167431106814078</c:v>
                </c:pt>
                <c:pt idx="81">
                  <c:v>93.601281518192039</c:v>
                </c:pt>
                <c:pt idx="82">
                  <c:v>93.051870371128331</c:v>
                </c:pt>
                <c:pt idx="83">
                  <c:v>92.516793337881907</c:v>
                </c:pt>
                <c:pt idx="84">
                  <c:v>91.993704820387052</c:v>
                </c:pt>
                <c:pt idx="85">
                  <c:v>91.480315350942362</c:v>
                </c:pt>
                <c:pt idx="86">
                  <c:v>90.974389214455869</c:v>
                </c:pt>
                <c:pt idx="87">
                  <c:v>90.473742603869695</c:v>
                </c:pt>
                <c:pt idx="88">
                  <c:v>89.976242629902231</c:v>
                </c:pt>
                <c:pt idx="89">
                  <c:v>89.479807525957668</c:v>
                </c:pt>
                <c:pt idx="90">
                  <c:v>88.982408418668086</c:v>
                </c:pt>
                <c:pt idx="91">
                  <c:v>88.482073073541571</c:v>
                </c:pt>
                <c:pt idx="92">
                  <c:v>87.976892072687818</c:v>
                </c:pt>
                <c:pt idx="93">
                  <c:v>87.465027936048614</c:v>
                </c:pt>
                <c:pt idx="94">
                  <c:v>86.94472775657934</c:v>
                </c:pt>
                <c:pt idx="95">
                  <c:v>86.414339979679198</c:v>
                </c:pt>
                <c:pt idx="96">
                  <c:v>85.872336012431447</c:v>
                </c:pt>
                <c:pt idx="97">
                  <c:v>85.317337391176508</c:v>
                </c:pt>
                <c:pt idx="98">
                  <c:v>84.748149256105435</c:v>
                </c:pt>
                <c:pt idx="99">
                  <c:v>84.16380086507759</c:v>
                </c:pt>
                <c:pt idx="100">
                  <c:v>83.563593808268166</c:v>
                </c:pt>
                <c:pt idx="101">
                  <c:v>82.947158439382832</c:v>
                </c:pt>
                <c:pt idx="102">
                  <c:v>82.314518793897165</c:v>
                </c:pt>
                <c:pt idx="103">
                  <c:v>81.666165894501418</c:v>
                </c:pt>
                <c:pt idx="104">
                  <c:v>81.003138824559656</c:v>
                </c:pt>
                <c:pt idx="105">
                  <c:v>80.327112263875165</c:v>
                </c:pt>
                <c:pt idx="106">
                  <c:v>79.640488321820797</c:v>
                </c:pt>
                <c:pt idx="107">
                  <c:v>78.946489485768666</c:v>
                </c:pt>
                <c:pt idx="108">
                  <c:v>78.2492483717852</c:v>
                </c:pt>
                <c:pt idx="109">
                  <c:v>77.553888800738093</c:v>
                </c:pt>
                <c:pt idx="110">
                  <c:v>76.866591648351189</c:v>
                </c:pt>
                <c:pt idx="111">
                  <c:v>76.194638092673088</c:v>
                </c:pt>
                <c:pt idx="112">
                  <c:v>75.546422492210255</c:v>
                </c:pt>
                <c:pt idx="113">
                  <c:v>74.931427357341221</c:v>
                </c:pt>
                <c:pt idx="114">
                  <c:v>74.360153873698252</c:v>
                </c:pt>
                <c:pt idx="115">
                  <c:v>73.844003265474186</c:v>
                </c:pt>
                <c:pt idx="116">
                  <c:v>73.395106896135587</c:v>
                </c:pt>
                <c:pt idx="117">
                  <c:v>73.026106200310934</c:v>
                </c:pt>
                <c:pt idx="118">
                  <c:v>72.749886998488108</c:v>
                </c:pt>
                <c:pt idx="119">
                  <c:v>72.579276053879752</c:v>
                </c:pt>
                <c:pt idx="120">
                  <c:v>72.526710466748426</c:v>
                </c:pt>
                <c:pt idx="121">
                  <c:v>72.603892324371344</c:v>
                </c:pt>
                <c:pt idx="122">
                  <c:v>72.821441753005502</c:v>
                </c:pt>
                <c:pt idx="123">
                  <c:v>73.188561171443212</c:v>
                </c:pt>
                <c:pt idx="124">
                  <c:v>73.712722335029994</c:v>
                </c:pt>
                <c:pt idx="125">
                  <c:v>74.399386025510609</c:v>
                </c:pt>
                <c:pt idx="126">
                  <c:v>75.251762363158633</c:v>
                </c:pt>
                <c:pt idx="127">
                  <c:v>76.270618008539614</c:v>
                </c:pt>
                <c:pt idx="128">
                  <c:v>77.454135160426389</c:v>
                </c:pt>
                <c:pt idx="129">
                  <c:v>78.797826253992241</c:v>
                </c:pt>
                <c:pt idx="130">
                  <c:v>80.294507478584606</c:v>
                </c:pt>
                <c:pt idx="131">
                  <c:v>81.934333432064392</c:v>
                </c:pt>
                <c:pt idx="132">
                  <c:v>83.704894158530351</c:v>
                </c:pt>
                <c:pt idx="133">
                  <c:v>85.591374290222703</c:v>
                </c:pt>
                <c:pt idx="134">
                  <c:v>87.576771963316261</c:v>
                </c:pt>
                <c:pt idx="135">
                  <c:v>89.642172672879994</c:v>
                </c:pt>
                <c:pt idx="136">
                  <c:v>91.767070472356977</c:v>
                </c:pt>
                <c:pt idx="137">
                  <c:v>93.929726188641482</c:v>
                </c:pt>
                <c:pt idx="138">
                  <c:v>96.107549923652542</c:v>
                </c:pt>
                <c:pt idx="139">
                  <c:v>98.277493331575712</c:v>
                </c:pt>
                <c:pt idx="140">
                  <c:v>100.41643622015759</c:v>
                </c:pt>
                <c:pt idx="141">
                  <c:v>102.50155206461338</c:v>
                </c:pt>
                <c:pt idx="142">
                  <c:v>104.5106380915353</c:v>
                </c:pt>
                <c:pt idx="143">
                  <c:v>106.4223976382451</c:v>
                </c:pt>
                <c:pt idx="144">
                  <c:v>108.21666537244806</c:v>
                </c:pt>
                <c:pt idx="145">
                  <c:v>109.87456942712832</c:v>
                </c:pt>
                <c:pt idx="146">
                  <c:v>111.37862825310168</c:v>
                </c:pt>
                <c:pt idx="147">
                  <c:v>112.71278366755024</c:v>
                </c:pt>
                <c:pt idx="148">
                  <c:v>113.86237484654879</c:v>
                </c:pt>
                <c:pt idx="149">
                  <c:v>114.81406060358239</c:v>
                </c:pt>
                <c:pt idx="150">
                  <c:v>115.55569904935841</c:v>
                </c:pt>
                <c:pt idx="151">
                  <c:v>116.07619459676802</c:v>
                </c:pt>
                <c:pt idx="152">
                  <c:v>116.36532232890468</c:v>
                </c:pt>
                <c:pt idx="153">
                  <c:v>116.41353914584535</c:v>
                </c:pt>
                <c:pt idx="154">
                  <c:v>116.21179005895436</c:v>
                </c:pt>
                <c:pt idx="155">
                  <c:v>115.75131674153825</c:v>
                </c:pt>
                <c:pt idx="156">
                  <c:v>115.02347420002617</c:v>
                </c:pt>
                <c:pt idx="157">
                  <c:v>114.01956041604615</c:v>
                </c:pt>
                <c:pt idx="158">
                  <c:v>112.73066323451766</c:v>
                </c:pt>
                <c:pt idx="159">
                  <c:v>111.14752885387341</c:v>
                </c:pt>
                <c:pt idx="160">
                  <c:v>109.26045726508617</c:v>
                </c:pt>
                <c:pt idx="161">
                  <c:v>107.05923220305931</c:v>
                </c:pt>
                <c:pt idx="162">
                  <c:v>104.53309701479263</c:v>
                </c:pt>
                <c:pt idx="163">
                  <c:v>101.67079377918333</c:v>
                </c:pt>
                <c:pt idx="164">
                  <c:v>98.460691485276882</c:v>
                </c:pt>
                <c:pt idx="165">
                  <c:v>94.891040314200922</c:v>
                </c:pt>
                <c:pt idx="166">
                  <c:v>90.950402634430134</c:v>
                </c:pt>
                <c:pt idx="167">
                  <c:v>86.628325329304474</c:v>
                </c:pt>
                <c:pt idx="168">
                  <c:v>81.916328035486913</c:v>
                </c:pt>
                <c:pt idx="169">
                  <c:v>76.809279265201013</c:v>
                </c:pt>
                <c:pt idx="170">
                  <c:v>71.307203758005571</c:v>
                </c:pt>
                <c:pt idx="171">
                  <c:v>65.417492672875383</c:v>
                </c:pt>
                <c:pt idx="172">
                  <c:v>59.157359064787386</c:v>
                </c:pt>
                <c:pt idx="173">
                  <c:v>52.556197052312427</c:v>
                </c:pt>
                <c:pt idx="174">
                  <c:v>45.657303654321794</c:v>
                </c:pt>
                <c:pt idx="175">
                  <c:v>38.518297133589414</c:v>
                </c:pt>
                <c:pt idx="176">
                  <c:v>31.209636544037409</c:v>
                </c:pt>
                <c:pt idx="177">
                  <c:v>23.810999086466467</c:v>
                </c:pt>
                <c:pt idx="178">
                  <c:v>16.405857635276618</c:v>
                </c:pt>
                <c:pt idx="179">
                  <c:v>9.0752012283280123</c:v>
                </c:pt>
                <c:pt idx="180">
                  <c:v>1.8916609360477707</c:v>
                </c:pt>
                <c:pt idx="181">
                  <c:v>-5.0848340513253447</c:v>
                </c:pt>
                <c:pt idx="182">
                  <c:v>-11.809264569953854</c:v>
                </c:pt>
                <c:pt idx="183">
                  <c:v>-18.251619556058557</c:v>
                </c:pt>
                <c:pt idx="184">
                  <c:v>-24.395380402572101</c:v>
                </c:pt>
                <c:pt idx="185">
                  <c:v>-30.235074934477183</c:v>
                </c:pt>
                <c:pt idx="186">
                  <c:v>-35.773527020753534</c:v>
                </c:pt>
                <c:pt idx="187">
                  <c:v>-41.019243956083699</c:v>
                </c:pt>
                <c:pt idx="188">
                  <c:v>-45.98418235896375</c:v>
                </c:pt>
                <c:pt idx="189">
                  <c:v>-50.681975620077139</c:v>
                </c:pt>
                <c:pt idx="190">
                  <c:v>-55.126608238412672</c:v>
                </c:pt>
                <c:pt idx="191">
                  <c:v>-59.331475653119909</c:v>
                </c:pt>
                <c:pt idx="192">
                  <c:v>-63.30875533389424</c:v>
                </c:pt>
                <c:pt idx="193">
                  <c:v>-67.069020359113907</c:v>
                </c:pt>
                <c:pt idx="194">
                  <c:v>-70.621039584587379</c:v>
                </c:pt>
                <c:pt idx="195">
                  <c:v>-73.971722380463675</c:v>
                </c:pt>
                <c:pt idx="196">
                  <c:v>-77.126177627459342</c:v>
                </c:pt>
                <c:pt idx="197">
                  <c:v>-80.087865054869638</c:v>
                </c:pt>
                <c:pt idx="198">
                  <c:v>-82.858822022852394</c:v>
                </c:pt>
                <c:pt idx="199">
                  <c:v>-85.439951021938384</c:v>
                </c:pt>
                <c:pt idx="200">
                  <c:v>-87.831353269754047</c:v>
                </c:pt>
              </c:numCache>
            </c:numRef>
          </c:yVal>
          <c:smooth val="1"/>
          <c:extLst>
            <c:ext xmlns:c16="http://schemas.microsoft.com/office/drawing/2014/chart" uri="{C3380CC4-5D6E-409C-BE32-E72D297353CC}">
              <c16:uniqueId val="{00000000-9AF6-4748-8DEB-9653BD5B9CAE}"/>
            </c:ext>
          </c:extLst>
        </c:ser>
        <c:ser>
          <c:idx val="0"/>
          <c:order val="1"/>
          <c:tx>
            <c:v>Phase Margin - Simplis</c:v>
          </c:tx>
          <c:marker>
            <c:symbol val="none"/>
          </c:marker>
          <c:xVal>
            <c:numRef>
              <c:f>Compensator!$CN$63:$CN$237</c:f>
              <c:numCache>
                <c:formatCode>0.00E+00</c:formatCode>
                <c:ptCount val="175"/>
                <c:pt idx="0" formatCode="General">
                  <c:v>100</c:v>
                </c:pt>
                <c:pt idx="1">
                  <c:v>104.71285480508899</c:v>
                </c:pt>
                <c:pt idx="2">
                  <c:v>109.647819614318</c:v>
                </c:pt>
                <c:pt idx="3">
                  <c:v>114.815362149688</c:v>
                </c:pt>
                <c:pt idx="4">
                  <c:v>120.226443461741</c:v>
                </c:pt>
                <c:pt idx="5">
                  <c:v>125.892541179416</c:v>
                </c:pt>
                <c:pt idx="6">
                  <c:v>131.82567385563999</c:v>
                </c:pt>
                <c:pt idx="7">
                  <c:v>138.03842646028801</c:v>
                </c:pt>
                <c:pt idx="8">
                  <c:v>144.54397707459199</c:v>
                </c:pt>
                <c:pt idx="9">
                  <c:v>151.35612484361999</c:v>
                </c:pt>
                <c:pt idx="10">
                  <c:v>158.48931924611099</c:v>
                </c:pt>
                <c:pt idx="11">
                  <c:v>165.95869074375599</c:v>
                </c:pt>
                <c:pt idx="12">
                  <c:v>173.78008287493699</c:v>
                </c:pt>
                <c:pt idx="13">
                  <c:v>181.97008586099801</c:v>
                </c:pt>
                <c:pt idx="14">
                  <c:v>190.54607179632399</c:v>
                </c:pt>
                <c:pt idx="15">
                  <c:v>199.52623149688699</c:v>
                </c:pt>
                <c:pt idx="16">
                  <c:v>208.92961308540299</c:v>
                </c:pt>
                <c:pt idx="17">
                  <c:v>218.77616239495501</c:v>
                </c:pt>
                <c:pt idx="18">
                  <c:v>229.08676527677699</c:v>
                </c:pt>
                <c:pt idx="19">
                  <c:v>239.88329190194901</c:v>
                </c:pt>
                <c:pt idx="20">
                  <c:v>251.188643150958</c:v>
                </c:pt>
                <c:pt idx="21">
                  <c:v>263.026799189538</c:v>
                </c:pt>
                <c:pt idx="22">
                  <c:v>275.42287033381598</c:v>
                </c:pt>
                <c:pt idx="23">
                  <c:v>288.40315031265999</c:v>
                </c:pt>
                <c:pt idx="24">
                  <c:v>301.995172040201</c:v>
                </c:pt>
                <c:pt idx="25">
                  <c:v>316.22776601683699</c:v>
                </c:pt>
                <c:pt idx="26">
                  <c:v>331.13112148259103</c:v>
                </c:pt>
                <c:pt idx="27">
                  <c:v>346.73685045253097</c:v>
                </c:pt>
                <c:pt idx="28">
                  <c:v>363.07805477010101</c:v>
                </c:pt>
                <c:pt idx="29">
                  <c:v>380.189396320561</c:v>
                </c:pt>
                <c:pt idx="30">
                  <c:v>398.10717055349699</c:v>
                </c:pt>
                <c:pt idx="31">
                  <c:v>416.86938347033498</c:v>
                </c:pt>
                <c:pt idx="32">
                  <c:v>436.51583224016503</c:v>
                </c:pt>
                <c:pt idx="33">
                  <c:v>457.08818961487498</c:v>
                </c:pt>
                <c:pt idx="34">
                  <c:v>478.63009232263801</c:v>
                </c:pt>
                <c:pt idx="35">
                  <c:v>501.18723362727201</c:v>
                </c:pt>
                <c:pt idx="36">
                  <c:v>524.80746024977202</c:v>
                </c:pt>
                <c:pt idx="37">
                  <c:v>549.54087385762398</c:v>
                </c:pt>
                <c:pt idx="38">
                  <c:v>575.43993733715604</c:v>
                </c:pt>
                <c:pt idx="39">
                  <c:v>602.55958607435696</c:v>
                </c:pt>
                <c:pt idx="40">
                  <c:v>630.957344480193</c:v>
                </c:pt>
                <c:pt idx="41">
                  <c:v>660.69344800759495</c:v>
                </c:pt>
                <c:pt idx="42">
                  <c:v>691.83097091893603</c:v>
                </c:pt>
                <c:pt idx="43">
                  <c:v>724.43596007499002</c:v>
                </c:pt>
                <c:pt idx="44">
                  <c:v>758.57757502918298</c:v>
                </c:pt>
                <c:pt idx="45">
                  <c:v>794.32823472428095</c:v>
                </c:pt>
                <c:pt idx="46">
                  <c:v>831.76377110267094</c:v>
                </c:pt>
                <c:pt idx="47">
                  <c:v>870.96358995608</c:v>
                </c:pt>
                <c:pt idx="48">
                  <c:v>912.01083935590896</c:v>
                </c:pt>
                <c:pt idx="49">
                  <c:v>954.99258602143505</c:v>
                </c:pt>
                <c:pt idx="50">
                  <c:v>1000</c:v>
                </c:pt>
                <c:pt idx="51">
                  <c:v>1047.12854805089</c:v>
                </c:pt>
                <c:pt idx="52">
                  <c:v>1096.47819614318</c:v>
                </c:pt>
                <c:pt idx="53">
                  <c:v>1148.1536214968801</c:v>
                </c:pt>
                <c:pt idx="54">
                  <c:v>1202.26443461741</c:v>
                </c:pt>
                <c:pt idx="55">
                  <c:v>1258.92541179416</c:v>
                </c:pt>
                <c:pt idx="56">
                  <c:v>1318.2567385564</c:v>
                </c:pt>
                <c:pt idx="57">
                  <c:v>1380.38426460288</c:v>
                </c:pt>
                <c:pt idx="58">
                  <c:v>1445.43977074592</c:v>
                </c:pt>
                <c:pt idx="59">
                  <c:v>1513.5612484362</c:v>
                </c:pt>
                <c:pt idx="60">
                  <c:v>1584.8931924611099</c:v>
                </c:pt>
                <c:pt idx="61">
                  <c:v>1659.5869074375601</c:v>
                </c:pt>
                <c:pt idx="62">
                  <c:v>1737.8008287493701</c:v>
                </c:pt>
                <c:pt idx="63">
                  <c:v>1819.7008586099801</c:v>
                </c:pt>
                <c:pt idx="64">
                  <c:v>1905.4607179632401</c:v>
                </c:pt>
                <c:pt idx="65">
                  <c:v>1995.26231496887</c:v>
                </c:pt>
                <c:pt idx="66">
                  <c:v>2089.2961308540298</c:v>
                </c:pt>
                <c:pt idx="67">
                  <c:v>2187.7616239495501</c:v>
                </c:pt>
                <c:pt idx="68">
                  <c:v>2290.8676527677699</c:v>
                </c:pt>
                <c:pt idx="69">
                  <c:v>2398.83291901948</c:v>
                </c:pt>
                <c:pt idx="70">
                  <c:v>2511.8864315095698</c:v>
                </c:pt>
                <c:pt idx="71">
                  <c:v>2630.26799189538</c:v>
                </c:pt>
                <c:pt idx="72">
                  <c:v>2754.2287033381599</c:v>
                </c:pt>
                <c:pt idx="73">
                  <c:v>2884.0315031266</c:v>
                </c:pt>
                <c:pt idx="74">
                  <c:v>3019.9517204020099</c:v>
                </c:pt>
                <c:pt idx="75">
                  <c:v>3162.2776601683699</c:v>
                </c:pt>
                <c:pt idx="76">
                  <c:v>3311.3112148259102</c:v>
                </c:pt>
                <c:pt idx="77">
                  <c:v>3467.3685045253101</c:v>
                </c:pt>
                <c:pt idx="78">
                  <c:v>3630.7805477010102</c:v>
                </c:pt>
                <c:pt idx="79">
                  <c:v>3801.8939632056099</c:v>
                </c:pt>
                <c:pt idx="80">
                  <c:v>3981.0717055349701</c:v>
                </c:pt>
                <c:pt idx="81">
                  <c:v>4168.6938347033501</c:v>
                </c:pt>
                <c:pt idx="82">
                  <c:v>4365.1583224016504</c:v>
                </c:pt>
                <c:pt idx="83">
                  <c:v>4570.8818961487405</c:v>
                </c:pt>
                <c:pt idx="84">
                  <c:v>4786.3009232263803</c:v>
                </c:pt>
                <c:pt idx="85">
                  <c:v>5011.8723362727196</c:v>
                </c:pt>
                <c:pt idx="86">
                  <c:v>5248.0746024977198</c:v>
                </c:pt>
                <c:pt idx="87">
                  <c:v>5495.4087385762396</c:v>
                </c:pt>
                <c:pt idx="88">
                  <c:v>5754.3993733715597</c:v>
                </c:pt>
                <c:pt idx="89">
                  <c:v>6025.5958607435696</c:v>
                </c:pt>
                <c:pt idx="90">
                  <c:v>6309.5734448019302</c:v>
                </c:pt>
                <c:pt idx="91">
                  <c:v>6606.93448007596</c:v>
                </c:pt>
                <c:pt idx="92">
                  <c:v>6918.3097091893596</c:v>
                </c:pt>
                <c:pt idx="93">
                  <c:v>7244.3596007499</c:v>
                </c:pt>
                <c:pt idx="94">
                  <c:v>7585.7757502918303</c:v>
                </c:pt>
                <c:pt idx="95">
                  <c:v>7943.2823472428099</c:v>
                </c:pt>
                <c:pt idx="96">
                  <c:v>8317.6377110267003</c:v>
                </c:pt>
                <c:pt idx="97">
                  <c:v>8709.6358995608007</c:v>
                </c:pt>
                <c:pt idx="98">
                  <c:v>9120.1083935590905</c:v>
                </c:pt>
                <c:pt idx="99">
                  <c:v>9549.9258602143509</c:v>
                </c:pt>
                <c:pt idx="100">
                  <c:v>10000</c:v>
                </c:pt>
                <c:pt idx="101">
                  <c:v>10471.285480508899</c:v>
                </c:pt>
                <c:pt idx="102">
                  <c:v>10964.7819614318</c:v>
                </c:pt>
                <c:pt idx="103">
                  <c:v>11481.536214968801</c:v>
                </c:pt>
                <c:pt idx="104">
                  <c:v>12022.6443461741</c:v>
                </c:pt>
                <c:pt idx="105">
                  <c:v>12589.2541179416</c:v>
                </c:pt>
                <c:pt idx="106">
                  <c:v>13182.567385564</c:v>
                </c:pt>
                <c:pt idx="107">
                  <c:v>13803.842646028799</c:v>
                </c:pt>
                <c:pt idx="108">
                  <c:v>14454.3977074592</c:v>
                </c:pt>
                <c:pt idx="109">
                  <c:v>15135.612484362</c:v>
                </c:pt>
                <c:pt idx="110">
                  <c:v>15848.931924611101</c:v>
                </c:pt>
                <c:pt idx="111">
                  <c:v>16595.869074375601</c:v>
                </c:pt>
                <c:pt idx="112">
                  <c:v>17378.0082874937</c:v>
                </c:pt>
                <c:pt idx="113">
                  <c:v>18197.008586099801</c:v>
                </c:pt>
                <c:pt idx="114">
                  <c:v>19054.607179632399</c:v>
                </c:pt>
                <c:pt idx="115">
                  <c:v>19952.623149688701</c:v>
                </c:pt>
                <c:pt idx="116">
                  <c:v>20892.9613085403</c:v>
                </c:pt>
                <c:pt idx="117">
                  <c:v>21877.616239495499</c:v>
                </c:pt>
                <c:pt idx="118">
                  <c:v>22908.676527677701</c:v>
                </c:pt>
                <c:pt idx="119">
                  <c:v>23988.3291901948</c:v>
                </c:pt>
                <c:pt idx="120">
                  <c:v>25118.8643150957</c:v>
                </c:pt>
                <c:pt idx="121">
                  <c:v>26302.6799189538</c:v>
                </c:pt>
                <c:pt idx="122">
                  <c:v>27542.287033381599</c:v>
                </c:pt>
                <c:pt idx="123">
                  <c:v>28840.315031266</c:v>
                </c:pt>
                <c:pt idx="124">
                  <c:v>30199.5172040201</c:v>
                </c:pt>
                <c:pt idx="125">
                  <c:v>31622.776601683701</c:v>
                </c:pt>
                <c:pt idx="126">
                  <c:v>33113.112148259097</c:v>
                </c:pt>
                <c:pt idx="127">
                  <c:v>34673.6850452531</c:v>
                </c:pt>
                <c:pt idx="128">
                  <c:v>36307.805477010101</c:v>
                </c:pt>
                <c:pt idx="129">
                  <c:v>38018.939632056099</c:v>
                </c:pt>
                <c:pt idx="130">
                  <c:v>39810.717055349698</c:v>
                </c:pt>
                <c:pt idx="131">
                  <c:v>41686.938347033501</c:v>
                </c:pt>
                <c:pt idx="132">
                  <c:v>43651.583224016598</c:v>
                </c:pt>
                <c:pt idx="133">
                  <c:v>45708.818961487501</c:v>
                </c:pt>
                <c:pt idx="134">
                  <c:v>47863.009232263801</c:v>
                </c:pt>
                <c:pt idx="135">
                  <c:v>50118.7233627272</c:v>
                </c:pt>
                <c:pt idx="136">
                  <c:v>52480.746024977198</c:v>
                </c:pt>
                <c:pt idx="137">
                  <c:v>54954.087385762403</c:v>
                </c:pt>
                <c:pt idx="138">
                  <c:v>57543.993733715601</c:v>
                </c:pt>
                <c:pt idx="139">
                  <c:v>60255.958607435699</c:v>
                </c:pt>
                <c:pt idx="140">
                  <c:v>63095.734448019197</c:v>
                </c:pt>
                <c:pt idx="141">
                  <c:v>66069.3448007595</c:v>
                </c:pt>
                <c:pt idx="142">
                  <c:v>69183.097091893593</c:v>
                </c:pt>
                <c:pt idx="143">
                  <c:v>72443.596007498898</c:v>
                </c:pt>
                <c:pt idx="144">
                  <c:v>75857.757502918306</c:v>
                </c:pt>
                <c:pt idx="145">
                  <c:v>79432.823472428106</c:v>
                </c:pt>
                <c:pt idx="146">
                  <c:v>83176.377110267</c:v>
                </c:pt>
                <c:pt idx="147">
                  <c:v>87096.358995607996</c:v>
                </c:pt>
                <c:pt idx="148">
                  <c:v>91201.083935590897</c:v>
                </c:pt>
                <c:pt idx="149">
                  <c:v>95499.2586021436</c:v>
                </c:pt>
                <c:pt idx="150">
                  <c:v>100000</c:v>
                </c:pt>
                <c:pt idx="151">
                  <c:v>104712.85480508899</c:v>
                </c:pt>
                <c:pt idx="152">
                  <c:v>109647.819614318</c:v>
                </c:pt>
                <c:pt idx="153">
                  <c:v>114815.36214968799</c:v>
                </c:pt>
                <c:pt idx="154">
                  <c:v>120226.443461741</c:v>
                </c:pt>
                <c:pt idx="155">
                  <c:v>125892.541179416</c:v>
                </c:pt>
                <c:pt idx="156">
                  <c:v>131825.67385563999</c:v>
                </c:pt>
                <c:pt idx="157">
                  <c:v>138038.426460288</c:v>
                </c:pt>
                <c:pt idx="158">
                  <c:v>144543.977074592</c:v>
                </c:pt>
                <c:pt idx="159">
                  <c:v>151356.12484362</c:v>
                </c:pt>
                <c:pt idx="160">
                  <c:v>158489.319246111</c:v>
                </c:pt>
                <c:pt idx="161">
                  <c:v>165958.69074375599</c:v>
                </c:pt>
                <c:pt idx="162">
                  <c:v>173780.08287493701</c:v>
                </c:pt>
                <c:pt idx="163">
                  <c:v>181970.08586099799</c:v>
                </c:pt>
                <c:pt idx="164">
                  <c:v>190546.07179632399</c:v>
                </c:pt>
                <c:pt idx="165">
                  <c:v>199526.23149688699</c:v>
                </c:pt>
                <c:pt idx="166">
                  <c:v>208929.61308540299</c:v>
                </c:pt>
                <c:pt idx="167">
                  <c:v>218776.162394955</c:v>
                </c:pt>
                <c:pt idx="168">
                  <c:v>229086.76527677701</c:v>
                </c:pt>
                <c:pt idx="169">
                  <c:v>239883.29190194901</c:v>
                </c:pt>
                <c:pt idx="170">
                  <c:v>251188.64315095701</c:v>
                </c:pt>
                <c:pt idx="171">
                  <c:v>263026.799189538</c:v>
                </c:pt>
                <c:pt idx="172">
                  <c:v>275422.87033381598</c:v>
                </c:pt>
                <c:pt idx="173">
                  <c:v>288403.15031265997</c:v>
                </c:pt>
                <c:pt idx="174">
                  <c:v>300000</c:v>
                </c:pt>
              </c:numCache>
            </c:numRef>
          </c:xVal>
          <c:yVal>
            <c:numRef>
              <c:f>Compensator!$CP$63:$CP$237</c:f>
              <c:numCache>
                <c:formatCode>0.00E+00</c:formatCode>
                <c:ptCount val="175"/>
                <c:pt idx="0" formatCode="General">
                  <c:v>102.21392746803799</c:v>
                </c:pt>
                <c:pt idx="1">
                  <c:v>101.61616208818999</c:v>
                </c:pt>
                <c:pt idx="2">
                  <c:v>101.03989440376201</c:v>
                </c:pt>
                <c:pt idx="3">
                  <c:v>100.484288872089</c:v>
                </c:pt>
                <c:pt idx="4">
                  <c:v>99.948508016894493</c:v>
                </c:pt>
                <c:pt idx="5">
                  <c:v>99.431715687639795</c:v>
                </c:pt>
                <c:pt idx="6">
                  <c:v>98.933080277883207</c:v>
                </c:pt>
                <c:pt idx="7">
                  <c:v>98.451776797888797</c:v>
                </c:pt>
                <c:pt idx="8">
                  <c:v>97.986989081778603</c:v>
                </c:pt>
                <c:pt idx="9">
                  <c:v>97.537911183620906</c:v>
                </c:pt>
                <c:pt idx="10">
                  <c:v>97.103749089193698</c:v>
                </c:pt>
                <c:pt idx="11">
                  <c:v>96.683720973238394</c:v>
                </c:pt>
                <c:pt idx="12">
                  <c:v>96.277058643716799</c:v>
                </c:pt>
                <c:pt idx="13">
                  <c:v>95.883007620104706</c:v>
                </c:pt>
                <c:pt idx="14">
                  <c:v>95.500827371890296</c:v>
                </c:pt>
                <c:pt idx="15">
                  <c:v>95.129791668581305</c:v>
                </c:pt>
                <c:pt idx="16">
                  <c:v>94.769188319151098</c:v>
                </c:pt>
                <c:pt idx="17">
                  <c:v>94.418319036397193</c:v>
                </c:pt>
                <c:pt idx="18">
                  <c:v>94.0764993414316</c:v>
                </c:pt>
                <c:pt idx="19">
                  <c:v>93.7430577545326</c:v>
                </c:pt>
                <c:pt idx="20">
                  <c:v>93.417335759586805</c:v>
                </c:pt>
                <c:pt idx="21">
                  <c:v>93.098687241414595</c:v>
                </c:pt>
                <c:pt idx="22">
                  <c:v>92.786477732734099</c:v>
                </c:pt>
                <c:pt idx="23">
                  <c:v>92.4800839924103</c:v>
                </c:pt>
                <c:pt idx="24">
                  <c:v>92.178893314293902</c:v>
                </c:pt>
                <c:pt idx="25">
                  <c:v>91.882303024232499</c:v>
                </c:pt>
                <c:pt idx="26">
                  <c:v>91.589719719866196</c:v>
                </c:pt>
                <c:pt idx="27">
                  <c:v>91.300558788183494</c:v>
                </c:pt>
                <c:pt idx="28">
                  <c:v>91.014243869260596</c:v>
                </c:pt>
                <c:pt idx="29">
                  <c:v>90.730206175770704</c:v>
                </c:pt>
                <c:pt idx="30">
                  <c:v>90.447884076988998</c:v>
                </c:pt>
                <c:pt idx="31">
                  <c:v>90.166722717093606</c:v>
                </c:pt>
                <c:pt idx="32">
                  <c:v>89.886173488538304</c:v>
                </c:pt>
                <c:pt idx="33">
                  <c:v>89.605693874903906</c:v>
                </c:pt>
                <c:pt idx="34">
                  <c:v>89.324747208356797</c:v>
                </c:pt>
                <c:pt idx="35">
                  <c:v>89.042802550909698</c:v>
                </c:pt>
                <c:pt idx="36">
                  <c:v>88.759334739148599</c:v>
                </c:pt>
                <c:pt idx="37">
                  <c:v>88.473824570651402</c:v>
                </c:pt>
                <c:pt idx="38">
                  <c:v>88.185759131149197</c:v>
                </c:pt>
                <c:pt idx="39">
                  <c:v>87.894632310352804</c:v>
                </c:pt>
                <c:pt idx="40">
                  <c:v>87.599945570849002</c:v>
                </c:pt>
                <c:pt idx="41">
                  <c:v>87.301208842791297</c:v>
                </c:pt>
                <c:pt idx="42">
                  <c:v>86.997941779546395</c:v>
                </c:pt>
                <c:pt idx="43">
                  <c:v>86.689675328471594</c:v>
                </c:pt>
                <c:pt idx="44">
                  <c:v>86.375953486811497</c:v>
                </c:pt>
                <c:pt idx="45">
                  <c:v>86.056335592059497</c:v>
                </c:pt>
                <c:pt idx="46">
                  <c:v>85.730398841502804</c:v>
                </c:pt>
                <c:pt idx="47">
                  <c:v>85.397741428678799</c:v>
                </c:pt>
                <c:pt idx="48">
                  <c:v>85.057986013657796</c:v>
                </c:pt>
                <c:pt idx="49">
                  <c:v>84.710783792704206</c:v>
                </c:pt>
                <c:pt idx="50">
                  <c:v>84.355819097478502</c:v>
                </c:pt>
                <c:pt idx="51">
                  <c:v>83.992814583167998</c:v>
                </c:pt>
                <c:pt idx="52">
                  <c:v>83.621537135320196</c:v>
                </c:pt>
                <c:pt idx="53">
                  <c:v>83.241804226521893</c:v>
                </c:pt>
                <c:pt idx="54">
                  <c:v>82.853491260890493</c:v>
                </c:pt>
                <c:pt idx="55">
                  <c:v>82.456539316768698</c:v>
                </c:pt>
                <c:pt idx="56">
                  <c:v>82.050963811717693</c:v>
                </c:pt>
                <c:pt idx="57">
                  <c:v>81.636863648475099</c:v>
                </c:pt>
                <c:pt idx="58">
                  <c:v>81.214431101534501</c:v>
                </c:pt>
                <c:pt idx="59">
                  <c:v>80.783962199542501</c:v>
                </c:pt>
                <c:pt idx="60">
                  <c:v>80.345867602943002</c:v>
                </c:pt>
                <c:pt idx="61">
                  <c:v>79.900683718970498</c:v>
                </c:pt>
                <c:pt idx="62">
                  <c:v>79.449084021998104</c:v>
                </c:pt>
                <c:pt idx="63">
                  <c:v>78.991890256784004</c:v>
                </c:pt>
                <c:pt idx="64">
                  <c:v>78.530083273799704</c:v>
                </c:pt>
                <c:pt idx="65">
                  <c:v>78.064813252013906</c:v>
                </c:pt>
                <c:pt idx="66">
                  <c:v>77.597408847403997</c:v>
                </c:pt>
                <c:pt idx="67">
                  <c:v>77.129384984969903</c:v>
                </c:pt>
                <c:pt idx="68">
                  <c:v>76.662448767385897</c:v>
                </c:pt>
                <c:pt idx="69">
                  <c:v>76.198503147706504</c:v>
                </c:pt>
                <c:pt idx="70">
                  <c:v>75.739647820816202</c:v>
                </c:pt>
                <c:pt idx="71">
                  <c:v>75.288176975212494</c:v>
                </c:pt>
                <c:pt idx="72">
                  <c:v>74.846573416475096</c:v>
                </c:pt>
                <c:pt idx="73">
                  <c:v>74.417498767252994</c:v>
                </c:pt>
                <c:pt idx="74">
                  <c:v>74.003779454352099</c:v>
                </c:pt>
                <c:pt idx="75">
                  <c:v>73.608388280503107</c:v>
                </c:pt>
                <c:pt idx="76">
                  <c:v>73.234421568535893</c:v>
                </c:pt>
                <c:pt idx="77">
                  <c:v>72.885071956298702</c:v>
                </c:pt>
                <c:pt idx="78">
                  <c:v>72.563597112047205</c:v>
                </c:pt>
                <c:pt idx="79">
                  <c:v>72.273284732058002</c:v>
                </c:pt>
                <c:pt idx="80">
                  <c:v>72.017414454024404</c:v>
                </c:pt>
                <c:pt idx="81">
                  <c:v>71.799217342638798</c:v>
                </c:pt>
                <c:pt idx="82">
                  <c:v>71.621833784632699</c:v>
                </c:pt>
                <c:pt idx="83">
                  <c:v>71.488270743902703</c:v>
                </c:pt>
                <c:pt idx="84">
                  <c:v>71.401359345444106</c:v>
                </c:pt>
                <c:pt idx="85">
                  <c:v>71.363713788143897</c:v>
                </c:pt>
                <c:pt idx="86">
                  <c:v>71.377692631167903</c:v>
                </c:pt>
                <c:pt idx="87">
                  <c:v>71.445363354212404</c:v>
                </c:pt>
                <c:pt idx="88">
                  <c:v>71.568471087450007</c:v>
                </c:pt>
                <c:pt idx="89">
                  <c:v>71.748412257323906</c:v>
                </c:pt>
                <c:pt idx="90">
                  <c:v>71.986213758959593</c:v>
                </c:pt>
                <c:pt idx="91">
                  <c:v>72.282518105867098</c:v>
                </c:pt>
                <c:pt idx="92">
                  <c:v>72.637574844327105</c:v>
                </c:pt>
                <c:pt idx="93">
                  <c:v>73.051238332867797</c:v>
                </c:pt>
                <c:pt idx="94">
                  <c:v>73.522971784454796</c:v>
                </c:pt>
                <c:pt idx="95">
                  <c:v>74.051857327468198</c:v>
                </c:pt>
                <c:pt idx="96">
                  <c:v>74.636611617528303</c:v>
                </c:pt>
                <c:pt idx="97">
                  <c:v>75.275606405861495</c:v>
                </c:pt>
                <c:pt idx="98">
                  <c:v>75.966893298883207</c:v>
                </c:pt>
                <c:pt idx="99">
                  <c:v>76.708231831627799</c:v>
                </c:pt>
                <c:pt idx="100">
                  <c:v>77.497119897291199</c:v>
                </c:pt>
                <c:pt idx="101">
                  <c:v>78.330825479423694</c:v>
                </c:pt>
                <c:pt idx="102">
                  <c:v>79.206418667866501</c:v>
                </c:pt>
                <c:pt idx="103">
                  <c:v>80.120802911820704</c:v>
                </c:pt>
                <c:pt idx="104">
                  <c:v>81.070744547097405</c:v>
                </c:pt>
                <c:pt idx="105">
                  <c:v>82.052899763298797</c:v>
                </c:pt>
                <c:pt idx="106">
                  <c:v>83.063838253886004</c:v>
                </c:pt>
                <c:pt idx="107">
                  <c:v>84.100063022571902</c:v>
                </c:pt>
                <c:pt idx="108">
                  <c:v>85.158025966836703</c:v>
                </c:pt>
                <c:pt idx="109">
                  <c:v>86.234139082186203</c:v>
                </c:pt>
                <c:pt idx="110">
                  <c:v>87.3247813122655</c:v>
                </c:pt>
                <c:pt idx="111">
                  <c:v>88.426301283847906</c:v>
                </c:pt>
                <c:pt idx="112">
                  <c:v>89.535016334148196</c:v>
                </c:pt>
                <c:pt idx="113">
                  <c:v>90.647208384488806</c:v>
                </c:pt>
                <c:pt idx="114">
                  <c:v>91.759117363613896</c:v>
                </c:pt>
                <c:pt idx="115">
                  <c:v>92.866932939387198</c:v>
                </c:pt>
                <c:pt idx="116">
                  <c:v>93.9667853973299</c:v>
                </c:pt>
                <c:pt idx="117">
                  <c:v>95.054736502350295</c:v>
                </c:pt>
                <c:pt idx="118">
                  <c:v>96.126771157819107</c:v>
                </c:pt>
                <c:pt idx="119">
                  <c:v>97.1787906031891</c:v>
                </c:pt>
                <c:pt idx="120">
                  <c:v>98.2066078061995</c:v>
                </c:pt>
                <c:pt idx="121">
                  <c:v>99.205945557449496</c:v>
                </c:pt>
                <c:pt idx="122">
                  <c:v>100.172437636371</c:v>
                </c:pt>
                <c:pt idx="123">
                  <c:v>101.10163323333499</c:v>
                </c:pt>
                <c:pt idx="124">
                  <c:v>101.989004650285</c:v>
                </c:pt>
                <c:pt idx="125">
                  <c:v>102.829958102958</c:v>
                </c:pt>
                <c:pt idx="126">
                  <c:v>103.61984730887499</c:v>
                </c:pt>
                <c:pt idx="127">
                  <c:v>104.35398937412</c:v>
                </c:pt>
                <c:pt idx="128">
                  <c:v>105.027682391372</c:v>
                </c:pt>
                <c:pt idx="129">
                  <c:v>105.63622407701099</c:v>
                </c:pt>
                <c:pt idx="130">
                  <c:v>106.17493072168899</c:v>
                </c:pt>
                <c:pt idx="131">
                  <c:v>106.63915573489101</c:v>
                </c:pt>
                <c:pt idx="132">
                  <c:v>107.02430708541399</c:v>
                </c:pt>
                <c:pt idx="133">
                  <c:v>107.325863013259</c:v>
                </c:pt>
                <c:pt idx="134">
                  <c:v>107.539385463927</c:v>
                </c:pt>
                <c:pt idx="135">
                  <c:v>107.660530812212</c:v>
                </c:pt>
                <c:pt idx="136">
                  <c:v>107.68505754632599</c:v>
                </c:pt>
                <c:pt idx="137">
                  <c:v>107.60883069370701</c:v>
                </c:pt>
                <c:pt idx="138">
                  <c:v>107.427822866011</c:v>
                </c:pt>
                <c:pt idx="139">
                  <c:v>107.138111875571</c:v>
                </c:pt>
                <c:pt idx="140">
                  <c:v>106.735874925879</c:v>
                </c:pt>
                <c:pt idx="141">
                  <c:v>106.217379399317</c:v>
                </c:pt>
                <c:pt idx="142">
                  <c:v>105.57897024597401</c:v>
                </c:pt>
                <c:pt idx="143">
                  <c:v>104.81705393169599</c:v>
                </c:pt>
                <c:pt idx="144">
                  <c:v>103.928078809911</c:v>
                </c:pt>
                <c:pt idx="145">
                  <c:v>102.908511659825</c:v>
                </c:pt>
                <c:pt idx="146">
                  <c:v>101.754809971184</c:v>
                </c:pt>
                <c:pt idx="147">
                  <c:v>100.463389356056</c:v>
                </c:pt>
                <c:pt idx="148">
                  <c:v>99.026027093825704</c:v>
                </c:pt>
                <c:pt idx="149">
                  <c:v>97.448118851125201</c:v>
                </c:pt>
                <c:pt idx="150">
                  <c:v>95.721052795552396</c:v>
                </c:pt>
                <c:pt idx="151">
                  <c:v>93.840616331009301</c:v>
                </c:pt>
                <c:pt idx="152">
                  <c:v>91.802279041047299</c:v>
                </c:pt>
                <c:pt idx="153">
                  <c:v>89.601102432731693</c:v>
                </c:pt>
                <c:pt idx="154">
                  <c:v>87.231632181335101</c:v>
                </c:pt>
                <c:pt idx="155">
                  <c:v>84.687769711537698</c:v>
                </c:pt>
                <c:pt idx="156">
                  <c:v>81.962619774459995</c:v>
                </c:pt>
                <c:pt idx="157">
                  <c:v>79.048375852097706</c:v>
                </c:pt>
                <c:pt idx="158">
                  <c:v>75.935833381428594</c:v>
                </c:pt>
                <c:pt idx="159">
                  <c:v>72.614594555146795</c:v>
                </c:pt>
                <c:pt idx="160">
                  <c:v>69.072478364460494</c:v>
                </c:pt>
                <c:pt idx="161">
                  <c:v>65.295312769560098</c:v>
                </c:pt>
                <c:pt idx="162">
                  <c:v>61.266633831179</c:v>
                </c:pt>
                <c:pt idx="163">
                  <c:v>56.967835030550503</c:v>
                </c:pt>
                <c:pt idx="164">
                  <c:v>52.376306904232003</c:v>
                </c:pt>
                <c:pt idx="165">
                  <c:v>47.467841033912102</c:v>
                </c:pt>
                <c:pt idx="166">
                  <c:v>42.215315567792402</c:v>
                </c:pt>
                <c:pt idx="167">
                  <c:v>36.5898854716161</c:v>
                </c:pt>
                <c:pt idx="168">
                  <c:v>30.5616025114271</c:v>
                </c:pt>
                <c:pt idx="169">
                  <c:v>24.105997369582699</c:v>
                </c:pt>
                <c:pt idx="170">
                  <c:v>17.202576591905199</c:v>
                </c:pt>
                <c:pt idx="171">
                  <c:v>9.8442023759375203</c:v>
                </c:pt>
                <c:pt idx="172">
                  <c:v>2.0432924866119899</c:v>
                </c:pt>
                <c:pt idx="173">
                  <c:v>-6.1637256330810599</c:v>
                </c:pt>
                <c:pt idx="174">
                  <c:v>-13.462723866849601</c:v>
                </c:pt>
              </c:numCache>
            </c:numRef>
          </c:yVal>
          <c:smooth val="1"/>
          <c:extLst>
            <c:ext xmlns:c16="http://schemas.microsoft.com/office/drawing/2014/chart" uri="{C3380CC4-5D6E-409C-BE32-E72D297353CC}">
              <c16:uniqueId val="{00000001-9AF6-4748-8DEB-9653BD5B9CA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202102272"/>
        <c:axId val="202104192"/>
      </c:scatterChart>
      <c:valAx>
        <c:axId val="202102272"/>
        <c:scaling>
          <c:logBase val="10"/>
          <c:orientation val="minMax"/>
          <c:min val="100"/>
        </c:scaling>
        <c:delete val="0"/>
        <c:axPos val="b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minorGridlines>
          <c:spPr>
            <a:ln w="3175">
              <a:solidFill>
                <a:srgbClr val="000000"/>
              </a:solidFill>
              <a:prstDash val="solid"/>
            </a:ln>
          </c:spPr>
        </c:minorGridlines>
        <c:title>
          <c:tx>
            <c:rich>
              <a:bodyPr/>
              <a:lstStyle/>
              <a:p>
                <a:pPr>
                  <a:defRPr/>
                </a:pPr>
                <a:r>
                  <a:rPr lang="en-US"/>
                  <a:t>Frequency (Hz)</a:t>
                </a:r>
              </a:p>
            </c:rich>
          </c:tx>
          <c:overlay val="0"/>
        </c:title>
        <c:numFmt formatCode="0.0E+00" sourceLinked="0"/>
        <c:majorTickMark val="out"/>
        <c:minorTickMark val="out"/>
        <c:tickLblPos val="low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8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zh-CN"/>
          </a:p>
        </c:txPr>
        <c:crossAx val="202104192"/>
        <c:crosses val="autoZero"/>
        <c:crossBetween val="midCat"/>
      </c:valAx>
      <c:valAx>
        <c:axId val="202104192"/>
        <c:scaling>
          <c:orientation val="minMax"/>
          <c:max val="150"/>
          <c:min val="-150"/>
        </c:scaling>
        <c:delete val="0"/>
        <c:axPos val="l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title>
          <c:tx>
            <c:rich>
              <a:bodyPr rot="0" vert="wordArtVert"/>
              <a:lstStyle/>
              <a:p>
                <a:pPr>
                  <a:defRPr/>
                </a:pPr>
                <a:r>
                  <a:rPr lang="en-US"/>
                  <a:t>Phase (</a:t>
                </a:r>
                <a:r>
                  <a:rPr lang="en-US">
                    <a:sym typeface="Symbol"/>
                  </a:rPr>
                  <a:t></a:t>
                </a:r>
                <a:r>
                  <a:rPr lang="en-US"/>
                  <a:t>)</a:t>
                </a:r>
              </a:p>
            </c:rich>
          </c:tx>
          <c:overlay val="0"/>
        </c:title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8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zh-CN"/>
          </a:p>
        </c:txPr>
        <c:crossAx val="202102272"/>
        <c:crosses val="autoZero"/>
        <c:crossBetween val="midCat"/>
      </c:valAx>
      <c:spPr>
        <a:noFill/>
        <a:ln w="12700">
          <a:solidFill>
            <a:srgbClr val="808080"/>
          </a:solidFill>
          <a:prstDash val="solid"/>
        </a:ln>
      </c:spPr>
    </c:plotArea>
    <c:legend>
      <c:legendPos val="r"/>
      <c:layout>
        <c:manualLayout>
          <c:xMode val="edge"/>
          <c:yMode val="edge"/>
          <c:x val="0.57739411013990227"/>
          <c:y val="6.9711525239299535E-2"/>
          <c:w val="0.35893472031592383"/>
          <c:h val="9.6991611811621511E-2"/>
        </c:manualLayout>
      </c:layout>
      <c:overlay val="0"/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>
            <a:defRPr sz="1000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zh-CN"/>
        </a:p>
      </c:txPr>
    </c:legend>
    <c:plotVisOnly val="1"/>
    <c:dispBlanksAs val="gap"/>
    <c:showDLblsOverMax val="0"/>
  </c:chart>
  <c:spPr>
    <a:solidFill>
      <a:srgbClr val="FFFFFF"/>
    </a:solidFill>
    <a:ln w="3175">
      <a:solidFill>
        <a:srgbClr val="000000"/>
      </a:solidFill>
      <a:prstDash val="solid"/>
    </a:ln>
  </c:spPr>
  <c:txPr>
    <a:bodyPr/>
    <a:lstStyle/>
    <a:p>
      <a:pPr>
        <a:defRPr sz="85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zh-CN"/>
    </a:p>
  </c:txPr>
  <c:printSettings>
    <c:headerFooter alignWithMargins="0"/>
    <c:pageMargins b="1" l="0.75" r="0.75" t="1" header="0.5" footer="0.5"/>
    <c:pageSetup/>
  </c:printSettings>
  <c:userShapes r:id="rId1"/>
</c:chartSpace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1.png"/><Relationship Id="rId1" Type="http://schemas.openxmlformats.org/officeDocument/2006/relationships/chart" Target="../charts/chart1.xml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chart" Target="../charts/chart2.xml"/></Relationships>
</file>

<file path=xl/drawings/_rels/drawing3.xml.rels><?xml version="1.0" encoding="UTF-8" standalone="yes"?>
<Relationships xmlns="http://schemas.openxmlformats.org/package/2006/relationships"><Relationship Id="rId3" Type="http://schemas.openxmlformats.org/officeDocument/2006/relationships/chart" Target="../charts/chart4.xml"/><Relationship Id="rId7" Type="http://schemas.openxmlformats.org/officeDocument/2006/relationships/image" Target="../media/image5.png"/><Relationship Id="rId2" Type="http://schemas.openxmlformats.org/officeDocument/2006/relationships/chart" Target="../charts/chart3.xml"/><Relationship Id="rId1" Type="http://schemas.openxmlformats.org/officeDocument/2006/relationships/image" Target="../media/image3.emf"/><Relationship Id="rId6" Type="http://schemas.openxmlformats.org/officeDocument/2006/relationships/chart" Target="../charts/chart6.xml"/><Relationship Id="rId5" Type="http://schemas.openxmlformats.org/officeDocument/2006/relationships/chart" Target="../charts/chart5.xml"/><Relationship Id="rId4" Type="http://schemas.openxmlformats.org/officeDocument/2006/relationships/image" Target="../media/image4.png"/></Relationships>
</file>

<file path=xl/drawings/_rels/vmlDrawing1.vml.rels><?xml version="1.0" encoding="UTF-8" standalone="yes"?>
<Relationships xmlns="http://schemas.openxmlformats.org/package/2006/relationships"><Relationship Id="rId1" Type="http://schemas.openxmlformats.org/officeDocument/2006/relationships/image" Target="../media/image2.emf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23928</xdr:colOff>
      <xdr:row>30</xdr:row>
      <xdr:rowOff>31243</xdr:rowOff>
    </xdr:from>
    <xdr:to>
      <xdr:col>8</xdr:col>
      <xdr:colOff>22549</xdr:colOff>
      <xdr:row>56</xdr:row>
      <xdr:rowOff>113380</xdr:rowOff>
    </xdr:to>
    <xdr:graphicFrame macro="">
      <xdr:nvGraphicFramePr>
        <xdr:cNvPr id="2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7</xdr:col>
      <xdr:colOff>226286</xdr:colOff>
      <xdr:row>2</xdr:row>
      <xdr:rowOff>107950</xdr:rowOff>
    </xdr:from>
    <xdr:to>
      <xdr:col>16</xdr:col>
      <xdr:colOff>227832</xdr:colOff>
      <xdr:row>21</xdr:row>
      <xdr:rowOff>114300</xdr:rowOff>
    </xdr:to>
    <xdr:pic>
      <xdr:nvPicPr>
        <xdr:cNvPr id="5" name="图片 4"/>
        <xdr:cNvPicPr>
          <a:picLocks noChangeAspect="1"/>
        </xdr:cNvPicPr>
      </xdr:nvPicPr>
      <xdr:blipFill rotWithShape="1"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 r="42930" b="43558"/>
        <a:stretch/>
      </xdr:blipFill>
      <xdr:spPr>
        <a:xfrm>
          <a:off x="6817586" y="457200"/>
          <a:ext cx="6853196" cy="3206750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38099</xdr:colOff>
      <xdr:row>9</xdr:row>
      <xdr:rowOff>28574</xdr:rowOff>
    </xdr:from>
    <xdr:to>
      <xdr:col>7</xdr:col>
      <xdr:colOff>1076325</xdr:colOff>
      <xdr:row>38</xdr:row>
      <xdr:rowOff>114299</xdr:rowOff>
    </xdr:to>
    <xdr:graphicFrame macro="">
      <xdr:nvGraphicFramePr>
        <xdr:cNvPr id="2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95250</xdr:colOff>
      <xdr:row>4</xdr:row>
      <xdr:rowOff>57150</xdr:rowOff>
    </xdr:from>
    <xdr:to>
      <xdr:col>3</xdr:col>
      <xdr:colOff>95250</xdr:colOff>
      <xdr:row>7</xdr:row>
      <xdr:rowOff>180975</xdr:rowOff>
    </xdr:to>
    <xdr:pic>
      <xdr:nvPicPr>
        <xdr:cNvPr id="3" name="Picture 219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4850" y="3714750"/>
          <a:ext cx="1219200" cy="7143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9</xdr:col>
      <xdr:colOff>360939</xdr:colOff>
      <xdr:row>23</xdr:row>
      <xdr:rowOff>154301</xdr:rowOff>
    </xdr:from>
    <xdr:to>
      <xdr:col>9</xdr:col>
      <xdr:colOff>565344</xdr:colOff>
      <xdr:row>26</xdr:row>
      <xdr:rowOff>163009</xdr:rowOff>
    </xdr:to>
    <xdr:sp macro="" textlink="">
      <xdr:nvSpPr>
        <xdr:cNvPr id="9" name="Rectangle 8"/>
        <xdr:cNvSpPr/>
      </xdr:nvSpPr>
      <xdr:spPr bwMode="auto">
        <a:xfrm>
          <a:off x="6904614" y="7564751"/>
          <a:ext cx="204405" cy="580208"/>
        </a:xfrm>
        <a:prstGeom prst="rect">
          <a:avLst/>
        </a:prstGeom>
        <a:solidFill>
          <a:sysClr val="window" lastClr="FFFFFF"/>
        </a:solidFill>
        <a:ln>
          <a:solidFill>
            <a:schemeClr val="bg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rtlCol="0" anchor="ctr"/>
        <a:lstStyle/>
        <a:p>
          <a:endParaRPr lang="en-US"/>
        </a:p>
      </xdr:txBody>
    </xdr:sp>
    <xdr:clientData/>
  </xdr:twoCellAnchor>
  <xdr:twoCellAnchor>
    <xdr:from>
      <xdr:col>0</xdr:col>
      <xdr:colOff>57150</xdr:colOff>
      <xdr:row>46</xdr:row>
      <xdr:rowOff>142875</xdr:rowOff>
    </xdr:from>
    <xdr:to>
      <xdr:col>9</xdr:col>
      <xdr:colOff>628650</xdr:colOff>
      <xdr:row>68</xdr:row>
      <xdr:rowOff>133350</xdr:rowOff>
    </xdr:to>
    <xdr:graphicFrame macro="">
      <xdr:nvGraphicFramePr>
        <xdr:cNvPr id="14" name="Chart 226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>
    <xdr:from>
      <xdr:col>10</xdr:col>
      <xdr:colOff>28575</xdr:colOff>
      <xdr:row>61</xdr:row>
      <xdr:rowOff>142875</xdr:rowOff>
    </xdr:from>
    <xdr:to>
      <xdr:col>18</xdr:col>
      <xdr:colOff>0</xdr:colOff>
      <xdr:row>83</xdr:row>
      <xdr:rowOff>133350</xdr:rowOff>
    </xdr:to>
    <xdr:graphicFrame macro="">
      <xdr:nvGraphicFramePr>
        <xdr:cNvPr id="15" name="Chart 226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twoCellAnchor>
  <mc:AlternateContent xmlns:mc="http://schemas.openxmlformats.org/markup-compatibility/2006">
    <mc:Choice xmlns:a14="http://schemas.microsoft.com/office/drawing/2010/main" Requires="a14">
      <xdr:twoCellAnchor editAs="oneCell">
        <xdr:from>
          <xdr:col>0</xdr:col>
          <xdr:colOff>76200</xdr:colOff>
          <xdr:row>18</xdr:row>
          <xdr:rowOff>69850</xdr:rowOff>
        </xdr:from>
        <xdr:to>
          <xdr:col>9</xdr:col>
          <xdr:colOff>514350</xdr:colOff>
          <xdr:row>43</xdr:row>
          <xdr:rowOff>95250</xdr:rowOff>
        </xdr:to>
        <xdr:sp macro="" textlink="">
          <xdr:nvSpPr>
            <xdr:cNvPr id="3073" name="Object 1" hidden="1">
              <a:extLst>
                <a:ext uri="{63B3BB69-23CF-44E3-9099-C40C66FF867C}">
                  <a14:compatExt spid="_x0000_s3073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solidFill>
              <a:srgbClr val="FFFFFF" mc:Ignorable="a14" a14:legacySpreadsheetColorIndex="65"/>
            </a:solidFill>
            <a:ln w="9525">
              <a:solidFill>
                <a:srgbClr val="000000" mc:Ignorable="a14" a14:legacySpreadsheetColorIndex="64"/>
              </a:solidFill>
              <a:miter lim="800000"/>
              <a:headEnd/>
              <a:tailEnd/>
            </a:ln>
          </xdr:spPr>
        </xdr:sp>
        <xdr:clientData/>
      </xdr:twoCellAnchor>
    </mc:Choice>
    <mc:Fallback/>
  </mc:AlternateContent>
  <xdr:twoCellAnchor>
    <xdr:from>
      <xdr:col>10</xdr:col>
      <xdr:colOff>50725</xdr:colOff>
      <xdr:row>36</xdr:row>
      <xdr:rowOff>45630</xdr:rowOff>
    </xdr:from>
    <xdr:to>
      <xdr:col>15</xdr:col>
      <xdr:colOff>1572139</xdr:colOff>
      <xdr:row>57</xdr:row>
      <xdr:rowOff>101007</xdr:rowOff>
    </xdr:to>
    <xdr:grpSp>
      <xdr:nvGrpSpPr>
        <xdr:cNvPr id="6" name="Group 5"/>
        <xdr:cNvGrpSpPr/>
      </xdr:nvGrpSpPr>
      <xdr:grpSpPr>
        <a:xfrm>
          <a:off x="6876975" y="7227480"/>
          <a:ext cx="5509214" cy="3801877"/>
          <a:chOff x="6680125" y="7141755"/>
          <a:chExt cx="5388564" cy="4055877"/>
        </a:xfrm>
      </xdr:grpSpPr>
      <xdr:grpSp>
        <xdr:nvGrpSpPr>
          <xdr:cNvPr id="16" name="Group 15"/>
          <xdr:cNvGrpSpPr/>
        </xdr:nvGrpSpPr>
        <xdr:grpSpPr>
          <a:xfrm>
            <a:off x="6680125" y="7141755"/>
            <a:ext cx="5388564" cy="4055877"/>
            <a:chOff x="6423836" y="7143749"/>
            <a:chExt cx="5386792" cy="4009359"/>
          </a:xfrm>
        </xdr:grpSpPr>
        <xdr:pic>
          <xdr:nvPicPr>
            <xdr:cNvPr id="26" name="Picture 25"/>
            <xdr:cNvPicPr>
              <a:picLocks noChangeAspect="1" noChangeArrowheads="1"/>
            </xdr:cNvPicPr>
          </xdr:nvPicPr>
          <xdr:blipFill>
            <a:blip xmlns:r="http://schemas.openxmlformats.org/officeDocument/2006/relationships" r:embed="rId4">
              <a:extLst>
                <a:ext uri="{28A0092B-C50C-407E-A947-70E740481C1C}">
                  <a14:useLocalDpi xmlns:a14="http://schemas.microsoft.com/office/drawing/2010/main" val="0"/>
                </a:ext>
              </a:extLst>
            </a:blip>
            <a:srcRect/>
            <a:stretch>
              <a:fillRect/>
            </a:stretch>
          </xdr:blipFill>
          <xdr:spPr bwMode="auto">
            <a:xfrm>
              <a:off x="6423836" y="7143749"/>
              <a:ext cx="5386792" cy="4009359"/>
            </a:xfrm>
            <a:prstGeom prst="rect">
              <a:avLst/>
            </a:prstGeom>
            <a:noFill/>
            <a:ln>
              <a:noFill/>
            </a:ln>
            <a:effectLst/>
            <a:extLst>
              <a:ext uri="{909E8E84-426E-40DD-AFC4-6F175D3DCCD1}">
                <a14:hiddenFill xmlns:a14="http://schemas.microsoft.com/office/drawing/2010/main">
                  <a:solidFill>
                    <a:schemeClr val="accent1"/>
                  </a:solidFill>
                </a14:hiddenFill>
              </a:ext>
              <a:ext uri="{91240B29-F687-4F45-9708-019B960494DF}">
                <a14:hiddenLine xmlns:a14="http://schemas.microsoft.com/office/drawing/2010/main" w="9525">
                  <a:solidFill>
                    <a:schemeClr val="tx1"/>
                  </a:solidFill>
                  <a:miter lim="800000"/>
                  <a:headEnd/>
                  <a:tailEnd/>
                </a14:hiddenLine>
              </a:ext>
              <a:ext uri="{AF507438-7753-43E0-B8FC-AC1667EBCBE1}">
                <a14:hiddenEffects xmlns:a14="http://schemas.microsoft.com/office/drawing/2010/main">
                  <a:effectLst>
                    <a:outerShdw dist="35921" dir="2700000" algn="ctr" rotWithShape="0">
                      <a:schemeClr val="bg2"/>
                    </a:outerShdw>
                  </a:effectLst>
                </a14:hiddenEffects>
              </a:ext>
            </a:extLst>
          </xdr:spPr>
        </xdr:pic>
        <xdr:sp macro="" textlink="">
          <xdr:nvSpPr>
            <xdr:cNvPr id="7" name="Rectangle 6"/>
            <xdr:cNvSpPr/>
          </xdr:nvSpPr>
          <xdr:spPr>
            <a:xfrm>
              <a:off x="10466424" y="9170581"/>
              <a:ext cx="365495" cy="564855"/>
            </a:xfrm>
            <a:prstGeom prst="rect">
              <a:avLst/>
            </a:prstGeom>
            <a:solidFill>
              <a:sysClr val="window" lastClr="FFFFFF"/>
            </a:solidFill>
            <a:ln>
              <a:solidFill>
                <a:schemeClr val="bg1"/>
              </a:solidFill>
            </a:ln>
          </xdr:spPr>
          <xdr:style>
            <a:lnRef idx="2">
              <a:schemeClr val="accent1">
                <a:shade val="50000"/>
              </a:schemeClr>
            </a:lnRef>
            <a:fillRef idx="1">
              <a:schemeClr val="accent1"/>
            </a:fillRef>
            <a:effectRef idx="0">
              <a:schemeClr val="accent1"/>
            </a:effectRef>
            <a:fontRef idx="minor">
              <a:schemeClr val="lt1"/>
            </a:fontRef>
          </xdr:style>
          <xdr:txBody>
            <a:bodyPr vertOverflow="clip" horzOverflow="clip" rtlCol="0" anchor="t"/>
            <a:lstStyle/>
            <a:p>
              <a:pPr algn="l"/>
              <a:endParaRPr lang="en-US" sz="1100"/>
            </a:p>
          </xdr:txBody>
        </xdr:sp>
        <xdr:cxnSp macro="">
          <xdr:nvCxnSpPr>
            <xdr:cNvPr id="17" name="Straight Connector 16"/>
            <xdr:cNvCxnSpPr/>
          </xdr:nvCxnSpPr>
          <xdr:spPr>
            <a:xfrm flipH="1">
              <a:off x="10399971" y="9547150"/>
              <a:ext cx="498401" cy="0"/>
            </a:xfrm>
            <a:prstGeom prst="line">
              <a:avLst/>
            </a:prstGeom>
            <a:ln w="28575">
              <a:solidFill>
                <a:sysClr val="windowText" lastClr="000000"/>
              </a:solidFill>
            </a:ln>
          </xdr:spPr>
          <xdr:style>
            <a:lnRef idx="1">
              <a:schemeClr val="accent1"/>
            </a:lnRef>
            <a:fillRef idx="0">
              <a:schemeClr val="accent1"/>
            </a:fillRef>
            <a:effectRef idx="0">
              <a:schemeClr val="accent1"/>
            </a:effectRef>
            <a:fontRef idx="minor">
              <a:schemeClr val="tx1"/>
            </a:fontRef>
          </xdr:style>
        </xdr:cxnSp>
      </xdr:grpSp>
      <xdr:sp macro="" textlink="">
        <xdr:nvSpPr>
          <xdr:cNvPr id="5" name="Rectangle 4"/>
          <xdr:cNvSpPr/>
        </xdr:nvSpPr>
        <xdr:spPr>
          <a:xfrm>
            <a:off x="9725025" y="9677400"/>
            <a:ext cx="209550" cy="295275"/>
          </a:xfrm>
          <a:prstGeom prst="rect">
            <a:avLst/>
          </a:prstGeom>
          <a:solidFill>
            <a:sysClr val="window" lastClr="FFFFFF"/>
          </a:solidFill>
          <a:ln>
            <a:noFill/>
          </a:ln>
        </xdr:spPr>
        <xdr:style>
          <a:lnRef idx="2">
            <a:schemeClr val="accent1">
              <a:shade val="50000"/>
            </a:schemeClr>
          </a:lnRef>
          <a:fillRef idx="1">
            <a:schemeClr val="accent1"/>
          </a:fillRef>
          <a:effectRef idx="0">
            <a:schemeClr val="accent1"/>
          </a:effectRef>
          <a:fontRef idx="minor">
            <a:schemeClr val="lt1"/>
          </a:fontRef>
        </xdr:style>
        <xdr:txBody>
          <a:bodyPr vertOverflow="clip" horzOverflow="clip" rtlCol="0" anchor="t"/>
          <a:lstStyle/>
          <a:p>
            <a:pPr algn="l"/>
            <a:endParaRPr lang="en-US" sz="1100"/>
          </a:p>
        </xdr:txBody>
      </xdr:sp>
      <xdr:sp macro="" textlink="">
        <xdr:nvSpPr>
          <xdr:cNvPr id="4" name="TextBox 3"/>
          <xdr:cNvSpPr txBox="1"/>
        </xdr:nvSpPr>
        <xdr:spPr>
          <a:xfrm>
            <a:off x="9534524" y="9629775"/>
            <a:ext cx="533401" cy="342900"/>
          </a:xfrm>
          <a:prstGeom prst="rect">
            <a:avLst/>
          </a:prstGeom>
          <a:noFill/>
          <a:ln w="9525" cmpd="sng">
            <a:noFill/>
          </a:ln>
        </xdr:spPr>
        <xdr:style>
          <a:lnRef idx="0">
            <a:scrgbClr r="0" g="0" b="0"/>
          </a:lnRef>
          <a:fillRef idx="0">
            <a:scrgbClr r="0" g="0" b="0"/>
          </a:fillRef>
          <a:effectRef idx="0">
            <a:scrgbClr r="0" g="0" b="0"/>
          </a:effectRef>
          <a:fontRef idx="minor">
            <a:schemeClr val="dk1"/>
          </a:fontRef>
        </xdr:style>
        <xdr:txBody>
          <a:bodyPr vertOverflow="clip" horzOverflow="clip" wrap="square" rtlCol="0" anchor="t"/>
          <a:lstStyle/>
          <a:p>
            <a:r>
              <a:rPr lang="en-US" sz="1600" b="1"/>
              <a:t>gm</a:t>
            </a:r>
          </a:p>
        </xdr:txBody>
      </xdr:sp>
    </xdr:grpSp>
    <xdr:clientData/>
  </xdr:twoCellAnchor>
  <xdr:twoCellAnchor>
    <xdr:from>
      <xdr:col>0</xdr:col>
      <xdr:colOff>76200</xdr:colOff>
      <xdr:row>69</xdr:row>
      <xdr:rowOff>152400</xdr:rowOff>
    </xdr:from>
    <xdr:to>
      <xdr:col>10</xdr:col>
      <xdr:colOff>9525</xdr:colOff>
      <xdr:row>91</xdr:row>
      <xdr:rowOff>142875</xdr:rowOff>
    </xdr:to>
    <xdr:graphicFrame macro="">
      <xdr:nvGraphicFramePr>
        <xdr:cNvPr id="18" name="Chart 226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5"/>
        </a:graphicData>
      </a:graphic>
    </xdr:graphicFrame>
    <xdr:clientData/>
  </xdr:twoCellAnchor>
  <xdr:twoCellAnchor>
    <xdr:from>
      <xdr:col>10</xdr:col>
      <xdr:colOff>47625</xdr:colOff>
      <xdr:row>84</xdr:row>
      <xdr:rowOff>152400</xdr:rowOff>
    </xdr:from>
    <xdr:to>
      <xdr:col>18</xdr:col>
      <xdr:colOff>19050</xdr:colOff>
      <xdr:row>106</xdr:row>
      <xdr:rowOff>142875</xdr:rowOff>
    </xdr:to>
    <xdr:graphicFrame macro="">
      <xdr:nvGraphicFramePr>
        <xdr:cNvPr id="19" name="Chart 226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  <xdr:twoCellAnchor editAs="oneCell">
    <xdr:from>
      <xdr:col>14</xdr:col>
      <xdr:colOff>285750</xdr:colOff>
      <xdr:row>22</xdr:row>
      <xdr:rowOff>66675</xdr:rowOff>
    </xdr:from>
    <xdr:to>
      <xdr:col>15</xdr:col>
      <xdr:colOff>1699470</xdr:colOff>
      <xdr:row>25</xdr:row>
      <xdr:rowOff>9525</xdr:rowOff>
    </xdr:to>
    <xdr:pic>
      <xdr:nvPicPr>
        <xdr:cNvPr id="20" name="Picture 19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10172700" y="5981700"/>
          <a:ext cx="2023320" cy="733425"/>
        </a:xfrm>
        <a:prstGeom prst="rect">
          <a:avLst/>
        </a:prstGeom>
      </xdr:spPr>
    </xdr:pic>
    <xdr:clientData/>
  </xdr:twoCellAnchor>
</xdr:wsDr>
</file>

<file path=xl/drawings/drawing4.xml><?xml version="1.0" encoding="utf-8"?>
<c:userShapes xmlns:c="http://schemas.openxmlformats.org/drawingml/2006/chart">
  <cdr:relSizeAnchor xmlns:cdr="http://schemas.openxmlformats.org/drawingml/2006/chartDrawing">
    <cdr:from>
      <cdr:x>0.49508</cdr:x>
      <cdr:y>0.5</cdr:y>
    </cdr:from>
    <cdr:to>
      <cdr:x>0.52507</cdr:x>
      <cdr:y>0.55321</cdr:y>
    </cdr:to>
    <cdr:sp macro="" textlink="">
      <cdr:nvSpPr>
        <cdr:cNvPr id="18433" name="Text Box 1025"/>
        <cdr:cNvSpPr txBox="1">
          <a:spLocks xmlns:a="http://schemas.openxmlformats.org/drawingml/2006/main" noChangeArrowheads="1"/>
        </cdr:cNvSpPr>
      </cdr:nvSpPr>
      <cdr:spPr bwMode="auto">
        <a:xfrm xmlns:a="http://schemas.openxmlformats.org/drawingml/2006/main">
          <a:off x="2809002" y="1698625"/>
          <a:ext cx="169950" cy="180437"/>
        </a:xfrm>
        <a:prstGeom xmlns:a="http://schemas.openxmlformats.org/drawingml/2006/main" prst="rect">
          <a:avLst/>
        </a:prstGeom>
        <a:noFill xmlns:a="http://schemas.openxmlformats.org/drawingml/2006/main"/>
        <a:ln xmlns:a="http://schemas.openxmlformats.org/drawingml/2006/main" w="1">
          <a:noFill/>
          <a:miter lim="800000"/>
          <a:headEnd/>
          <a:tailEnd/>
        </a:ln>
        <a:effectLst xmlns:a="http://schemas.openxmlformats.org/drawingml/2006/main"/>
      </cdr:spPr>
      <cdr:txBody>
        <a:bodyPr xmlns:a="http://schemas.openxmlformats.org/drawingml/2006/main" vertOverflow="clip" wrap="square" lIns="27432" tIns="22860" rIns="27432" bIns="22860" anchor="ctr" upright="1"/>
        <a:lstStyle xmlns:a="http://schemas.openxmlformats.org/drawingml/2006/main"/>
        <a:p xmlns:a="http://schemas.openxmlformats.org/drawingml/2006/main">
          <a:pPr algn="ctr" rtl="0">
            <a:defRPr sz="1000"/>
          </a:pPr>
          <a:r>
            <a:rPr lang="en-US" sz="850" b="0" i="0" u="none" strike="noStrike" baseline="0">
              <a:solidFill>
                <a:srgbClr val="000000"/>
              </a:solidFill>
              <a:latin typeface="Arial"/>
              <a:cs typeface="Arial"/>
            </a:rPr>
            <a:t>``</a:t>
          </a:r>
        </a:p>
      </cdr:txBody>
    </cdr:sp>
  </cdr:relSizeAnchor>
</c:userShapes>
</file>

<file path=xl/drawings/drawing5.xml><?xml version="1.0" encoding="utf-8"?>
<c:userShapes xmlns:c="http://schemas.openxmlformats.org/drawingml/2006/chart">
  <cdr:relSizeAnchor xmlns:cdr="http://schemas.openxmlformats.org/drawingml/2006/chartDrawing">
    <cdr:from>
      <cdr:x>0.49508</cdr:x>
      <cdr:y>0.5</cdr:y>
    </cdr:from>
    <cdr:to>
      <cdr:x>0.52507</cdr:x>
      <cdr:y>0.55321</cdr:y>
    </cdr:to>
    <cdr:sp macro="" textlink="">
      <cdr:nvSpPr>
        <cdr:cNvPr id="18433" name="Text Box 1025"/>
        <cdr:cNvSpPr txBox="1">
          <a:spLocks xmlns:a="http://schemas.openxmlformats.org/drawingml/2006/main" noChangeArrowheads="1"/>
        </cdr:cNvSpPr>
      </cdr:nvSpPr>
      <cdr:spPr bwMode="auto">
        <a:xfrm xmlns:a="http://schemas.openxmlformats.org/drawingml/2006/main">
          <a:off x="2809002" y="1698625"/>
          <a:ext cx="169950" cy="180437"/>
        </a:xfrm>
        <a:prstGeom xmlns:a="http://schemas.openxmlformats.org/drawingml/2006/main" prst="rect">
          <a:avLst/>
        </a:prstGeom>
        <a:noFill xmlns:a="http://schemas.openxmlformats.org/drawingml/2006/main"/>
        <a:ln xmlns:a="http://schemas.openxmlformats.org/drawingml/2006/main" w="1">
          <a:noFill/>
          <a:miter lim="800000"/>
          <a:headEnd/>
          <a:tailEnd/>
        </a:ln>
        <a:effectLst xmlns:a="http://schemas.openxmlformats.org/drawingml/2006/main"/>
      </cdr:spPr>
      <cdr:txBody>
        <a:bodyPr xmlns:a="http://schemas.openxmlformats.org/drawingml/2006/main" vertOverflow="clip" wrap="square" lIns="27432" tIns="22860" rIns="27432" bIns="22860" anchor="ctr" upright="1"/>
        <a:lstStyle xmlns:a="http://schemas.openxmlformats.org/drawingml/2006/main"/>
        <a:p xmlns:a="http://schemas.openxmlformats.org/drawingml/2006/main">
          <a:pPr algn="ctr" rtl="0">
            <a:defRPr sz="1000"/>
          </a:pPr>
          <a:r>
            <a:rPr lang="en-US" sz="850" b="0" i="0" u="none" strike="noStrike" baseline="0">
              <a:solidFill>
                <a:srgbClr val="000000"/>
              </a:solidFill>
              <a:latin typeface="Arial"/>
              <a:cs typeface="Arial"/>
            </a:rPr>
            <a:t>``</a:t>
          </a:r>
        </a:p>
      </cdr:txBody>
    </cdr:sp>
  </cdr:relSizeAnchor>
</c:userShapes>
</file>

<file path=xl/drawings/drawing6.xml><?xml version="1.0" encoding="utf-8"?>
<c:userShapes xmlns:c="http://schemas.openxmlformats.org/drawingml/2006/chart">
  <cdr:relSizeAnchor xmlns:cdr="http://schemas.openxmlformats.org/drawingml/2006/chartDrawing">
    <cdr:from>
      <cdr:x>0.49508</cdr:x>
      <cdr:y>0.5</cdr:y>
    </cdr:from>
    <cdr:to>
      <cdr:x>0.52507</cdr:x>
      <cdr:y>0.55321</cdr:y>
    </cdr:to>
    <cdr:sp macro="" textlink="">
      <cdr:nvSpPr>
        <cdr:cNvPr id="18433" name="Text Box 1025"/>
        <cdr:cNvSpPr txBox="1">
          <a:spLocks xmlns:a="http://schemas.openxmlformats.org/drawingml/2006/main" noChangeArrowheads="1"/>
        </cdr:cNvSpPr>
      </cdr:nvSpPr>
      <cdr:spPr bwMode="auto">
        <a:xfrm xmlns:a="http://schemas.openxmlformats.org/drawingml/2006/main">
          <a:off x="2809002" y="1698625"/>
          <a:ext cx="169950" cy="180437"/>
        </a:xfrm>
        <a:prstGeom xmlns:a="http://schemas.openxmlformats.org/drawingml/2006/main" prst="rect">
          <a:avLst/>
        </a:prstGeom>
        <a:noFill xmlns:a="http://schemas.openxmlformats.org/drawingml/2006/main"/>
        <a:ln xmlns:a="http://schemas.openxmlformats.org/drawingml/2006/main" w="1">
          <a:noFill/>
          <a:miter lim="800000"/>
          <a:headEnd/>
          <a:tailEnd/>
        </a:ln>
        <a:effectLst xmlns:a="http://schemas.openxmlformats.org/drawingml/2006/main"/>
      </cdr:spPr>
      <cdr:txBody>
        <a:bodyPr xmlns:a="http://schemas.openxmlformats.org/drawingml/2006/main" vertOverflow="clip" wrap="square" lIns="27432" tIns="22860" rIns="27432" bIns="22860" anchor="ctr" upright="1"/>
        <a:lstStyle xmlns:a="http://schemas.openxmlformats.org/drawingml/2006/main"/>
        <a:p xmlns:a="http://schemas.openxmlformats.org/drawingml/2006/main">
          <a:pPr algn="ctr" rtl="0">
            <a:defRPr sz="1000"/>
          </a:pPr>
          <a:r>
            <a:rPr lang="en-US" sz="850" b="0" i="0" u="none" strike="noStrike" baseline="0">
              <a:solidFill>
                <a:srgbClr val="000000"/>
              </a:solidFill>
              <a:latin typeface="Arial"/>
              <a:cs typeface="Arial"/>
            </a:rPr>
            <a:t>``</a:t>
          </a:r>
        </a:p>
      </cdr:txBody>
    </cdr:sp>
  </cdr:relSizeAnchor>
</c:userShapes>
</file>

<file path=xl/drawings/drawing7.xml><?xml version="1.0" encoding="utf-8"?>
<c:userShapes xmlns:c="http://schemas.openxmlformats.org/drawingml/2006/chart">
  <cdr:relSizeAnchor xmlns:cdr="http://schemas.openxmlformats.org/drawingml/2006/chartDrawing">
    <cdr:from>
      <cdr:x>0.49508</cdr:x>
      <cdr:y>0.5</cdr:y>
    </cdr:from>
    <cdr:to>
      <cdr:x>0.52507</cdr:x>
      <cdr:y>0.55321</cdr:y>
    </cdr:to>
    <cdr:sp macro="" textlink="">
      <cdr:nvSpPr>
        <cdr:cNvPr id="18433" name="Text Box 1025"/>
        <cdr:cNvSpPr txBox="1">
          <a:spLocks xmlns:a="http://schemas.openxmlformats.org/drawingml/2006/main" noChangeArrowheads="1"/>
        </cdr:cNvSpPr>
      </cdr:nvSpPr>
      <cdr:spPr bwMode="auto">
        <a:xfrm xmlns:a="http://schemas.openxmlformats.org/drawingml/2006/main">
          <a:off x="2809002" y="1698625"/>
          <a:ext cx="169950" cy="180437"/>
        </a:xfrm>
        <a:prstGeom xmlns:a="http://schemas.openxmlformats.org/drawingml/2006/main" prst="rect">
          <a:avLst/>
        </a:prstGeom>
        <a:noFill xmlns:a="http://schemas.openxmlformats.org/drawingml/2006/main"/>
        <a:ln xmlns:a="http://schemas.openxmlformats.org/drawingml/2006/main" w="1">
          <a:noFill/>
          <a:miter lim="800000"/>
          <a:headEnd/>
          <a:tailEnd/>
        </a:ln>
        <a:effectLst xmlns:a="http://schemas.openxmlformats.org/drawingml/2006/main"/>
      </cdr:spPr>
      <cdr:txBody>
        <a:bodyPr xmlns:a="http://schemas.openxmlformats.org/drawingml/2006/main" vertOverflow="clip" wrap="square" lIns="27432" tIns="22860" rIns="27432" bIns="22860" anchor="ctr" upright="1"/>
        <a:lstStyle xmlns:a="http://schemas.openxmlformats.org/drawingml/2006/main"/>
        <a:p xmlns:a="http://schemas.openxmlformats.org/drawingml/2006/main">
          <a:pPr algn="ctr" rtl="0">
            <a:defRPr sz="1000"/>
          </a:pPr>
          <a:r>
            <a:rPr lang="en-US" sz="850" b="0" i="0" u="none" strike="noStrike" baseline="0">
              <a:solidFill>
                <a:srgbClr val="000000"/>
              </a:solidFill>
              <a:latin typeface="Arial"/>
              <a:cs typeface="Arial"/>
            </a:rPr>
            <a:t>``</a:t>
          </a:r>
        </a:p>
      </cdr:txBody>
    </cdr:sp>
  </cdr:relSizeAnchor>
</c:userShape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Relationship Id="rId5" Type="http://schemas.openxmlformats.org/officeDocument/2006/relationships/image" Target="../media/image2.emf"/><Relationship Id="rId4" Type="http://schemas.openxmlformats.org/officeDocument/2006/relationships/oleObject" Target="../embeddings/oleObject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105"/>
  <sheetViews>
    <sheetView tabSelected="1" zoomScaleNormal="100" workbookViewId="0">
      <selection activeCell="M1" sqref="M1"/>
    </sheetView>
  </sheetViews>
  <sheetFormatPr defaultRowHeight="13" x14ac:dyDescent="0.3"/>
  <cols>
    <col min="1" max="1" width="34.26953125" style="2" bestFit="1" customWidth="1"/>
    <col min="2" max="2" width="8.26953125" style="2" customWidth="1"/>
    <col min="3" max="3" width="7" style="2" customWidth="1"/>
    <col min="4" max="4" width="2.54296875" style="2" customWidth="1"/>
    <col min="5" max="5" width="27.453125" style="2" customWidth="1"/>
    <col min="6" max="6" width="7" style="2" customWidth="1"/>
    <col min="7" max="7" width="7.81640625" style="2" customWidth="1"/>
    <col min="8" max="9" width="9.1796875" style="2"/>
    <col min="10" max="10" width="14.26953125" style="2" bestFit="1" customWidth="1"/>
    <col min="11" max="11" width="15" style="2" bestFit="1" customWidth="1"/>
    <col min="12" max="12" width="13.7265625" style="2" bestFit="1" customWidth="1"/>
    <col min="13" max="256" width="9.1796875" style="2"/>
    <col min="257" max="257" width="34.26953125" style="2" bestFit="1" customWidth="1"/>
    <col min="258" max="258" width="9.453125" style="2" customWidth="1"/>
    <col min="259" max="259" width="7" style="2" customWidth="1"/>
    <col min="260" max="260" width="2.54296875" style="2" customWidth="1"/>
    <col min="261" max="261" width="26" style="2" customWidth="1"/>
    <col min="262" max="262" width="10.1796875" style="2" customWidth="1"/>
    <col min="263" max="265" width="9.1796875" style="2"/>
    <col min="266" max="266" width="14.26953125" style="2" bestFit="1" customWidth="1"/>
    <col min="267" max="267" width="15" style="2" bestFit="1" customWidth="1"/>
    <col min="268" max="268" width="13.7265625" style="2" bestFit="1" customWidth="1"/>
    <col min="269" max="512" width="9.1796875" style="2"/>
    <col min="513" max="513" width="34.26953125" style="2" bestFit="1" customWidth="1"/>
    <col min="514" max="514" width="9.453125" style="2" customWidth="1"/>
    <col min="515" max="515" width="7" style="2" customWidth="1"/>
    <col min="516" max="516" width="2.54296875" style="2" customWidth="1"/>
    <col min="517" max="517" width="26" style="2" customWidth="1"/>
    <col min="518" max="518" width="10.1796875" style="2" customWidth="1"/>
    <col min="519" max="521" width="9.1796875" style="2"/>
    <col min="522" max="522" width="14.26953125" style="2" bestFit="1" customWidth="1"/>
    <col min="523" max="523" width="15" style="2" bestFit="1" customWidth="1"/>
    <col min="524" max="524" width="13.7265625" style="2" bestFit="1" customWidth="1"/>
    <col min="525" max="768" width="9.1796875" style="2"/>
    <col min="769" max="769" width="34.26953125" style="2" bestFit="1" customWidth="1"/>
    <col min="770" max="770" width="9.453125" style="2" customWidth="1"/>
    <col min="771" max="771" width="7" style="2" customWidth="1"/>
    <col min="772" max="772" width="2.54296875" style="2" customWidth="1"/>
    <col min="773" max="773" width="26" style="2" customWidth="1"/>
    <col min="774" max="774" width="10.1796875" style="2" customWidth="1"/>
    <col min="775" max="777" width="9.1796875" style="2"/>
    <col min="778" max="778" width="14.26953125" style="2" bestFit="1" customWidth="1"/>
    <col min="779" max="779" width="15" style="2" bestFit="1" customWidth="1"/>
    <col min="780" max="780" width="13.7265625" style="2" bestFit="1" customWidth="1"/>
    <col min="781" max="1024" width="9.1796875" style="2"/>
    <col min="1025" max="1025" width="34.26953125" style="2" bestFit="1" customWidth="1"/>
    <col min="1026" max="1026" width="9.453125" style="2" customWidth="1"/>
    <col min="1027" max="1027" width="7" style="2" customWidth="1"/>
    <col min="1028" max="1028" width="2.54296875" style="2" customWidth="1"/>
    <col min="1029" max="1029" width="26" style="2" customWidth="1"/>
    <col min="1030" max="1030" width="10.1796875" style="2" customWidth="1"/>
    <col min="1031" max="1033" width="9.1796875" style="2"/>
    <col min="1034" max="1034" width="14.26953125" style="2" bestFit="1" customWidth="1"/>
    <col min="1035" max="1035" width="15" style="2" bestFit="1" customWidth="1"/>
    <col min="1036" max="1036" width="13.7265625" style="2" bestFit="1" customWidth="1"/>
    <col min="1037" max="1280" width="9.1796875" style="2"/>
    <col min="1281" max="1281" width="34.26953125" style="2" bestFit="1" customWidth="1"/>
    <col min="1282" max="1282" width="9.453125" style="2" customWidth="1"/>
    <col min="1283" max="1283" width="7" style="2" customWidth="1"/>
    <col min="1284" max="1284" width="2.54296875" style="2" customWidth="1"/>
    <col min="1285" max="1285" width="26" style="2" customWidth="1"/>
    <col min="1286" max="1286" width="10.1796875" style="2" customWidth="1"/>
    <col min="1287" max="1289" width="9.1796875" style="2"/>
    <col min="1290" max="1290" width="14.26953125" style="2" bestFit="1" customWidth="1"/>
    <col min="1291" max="1291" width="15" style="2" bestFit="1" customWidth="1"/>
    <col min="1292" max="1292" width="13.7265625" style="2" bestFit="1" customWidth="1"/>
    <col min="1293" max="1536" width="9.1796875" style="2"/>
    <col min="1537" max="1537" width="34.26953125" style="2" bestFit="1" customWidth="1"/>
    <col min="1538" max="1538" width="9.453125" style="2" customWidth="1"/>
    <col min="1539" max="1539" width="7" style="2" customWidth="1"/>
    <col min="1540" max="1540" width="2.54296875" style="2" customWidth="1"/>
    <col min="1541" max="1541" width="26" style="2" customWidth="1"/>
    <col min="1542" max="1542" width="10.1796875" style="2" customWidth="1"/>
    <col min="1543" max="1545" width="9.1796875" style="2"/>
    <col min="1546" max="1546" width="14.26953125" style="2" bestFit="1" customWidth="1"/>
    <col min="1547" max="1547" width="15" style="2" bestFit="1" customWidth="1"/>
    <col min="1548" max="1548" width="13.7265625" style="2" bestFit="1" customWidth="1"/>
    <col min="1549" max="1792" width="9.1796875" style="2"/>
    <col min="1793" max="1793" width="34.26953125" style="2" bestFit="1" customWidth="1"/>
    <col min="1794" max="1794" width="9.453125" style="2" customWidth="1"/>
    <col min="1795" max="1795" width="7" style="2" customWidth="1"/>
    <col min="1796" max="1796" width="2.54296875" style="2" customWidth="1"/>
    <col min="1797" max="1797" width="26" style="2" customWidth="1"/>
    <col min="1798" max="1798" width="10.1796875" style="2" customWidth="1"/>
    <col min="1799" max="1801" width="9.1796875" style="2"/>
    <col min="1802" max="1802" width="14.26953125" style="2" bestFit="1" customWidth="1"/>
    <col min="1803" max="1803" width="15" style="2" bestFit="1" customWidth="1"/>
    <col min="1804" max="1804" width="13.7265625" style="2" bestFit="1" customWidth="1"/>
    <col min="1805" max="2048" width="9.1796875" style="2"/>
    <col min="2049" max="2049" width="34.26953125" style="2" bestFit="1" customWidth="1"/>
    <col min="2050" max="2050" width="9.453125" style="2" customWidth="1"/>
    <col min="2051" max="2051" width="7" style="2" customWidth="1"/>
    <col min="2052" max="2052" width="2.54296875" style="2" customWidth="1"/>
    <col min="2053" max="2053" width="26" style="2" customWidth="1"/>
    <col min="2054" max="2054" width="10.1796875" style="2" customWidth="1"/>
    <col min="2055" max="2057" width="9.1796875" style="2"/>
    <col min="2058" max="2058" width="14.26953125" style="2" bestFit="1" customWidth="1"/>
    <col min="2059" max="2059" width="15" style="2" bestFit="1" customWidth="1"/>
    <col min="2060" max="2060" width="13.7265625" style="2" bestFit="1" customWidth="1"/>
    <col min="2061" max="2304" width="9.1796875" style="2"/>
    <col min="2305" max="2305" width="34.26953125" style="2" bestFit="1" customWidth="1"/>
    <col min="2306" max="2306" width="9.453125" style="2" customWidth="1"/>
    <col min="2307" max="2307" width="7" style="2" customWidth="1"/>
    <col min="2308" max="2308" width="2.54296875" style="2" customWidth="1"/>
    <col min="2309" max="2309" width="26" style="2" customWidth="1"/>
    <col min="2310" max="2310" width="10.1796875" style="2" customWidth="1"/>
    <col min="2311" max="2313" width="9.1796875" style="2"/>
    <col min="2314" max="2314" width="14.26953125" style="2" bestFit="1" customWidth="1"/>
    <col min="2315" max="2315" width="15" style="2" bestFit="1" customWidth="1"/>
    <col min="2316" max="2316" width="13.7265625" style="2" bestFit="1" customWidth="1"/>
    <col min="2317" max="2560" width="9.1796875" style="2"/>
    <col min="2561" max="2561" width="34.26953125" style="2" bestFit="1" customWidth="1"/>
    <col min="2562" max="2562" width="9.453125" style="2" customWidth="1"/>
    <col min="2563" max="2563" width="7" style="2" customWidth="1"/>
    <col min="2564" max="2564" width="2.54296875" style="2" customWidth="1"/>
    <col min="2565" max="2565" width="26" style="2" customWidth="1"/>
    <col min="2566" max="2566" width="10.1796875" style="2" customWidth="1"/>
    <col min="2567" max="2569" width="9.1796875" style="2"/>
    <col min="2570" max="2570" width="14.26953125" style="2" bestFit="1" customWidth="1"/>
    <col min="2571" max="2571" width="15" style="2" bestFit="1" customWidth="1"/>
    <col min="2572" max="2572" width="13.7265625" style="2" bestFit="1" customWidth="1"/>
    <col min="2573" max="2816" width="9.1796875" style="2"/>
    <col min="2817" max="2817" width="34.26953125" style="2" bestFit="1" customWidth="1"/>
    <col min="2818" max="2818" width="9.453125" style="2" customWidth="1"/>
    <col min="2819" max="2819" width="7" style="2" customWidth="1"/>
    <col min="2820" max="2820" width="2.54296875" style="2" customWidth="1"/>
    <col min="2821" max="2821" width="26" style="2" customWidth="1"/>
    <col min="2822" max="2822" width="10.1796875" style="2" customWidth="1"/>
    <col min="2823" max="2825" width="9.1796875" style="2"/>
    <col min="2826" max="2826" width="14.26953125" style="2" bestFit="1" customWidth="1"/>
    <col min="2827" max="2827" width="15" style="2" bestFit="1" customWidth="1"/>
    <col min="2828" max="2828" width="13.7265625" style="2" bestFit="1" customWidth="1"/>
    <col min="2829" max="3072" width="9.1796875" style="2"/>
    <col min="3073" max="3073" width="34.26953125" style="2" bestFit="1" customWidth="1"/>
    <col min="3074" max="3074" width="9.453125" style="2" customWidth="1"/>
    <col min="3075" max="3075" width="7" style="2" customWidth="1"/>
    <col min="3076" max="3076" width="2.54296875" style="2" customWidth="1"/>
    <col min="3077" max="3077" width="26" style="2" customWidth="1"/>
    <col min="3078" max="3078" width="10.1796875" style="2" customWidth="1"/>
    <col min="3079" max="3081" width="9.1796875" style="2"/>
    <col min="3082" max="3082" width="14.26953125" style="2" bestFit="1" customWidth="1"/>
    <col min="3083" max="3083" width="15" style="2" bestFit="1" customWidth="1"/>
    <col min="3084" max="3084" width="13.7265625" style="2" bestFit="1" customWidth="1"/>
    <col min="3085" max="3328" width="9.1796875" style="2"/>
    <col min="3329" max="3329" width="34.26953125" style="2" bestFit="1" customWidth="1"/>
    <col min="3330" max="3330" width="9.453125" style="2" customWidth="1"/>
    <col min="3331" max="3331" width="7" style="2" customWidth="1"/>
    <col min="3332" max="3332" width="2.54296875" style="2" customWidth="1"/>
    <col min="3333" max="3333" width="26" style="2" customWidth="1"/>
    <col min="3334" max="3334" width="10.1796875" style="2" customWidth="1"/>
    <col min="3335" max="3337" width="9.1796875" style="2"/>
    <col min="3338" max="3338" width="14.26953125" style="2" bestFit="1" customWidth="1"/>
    <col min="3339" max="3339" width="15" style="2" bestFit="1" customWidth="1"/>
    <col min="3340" max="3340" width="13.7265625" style="2" bestFit="1" customWidth="1"/>
    <col min="3341" max="3584" width="9.1796875" style="2"/>
    <col min="3585" max="3585" width="34.26953125" style="2" bestFit="1" customWidth="1"/>
    <col min="3586" max="3586" width="9.453125" style="2" customWidth="1"/>
    <col min="3587" max="3587" width="7" style="2" customWidth="1"/>
    <col min="3588" max="3588" width="2.54296875" style="2" customWidth="1"/>
    <col min="3589" max="3589" width="26" style="2" customWidth="1"/>
    <col min="3590" max="3590" width="10.1796875" style="2" customWidth="1"/>
    <col min="3591" max="3593" width="9.1796875" style="2"/>
    <col min="3594" max="3594" width="14.26953125" style="2" bestFit="1" customWidth="1"/>
    <col min="3595" max="3595" width="15" style="2" bestFit="1" customWidth="1"/>
    <col min="3596" max="3596" width="13.7265625" style="2" bestFit="1" customWidth="1"/>
    <col min="3597" max="3840" width="9.1796875" style="2"/>
    <col min="3841" max="3841" width="34.26953125" style="2" bestFit="1" customWidth="1"/>
    <col min="3842" max="3842" width="9.453125" style="2" customWidth="1"/>
    <col min="3843" max="3843" width="7" style="2" customWidth="1"/>
    <col min="3844" max="3844" width="2.54296875" style="2" customWidth="1"/>
    <col min="3845" max="3845" width="26" style="2" customWidth="1"/>
    <col min="3846" max="3846" width="10.1796875" style="2" customWidth="1"/>
    <col min="3847" max="3849" width="9.1796875" style="2"/>
    <col min="3850" max="3850" width="14.26953125" style="2" bestFit="1" customWidth="1"/>
    <col min="3851" max="3851" width="15" style="2" bestFit="1" customWidth="1"/>
    <col min="3852" max="3852" width="13.7265625" style="2" bestFit="1" customWidth="1"/>
    <col min="3853" max="4096" width="9.1796875" style="2"/>
    <col min="4097" max="4097" width="34.26953125" style="2" bestFit="1" customWidth="1"/>
    <col min="4098" max="4098" width="9.453125" style="2" customWidth="1"/>
    <col min="4099" max="4099" width="7" style="2" customWidth="1"/>
    <col min="4100" max="4100" width="2.54296875" style="2" customWidth="1"/>
    <col min="4101" max="4101" width="26" style="2" customWidth="1"/>
    <col min="4102" max="4102" width="10.1796875" style="2" customWidth="1"/>
    <col min="4103" max="4105" width="9.1796875" style="2"/>
    <col min="4106" max="4106" width="14.26953125" style="2" bestFit="1" customWidth="1"/>
    <col min="4107" max="4107" width="15" style="2" bestFit="1" customWidth="1"/>
    <col min="4108" max="4108" width="13.7265625" style="2" bestFit="1" customWidth="1"/>
    <col min="4109" max="4352" width="9.1796875" style="2"/>
    <col min="4353" max="4353" width="34.26953125" style="2" bestFit="1" customWidth="1"/>
    <col min="4354" max="4354" width="9.453125" style="2" customWidth="1"/>
    <col min="4355" max="4355" width="7" style="2" customWidth="1"/>
    <col min="4356" max="4356" width="2.54296875" style="2" customWidth="1"/>
    <col min="4357" max="4357" width="26" style="2" customWidth="1"/>
    <col min="4358" max="4358" width="10.1796875" style="2" customWidth="1"/>
    <col min="4359" max="4361" width="9.1796875" style="2"/>
    <col min="4362" max="4362" width="14.26953125" style="2" bestFit="1" customWidth="1"/>
    <col min="4363" max="4363" width="15" style="2" bestFit="1" customWidth="1"/>
    <col min="4364" max="4364" width="13.7265625" style="2" bestFit="1" customWidth="1"/>
    <col min="4365" max="4608" width="9.1796875" style="2"/>
    <col min="4609" max="4609" width="34.26953125" style="2" bestFit="1" customWidth="1"/>
    <col min="4610" max="4610" width="9.453125" style="2" customWidth="1"/>
    <col min="4611" max="4611" width="7" style="2" customWidth="1"/>
    <col min="4612" max="4612" width="2.54296875" style="2" customWidth="1"/>
    <col min="4613" max="4613" width="26" style="2" customWidth="1"/>
    <col min="4614" max="4614" width="10.1796875" style="2" customWidth="1"/>
    <col min="4615" max="4617" width="9.1796875" style="2"/>
    <col min="4618" max="4618" width="14.26953125" style="2" bestFit="1" customWidth="1"/>
    <col min="4619" max="4619" width="15" style="2" bestFit="1" customWidth="1"/>
    <col min="4620" max="4620" width="13.7265625" style="2" bestFit="1" customWidth="1"/>
    <col min="4621" max="4864" width="9.1796875" style="2"/>
    <col min="4865" max="4865" width="34.26953125" style="2" bestFit="1" customWidth="1"/>
    <col min="4866" max="4866" width="9.453125" style="2" customWidth="1"/>
    <col min="4867" max="4867" width="7" style="2" customWidth="1"/>
    <col min="4868" max="4868" width="2.54296875" style="2" customWidth="1"/>
    <col min="4869" max="4869" width="26" style="2" customWidth="1"/>
    <col min="4870" max="4870" width="10.1796875" style="2" customWidth="1"/>
    <col min="4871" max="4873" width="9.1796875" style="2"/>
    <col min="4874" max="4874" width="14.26953125" style="2" bestFit="1" customWidth="1"/>
    <col min="4875" max="4875" width="15" style="2" bestFit="1" customWidth="1"/>
    <col min="4876" max="4876" width="13.7265625" style="2" bestFit="1" customWidth="1"/>
    <col min="4877" max="5120" width="9.1796875" style="2"/>
    <col min="5121" max="5121" width="34.26953125" style="2" bestFit="1" customWidth="1"/>
    <col min="5122" max="5122" width="9.453125" style="2" customWidth="1"/>
    <col min="5123" max="5123" width="7" style="2" customWidth="1"/>
    <col min="5124" max="5124" width="2.54296875" style="2" customWidth="1"/>
    <col min="5125" max="5125" width="26" style="2" customWidth="1"/>
    <col min="5126" max="5126" width="10.1796875" style="2" customWidth="1"/>
    <col min="5127" max="5129" width="9.1796875" style="2"/>
    <col min="5130" max="5130" width="14.26953125" style="2" bestFit="1" customWidth="1"/>
    <col min="5131" max="5131" width="15" style="2" bestFit="1" customWidth="1"/>
    <col min="5132" max="5132" width="13.7265625" style="2" bestFit="1" customWidth="1"/>
    <col min="5133" max="5376" width="9.1796875" style="2"/>
    <col min="5377" max="5377" width="34.26953125" style="2" bestFit="1" customWidth="1"/>
    <col min="5378" max="5378" width="9.453125" style="2" customWidth="1"/>
    <col min="5379" max="5379" width="7" style="2" customWidth="1"/>
    <col min="5380" max="5380" width="2.54296875" style="2" customWidth="1"/>
    <col min="5381" max="5381" width="26" style="2" customWidth="1"/>
    <col min="5382" max="5382" width="10.1796875" style="2" customWidth="1"/>
    <col min="5383" max="5385" width="9.1796875" style="2"/>
    <col min="5386" max="5386" width="14.26953125" style="2" bestFit="1" customWidth="1"/>
    <col min="5387" max="5387" width="15" style="2" bestFit="1" customWidth="1"/>
    <col min="5388" max="5388" width="13.7265625" style="2" bestFit="1" customWidth="1"/>
    <col min="5389" max="5632" width="9.1796875" style="2"/>
    <col min="5633" max="5633" width="34.26953125" style="2" bestFit="1" customWidth="1"/>
    <col min="5634" max="5634" width="9.453125" style="2" customWidth="1"/>
    <col min="5635" max="5635" width="7" style="2" customWidth="1"/>
    <col min="5636" max="5636" width="2.54296875" style="2" customWidth="1"/>
    <col min="5637" max="5637" width="26" style="2" customWidth="1"/>
    <col min="5638" max="5638" width="10.1796875" style="2" customWidth="1"/>
    <col min="5639" max="5641" width="9.1796875" style="2"/>
    <col min="5642" max="5642" width="14.26953125" style="2" bestFit="1" customWidth="1"/>
    <col min="5643" max="5643" width="15" style="2" bestFit="1" customWidth="1"/>
    <col min="5644" max="5644" width="13.7265625" style="2" bestFit="1" customWidth="1"/>
    <col min="5645" max="5888" width="9.1796875" style="2"/>
    <col min="5889" max="5889" width="34.26953125" style="2" bestFit="1" customWidth="1"/>
    <col min="5890" max="5890" width="9.453125" style="2" customWidth="1"/>
    <col min="5891" max="5891" width="7" style="2" customWidth="1"/>
    <col min="5892" max="5892" width="2.54296875" style="2" customWidth="1"/>
    <col min="5893" max="5893" width="26" style="2" customWidth="1"/>
    <col min="5894" max="5894" width="10.1796875" style="2" customWidth="1"/>
    <col min="5895" max="5897" width="9.1796875" style="2"/>
    <col min="5898" max="5898" width="14.26953125" style="2" bestFit="1" customWidth="1"/>
    <col min="5899" max="5899" width="15" style="2" bestFit="1" customWidth="1"/>
    <col min="5900" max="5900" width="13.7265625" style="2" bestFit="1" customWidth="1"/>
    <col min="5901" max="6144" width="9.1796875" style="2"/>
    <col min="6145" max="6145" width="34.26953125" style="2" bestFit="1" customWidth="1"/>
    <col min="6146" max="6146" width="9.453125" style="2" customWidth="1"/>
    <col min="6147" max="6147" width="7" style="2" customWidth="1"/>
    <col min="6148" max="6148" width="2.54296875" style="2" customWidth="1"/>
    <col min="6149" max="6149" width="26" style="2" customWidth="1"/>
    <col min="6150" max="6150" width="10.1796875" style="2" customWidth="1"/>
    <col min="6151" max="6153" width="9.1796875" style="2"/>
    <col min="6154" max="6154" width="14.26953125" style="2" bestFit="1" customWidth="1"/>
    <col min="6155" max="6155" width="15" style="2" bestFit="1" customWidth="1"/>
    <col min="6156" max="6156" width="13.7265625" style="2" bestFit="1" customWidth="1"/>
    <col min="6157" max="6400" width="9.1796875" style="2"/>
    <col min="6401" max="6401" width="34.26953125" style="2" bestFit="1" customWidth="1"/>
    <col min="6402" max="6402" width="9.453125" style="2" customWidth="1"/>
    <col min="6403" max="6403" width="7" style="2" customWidth="1"/>
    <col min="6404" max="6404" width="2.54296875" style="2" customWidth="1"/>
    <col min="6405" max="6405" width="26" style="2" customWidth="1"/>
    <col min="6406" max="6406" width="10.1796875" style="2" customWidth="1"/>
    <col min="6407" max="6409" width="9.1796875" style="2"/>
    <col min="6410" max="6410" width="14.26953125" style="2" bestFit="1" customWidth="1"/>
    <col min="6411" max="6411" width="15" style="2" bestFit="1" customWidth="1"/>
    <col min="6412" max="6412" width="13.7265625" style="2" bestFit="1" customWidth="1"/>
    <col min="6413" max="6656" width="9.1796875" style="2"/>
    <col min="6657" max="6657" width="34.26953125" style="2" bestFit="1" customWidth="1"/>
    <col min="6658" max="6658" width="9.453125" style="2" customWidth="1"/>
    <col min="6659" max="6659" width="7" style="2" customWidth="1"/>
    <col min="6660" max="6660" width="2.54296875" style="2" customWidth="1"/>
    <col min="6661" max="6661" width="26" style="2" customWidth="1"/>
    <col min="6662" max="6662" width="10.1796875" style="2" customWidth="1"/>
    <col min="6663" max="6665" width="9.1796875" style="2"/>
    <col min="6666" max="6666" width="14.26953125" style="2" bestFit="1" customWidth="1"/>
    <col min="6667" max="6667" width="15" style="2" bestFit="1" customWidth="1"/>
    <col min="6668" max="6668" width="13.7265625" style="2" bestFit="1" customWidth="1"/>
    <col min="6669" max="6912" width="9.1796875" style="2"/>
    <col min="6913" max="6913" width="34.26953125" style="2" bestFit="1" customWidth="1"/>
    <col min="6914" max="6914" width="9.453125" style="2" customWidth="1"/>
    <col min="6915" max="6915" width="7" style="2" customWidth="1"/>
    <col min="6916" max="6916" width="2.54296875" style="2" customWidth="1"/>
    <col min="6917" max="6917" width="26" style="2" customWidth="1"/>
    <col min="6918" max="6918" width="10.1796875" style="2" customWidth="1"/>
    <col min="6919" max="6921" width="9.1796875" style="2"/>
    <col min="6922" max="6922" width="14.26953125" style="2" bestFit="1" customWidth="1"/>
    <col min="6923" max="6923" width="15" style="2" bestFit="1" customWidth="1"/>
    <col min="6924" max="6924" width="13.7265625" style="2" bestFit="1" customWidth="1"/>
    <col min="6925" max="7168" width="9.1796875" style="2"/>
    <col min="7169" max="7169" width="34.26953125" style="2" bestFit="1" customWidth="1"/>
    <col min="7170" max="7170" width="9.453125" style="2" customWidth="1"/>
    <col min="7171" max="7171" width="7" style="2" customWidth="1"/>
    <col min="7172" max="7172" width="2.54296875" style="2" customWidth="1"/>
    <col min="7173" max="7173" width="26" style="2" customWidth="1"/>
    <col min="7174" max="7174" width="10.1796875" style="2" customWidth="1"/>
    <col min="7175" max="7177" width="9.1796875" style="2"/>
    <col min="7178" max="7178" width="14.26953125" style="2" bestFit="1" customWidth="1"/>
    <col min="7179" max="7179" width="15" style="2" bestFit="1" customWidth="1"/>
    <col min="7180" max="7180" width="13.7265625" style="2" bestFit="1" customWidth="1"/>
    <col min="7181" max="7424" width="9.1796875" style="2"/>
    <col min="7425" max="7425" width="34.26953125" style="2" bestFit="1" customWidth="1"/>
    <col min="7426" max="7426" width="9.453125" style="2" customWidth="1"/>
    <col min="7427" max="7427" width="7" style="2" customWidth="1"/>
    <col min="7428" max="7428" width="2.54296875" style="2" customWidth="1"/>
    <col min="7429" max="7429" width="26" style="2" customWidth="1"/>
    <col min="7430" max="7430" width="10.1796875" style="2" customWidth="1"/>
    <col min="7431" max="7433" width="9.1796875" style="2"/>
    <col min="7434" max="7434" width="14.26953125" style="2" bestFit="1" customWidth="1"/>
    <col min="7435" max="7435" width="15" style="2" bestFit="1" customWidth="1"/>
    <col min="7436" max="7436" width="13.7265625" style="2" bestFit="1" customWidth="1"/>
    <col min="7437" max="7680" width="9.1796875" style="2"/>
    <col min="7681" max="7681" width="34.26953125" style="2" bestFit="1" customWidth="1"/>
    <col min="7682" max="7682" width="9.453125" style="2" customWidth="1"/>
    <col min="7683" max="7683" width="7" style="2" customWidth="1"/>
    <col min="7684" max="7684" width="2.54296875" style="2" customWidth="1"/>
    <col min="7685" max="7685" width="26" style="2" customWidth="1"/>
    <col min="7686" max="7686" width="10.1796875" style="2" customWidth="1"/>
    <col min="7687" max="7689" width="9.1796875" style="2"/>
    <col min="7690" max="7690" width="14.26953125" style="2" bestFit="1" customWidth="1"/>
    <col min="7691" max="7691" width="15" style="2" bestFit="1" customWidth="1"/>
    <col min="7692" max="7692" width="13.7265625" style="2" bestFit="1" customWidth="1"/>
    <col min="7693" max="7936" width="9.1796875" style="2"/>
    <col min="7937" max="7937" width="34.26953125" style="2" bestFit="1" customWidth="1"/>
    <col min="7938" max="7938" width="9.453125" style="2" customWidth="1"/>
    <col min="7939" max="7939" width="7" style="2" customWidth="1"/>
    <col min="7940" max="7940" width="2.54296875" style="2" customWidth="1"/>
    <col min="7941" max="7941" width="26" style="2" customWidth="1"/>
    <col min="7942" max="7942" width="10.1796875" style="2" customWidth="1"/>
    <col min="7943" max="7945" width="9.1796875" style="2"/>
    <col min="7946" max="7946" width="14.26953125" style="2" bestFit="1" customWidth="1"/>
    <col min="7947" max="7947" width="15" style="2" bestFit="1" customWidth="1"/>
    <col min="7948" max="7948" width="13.7265625" style="2" bestFit="1" customWidth="1"/>
    <col min="7949" max="8192" width="9.1796875" style="2"/>
    <col min="8193" max="8193" width="34.26953125" style="2" bestFit="1" customWidth="1"/>
    <col min="8194" max="8194" width="9.453125" style="2" customWidth="1"/>
    <col min="8195" max="8195" width="7" style="2" customWidth="1"/>
    <col min="8196" max="8196" width="2.54296875" style="2" customWidth="1"/>
    <col min="8197" max="8197" width="26" style="2" customWidth="1"/>
    <col min="8198" max="8198" width="10.1796875" style="2" customWidth="1"/>
    <col min="8199" max="8201" width="9.1796875" style="2"/>
    <col min="8202" max="8202" width="14.26953125" style="2" bestFit="1" customWidth="1"/>
    <col min="8203" max="8203" width="15" style="2" bestFit="1" customWidth="1"/>
    <col min="8204" max="8204" width="13.7265625" style="2" bestFit="1" customWidth="1"/>
    <col min="8205" max="8448" width="9.1796875" style="2"/>
    <col min="8449" max="8449" width="34.26953125" style="2" bestFit="1" customWidth="1"/>
    <col min="8450" max="8450" width="9.453125" style="2" customWidth="1"/>
    <col min="8451" max="8451" width="7" style="2" customWidth="1"/>
    <col min="8452" max="8452" width="2.54296875" style="2" customWidth="1"/>
    <col min="8453" max="8453" width="26" style="2" customWidth="1"/>
    <col min="8454" max="8454" width="10.1796875" style="2" customWidth="1"/>
    <col min="8455" max="8457" width="9.1796875" style="2"/>
    <col min="8458" max="8458" width="14.26953125" style="2" bestFit="1" customWidth="1"/>
    <col min="8459" max="8459" width="15" style="2" bestFit="1" customWidth="1"/>
    <col min="8460" max="8460" width="13.7265625" style="2" bestFit="1" customWidth="1"/>
    <col min="8461" max="8704" width="9.1796875" style="2"/>
    <col min="8705" max="8705" width="34.26953125" style="2" bestFit="1" customWidth="1"/>
    <col min="8706" max="8706" width="9.453125" style="2" customWidth="1"/>
    <col min="8707" max="8707" width="7" style="2" customWidth="1"/>
    <col min="8708" max="8708" width="2.54296875" style="2" customWidth="1"/>
    <col min="8709" max="8709" width="26" style="2" customWidth="1"/>
    <col min="8710" max="8710" width="10.1796875" style="2" customWidth="1"/>
    <col min="8711" max="8713" width="9.1796875" style="2"/>
    <col min="8714" max="8714" width="14.26953125" style="2" bestFit="1" customWidth="1"/>
    <col min="8715" max="8715" width="15" style="2" bestFit="1" customWidth="1"/>
    <col min="8716" max="8716" width="13.7265625" style="2" bestFit="1" customWidth="1"/>
    <col min="8717" max="8960" width="9.1796875" style="2"/>
    <col min="8961" max="8961" width="34.26953125" style="2" bestFit="1" customWidth="1"/>
    <col min="8962" max="8962" width="9.453125" style="2" customWidth="1"/>
    <col min="8963" max="8963" width="7" style="2" customWidth="1"/>
    <col min="8964" max="8964" width="2.54296875" style="2" customWidth="1"/>
    <col min="8965" max="8965" width="26" style="2" customWidth="1"/>
    <col min="8966" max="8966" width="10.1796875" style="2" customWidth="1"/>
    <col min="8967" max="8969" width="9.1796875" style="2"/>
    <col min="8970" max="8970" width="14.26953125" style="2" bestFit="1" customWidth="1"/>
    <col min="8971" max="8971" width="15" style="2" bestFit="1" customWidth="1"/>
    <col min="8972" max="8972" width="13.7265625" style="2" bestFit="1" customWidth="1"/>
    <col min="8973" max="9216" width="9.1796875" style="2"/>
    <col min="9217" max="9217" width="34.26953125" style="2" bestFit="1" customWidth="1"/>
    <col min="9218" max="9218" width="9.453125" style="2" customWidth="1"/>
    <col min="9219" max="9219" width="7" style="2" customWidth="1"/>
    <col min="9220" max="9220" width="2.54296875" style="2" customWidth="1"/>
    <col min="9221" max="9221" width="26" style="2" customWidth="1"/>
    <col min="9222" max="9222" width="10.1796875" style="2" customWidth="1"/>
    <col min="9223" max="9225" width="9.1796875" style="2"/>
    <col min="9226" max="9226" width="14.26953125" style="2" bestFit="1" customWidth="1"/>
    <col min="9227" max="9227" width="15" style="2" bestFit="1" customWidth="1"/>
    <col min="9228" max="9228" width="13.7265625" style="2" bestFit="1" customWidth="1"/>
    <col min="9229" max="9472" width="9.1796875" style="2"/>
    <col min="9473" max="9473" width="34.26953125" style="2" bestFit="1" customWidth="1"/>
    <col min="9474" max="9474" width="9.453125" style="2" customWidth="1"/>
    <col min="9475" max="9475" width="7" style="2" customWidth="1"/>
    <col min="9476" max="9476" width="2.54296875" style="2" customWidth="1"/>
    <col min="9477" max="9477" width="26" style="2" customWidth="1"/>
    <col min="9478" max="9478" width="10.1796875" style="2" customWidth="1"/>
    <col min="9479" max="9481" width="9.1796875" style="2"/>
    <col min="9482" max="9482" width="14.26953125" style="2" bestFit="1" customWidth="1"/>
    <col min="9483" max="9483" width="15" style="2" bestFit="1" customWidth="1"/>
    <col min="9484" max="9484" width="13.7265625" style="2" bestFit="1" customWidth="1"/>
    <col min="9485" max="9728" width="9.1796875" style="2"/>
    <col min="9729" max="9729" width="34.26953125" style="2" bestFit="1" customWidth="1"/>
    <col min="9730" max="9730" width="9.453125" style="2" customWidth="1"/>
    <col min="9731" max="9731" width="7" style="2" customWidth="1"/>
    <col min="9732" max="9732" width="2.54296875" style="2" customWidth="1"/>
    <col min="9733" max="9733" width="26" style="2" customWidth="1"/>
    <col min="9734" max="9734" width="10.1796875" style="2" customWidth="1"/>
    <col min="9735" max="9737" width="9.1796875" style="2"/>
    <col min="9738" max="9738" width="14.26953125" style="2" bestFit="1" customWidth="1"/>
    <col min="9739" max="9739" width="15" style="2" bestFit="1" customWidth="1"/>
    <col min="9740" max="9740" width="13.7265625" style="2" bestFit="1" customWidth="1"/>
    <col min="9741" max="9984" width="9.1796875" style="2"/>
    <col min="9985" max="9985" width="34.26953125" style="2" bestFit="1" customWidth="1"/>
    <col min="9986" max="9986" width="9.453125" style="2" customWidth="1"/>
    <col min="9987" max="9987" width="7" style="2" customWidth="1"/>
    <col min="9988" max="9988" width="2.54296875" style="2" customWidth="1"/>
    <col min="9989" max="9989" width="26" style="2" customWidth="1"/>
    <col min="9990" max="9990" width="10.1796875" style="2" customWidth="1"/>
    <col min="9991" max="9993" width="9.1796875" style="2"/>
    <col min="9994" max="9994" width="14.26953125" style="2" bestFit="1" customWidth="1"/>
    <col min="9995" max="9995" width="15" style="2" bestFit="1" customWidth="1"/>
    <col min="9996" max="9996" width="13.7265625" style="2" bestFit="1" customWidth="1"/>
    <col min="9997" max="10240" width="9.1796875" style="2"/>
    <col min="10241" max="10241" width="34.26953125" style="2" bestFit="1" customWidth="1"/>
    <col min="10242" max="10242" width="9.453125" style="2" customWidth="1"/>
    <col min="10243" max="10243" width="7" style="2" customWidth="1"/>
    <col min="10244" max="10244" width="2.54296875" style="2" customWidth="1"/>
    <col min="10245" max="10245" width="26" style="2" customWidth="1"/>
    <col min="10246" max="10246" width="10.1796875" style="2" customWidth="1"/>
    <col min="10247" max="10249" width="9.1796875" style="2"/>
    <col min="10250" max="10250" width="14.26953125" style="2" bestFit="1" customWidth="1"/>
    <col min="10251" max="10251" width="15" style="2" bestFit="1" customWidth="1"/>
    <col min="10252" max="10252" width="13.7265625" style="2" bestFit="1" customWidth="1"/>
    <col min="10253" max="10496" width="9.1796875" style="2"/>
    <col min="10497" max="10497" width="34.26953125" style="2" bestFit="1" customWidth="1"/>
    <col min="10498" max="10498" width="9.453125" style="2" customWidth="1"/>
    <col min="10499" max="10499" width="7" style="2" customWidth="1"/>
    <col min="10500" max="10500" width="2.54296875" style="2" customWidth="1"/>
    <col min="10501" max="10501" width="26" style="2" customWidth="1"/>
    <col min="10502" max="10502" width="10.1796875" style="2" customWidth="1"/>
    <col min="10503" max="10505" width="9.1796875" style="2"/>
    <col min="10506" max="10506" width="14.26953125" style="2" bestFit="1" customWidth="1"/>
    <col min="10507" max="10507" width="15" style="2" bestFit="1" customWidth="1"/>
    <col min="10508" max="10508" width="13.7265625" style="2" bestFit="1" customWidth="1"/>
    <col min="10509" max="10752" width="9.1796875" style="2"/>
    <col min="10753" max="10753" width="34.26953125" style="2" bestFit="1" customWidth="1"/>
    <col min="10754" max="10754" width="9.453125" style="2" customWidth="1"/>
    <col min="10755" max="10755" width="7" style="2" customWidth="1"/>
    <col min="10756" max="10756" width="2.54296875" style="2" customWidth="1"/>
    <col min="10757" max="10757" width="26" style="2" customWidth="1"/>
    <col min="10758" max="10758" width="10.1796875" style="2" customWidth="1"/>
    <col min="10759" max="10761" width="9.1796875" style="2"/>
    <col min="10762" max="10762" width="14.26953125" style="2" bestFit="1" customWidth="1"/>
    <col min="10763" max="10763" width="15" style="2" bestFit="1" customWidth="1"/>
    <col min="10764" max="10764" width="13.7265625" style="2" bestFit="1" customWidth="1"/>
    <col min="10765" max="11008" width="9.1796875" style="2"/>
    <col min="11009" max="11009" width="34.26953125" style="2" bestFit="1" customWidth="1"/>
    <col min="11010" max="11010" width="9.453125" style="2" customWidth="1"/>
    <col min="11011" max="11011" width="7" style="2" customWidth="1"/>
    <col min="11012" max="11012" width="2.54296875" style="2" customWidth="1"/>
    <col min="11013" max="11013" width="26" style="2" customWidth="1"/>
    <col min="11014" max="11014" width="10.1796875" style="2" customWidth="1"/>
    <col min="11015" max="11017" width="9.1796875" style="2"/>
    <col min="11018" max="11018" width="14.26953125" style="2" bestFit="1" customWidth="1"/>
    <col min="11019" max="11019" width="15" style="2" bestFit="1" customWidth="1"/>
    <col min="11020" max="11020" width="13.7265625" style="2" bestFit="1" customWidth="1"/>
    <col min="11021" max="11264" width="9.1796875" style="2"/>
    <col min="11265" max="11265" width="34.26953125" style="2" bestFit="1" customWidth="1"/>
    <col min="11266" max="11266" width="9.453125" style="2" customWidth="1"/>
    <col min="11267" max="11267" width="7" style="2" customWidth="1"/>
    <col min="11268" max="11268" width="2.54296875" style="2" customWidth="1"/>
    <col min="11269" max="11269" width="26" style="2" customWidth="1"/>
    <col min="11270" max="11270" width="10.1796875" style="2" customWidth="1"/>
    <col min="11271" max="11273" width="9.1796875" style="2"/>
    <col min="11274" max="11274" width="14.26953125" style="2" bestFit="1" customWidth="1"/>
    <col min="11275" max="11275" width="15" style="2" bestFit="1" customWidth="1"/>
    <col min="11276" max="11276" width="13.7265625" style="2" bestFit="1" customWidth="1"/>
    <col min="11277" max="11520" width="9.1796875" style="2"/>
    <col min="11521" max="11521" width="34.26953125" style="2" bestFit="1" customWidth="1"/>
    <col min="11522" max="11522" width="9.453125" style="2" customWidth="1"/>
    <col min="11523" max="11523" width="7" style="2" customWidth="1"/>
    <col min="11524" max="11524" width="2.54296875" style="2" customWidth="1"/>
    <col min="11525" max="11525" width="26" style="2" customWidth="1"/>
    <col min="11526" max="11526" width="10.1796875" style="2" customWidth="1"/>
    <col min="11527" max="11529" width="9.1796875" style="2"/>
    <col min="11530" max="11530" width="14.26953125" style="2" bestFit="1" customWidth="1"/>
    <col min="11531" max="11531" width="15" style="2" bestFit="1" customWidth="1"/>
    <col min="11532" max="11532" width="13.7265625" style="2" bestFit="1" customWidth="1"/>
    <col min="11533" max="11776" width="9.1796875" style="2"/>
    <col min="11777" max="11777" width="34.26953125" style="2" bestFit="1" customWidth="1"/>
    <col min="11778" max="11778" width="9.453125" style="2" customWidth="1"/>
    <col min="11779" max="11779" width="7" style="2" customWidth="1"/>
    <col min="11780" max="11780" width="2.54296875" style="2" customWidth="1"/>
    <col min="11781" max="11781" width="26" style="2" customWidth="1"/>
    <col min="11782" max="11782" width="10.1796875" style="2" customWidth="1"/>
    <col min="11783" max="11785" width="9.1796875" style="2"/>
    <col min="11786" max="11786" width="14.26953125" style="2" bestFit="1" customWidth="1"/>
    <col min="11787" max="11787" width="15" style="2" bestFit="1" customWidth="1"/>
    <col min="11788" max="11788" width="13.7265625" style="2" bestFit="1" customWidth="1"/>
    <col min="11789" max="12032" width="9.1796875" style="2"/>
    <col min="12033" max="12033" width="34.26953125" style="2" bestFit="1" customWidth="1"/>
    <col min="12034" max="12034" width="9.453125" style="2" customWidth="1"/>
    <col min="12035" max="12035" width="7" style="2" customWidth="1"/>
    <col min="12036" max="12036" width="2.54296875" style="2" customWidth="1"/>
    <col min="12037" max="12037" width="26" style="2" customWidth="1"/>
    <col min="12038" max="12038" width="10.1796875" style="2" customWidth="1"/>
    <col min="12039" max="12041" width="9.1796875" style="2"/>
    <col min="12042" max="12042" width="14.26953125" style="2" bestFit="1" customWidth="1"/>
    <col min="12043" max="12043" width="15" style="2" bestFit="1" customWidth="1"/>
    <col min="12044" max="12044" width="13.7265625" style="2" bestFit="1" customWidth="1"/>
    <col min="12045" max="12288" width="9.1796875" style="2"/>
    <col min="12289" max="12289" width="34.26953125" style="2" bestFit="1" customWidth="1"/>
    <col min="12290" max="12290" width="9.453125" style="2" customWidth="1"/>
    <col min="12291" max="12291" width="7" style="2" customWidth="1"/>
    <col min="12292" max="12292" width="2.54296875" style="2" customWidth="1"/>
    <col min="12293" max="12293" width="26" style="2" customWidth="1"/>
    <col min="12294" max="12294" width="10.1796875" style="2" customWidth="1"/>
    <col min="12295" max="12297" width="9.1796875" style="2"/>
    <col min="12298" max="12298" width="14.26953125" style="2" bestFit="1" customWidth="1"/>
    <col min="12299" max="12299" width="15" style="2" bestFit="1" customWidth="1"/>
    <col min="12300" max="12300" width="13.7265625" style="2" bestFit="1" customWidth="1"/>
    <col min="12301" max="12544" width="9.1796875" style="2"/>
    <col min="12545" max="12545" width="34.26953125" style="2" bestFit="1" customWidth="1"/>
    <col min="12546" max="12546" width="9.453125" style="2" customWidth="1"/>
    <col min="12547" max="12547" width="7" style="2" customWidth="1"/>
    <col min="12548" max="12548" width="2.54296875" style="2" customWidth="1"/>
    <col min="12549" max="12549" width="26" style="2" customWidth="1"/>
    <col min="12550" max="12550" width="10.1796875" style="2" customWidth="1"/>
    <col min="12551" max="12553" width="9.1796875" style="2"/>
    <col min="12554" max="12554" width="14.26953125" style="2" bestFit="1" customWidth="1"/>
    <col min="12555" max="12555" width="15" style="2" bestFit="1" customWidth="1"/>
    <col min="12556" max="12556" width="13.7265625" style="2" bestFit="1" customWidth="1"/>
    <col min="12557" max="12800" width="9.1796875" style="2"/>
    <col min="12801" max="12801" width="34.26953125" style="2" bestFit="1" customWidth="1"/>
    <col min="12802" max="12802" width="9.453125" style="2" customWidth="1"/>
    <col min="12803" max="12803" width="7" style="2" customWidth="1"/>
    <col min="12804" max="12804" width="2.54296875" style="2" customWidth="1"/>
    <col min="12805" max="12805" width="26" style="2" customWidth="1"/>
    <col min="12806" max="12806" width="10.1796875" style="2" customWidth="1"/>
    <col min="12807" max="12809" width="9.1796875" style="2"/>
    <col min="12810" max="12810" width="14.26953125" style="2" bestFit="1" customWidth="1"/>
    <col min="12811" max="12811" width="15" style="2" bestFit="1" customWidth="1"/>
    <col min="12812" max="12812" width="13.7265625" style="2" bestFit="1" customWidth="1"/>
    <col min="12813" max="13056" width="9.1796875" style="2"/>
    <col min="13057" max="13057" width="34.26953125" style="2" bestFit="1" customWidth="1"/>
    <col min="13058" max="13058" width="9.453125" style="2" customWidth="1"/>
    <col min="13059" max="13059" width="7" style="2" customWidth="1"/>
    <col min="13060" max="13060" width="2.54296875" style="2" customWidth="1"/>
    <col min="13061" max="13061" width="26" style="2" customWidth="1"/>
    <col min="13062" max="13062" width="10.1796875" style="2" customWidth="1"/>
    <col min="13063" max="13065" width="9.1796875" style="2"/>
    <col min="13066" max="13066" width="14.26953125" style="2" bestFit="1" customWidth="1"/>
    <col min="13067" max="13067" width="15" style="2" bestFit="1" customWidth="1"/>
    <col min="13068" max="13068" width="13.7265625" style="2" bestFit="1" customWidth="1"/>
    <col min="13069" max="13312" width="9.1796875" style="2"/>
    <col min="13313" max="13313" width="34.26953125" style="2" bestFit="1" customWidth="1"/>
    <col min="13314" max="13314" width="9.453125" style="2" customWidth="1"/>
    <col min="13315" max="13315" width="7" style="2" customWidth="1"/>
    <col min="13316" max="13316" width="2.54296875" style="2" customWidth="1"/>
    <col min="13317" max="13317" width="26" style="2" customWidth="1"/>
    <col min="13318" max="13318" width="10.1796875" style="2" customWidth="1"/>
    <col min="13319" max="13321" width="9.1796875" style="2"/>
    <col min="13322" max="13322" width="14.26953125" style="2" bestFit="1" customWidth="1"/>
    <col min="13323" max="13323" width="15" style="2" bestFit="1" customWidth="1"/>
    <col min="13324" max="13324" width="13.7265625" style="2" bestFit="1" customWidth="1"/>
    <col min="13325" max="13568" width="9.1796875" style="2"/>
    <col min="13569" max="13569" width="34.26953125" style="2" bestFit="1" customWidth="1"/>
    <col min="13570" max="13570" width="9.453125" style="2" customWidth="1"/>
    <col min="13571" max="13571" width="7" style="2" customWidth="1"/>
    <col min="13572" max="13572" width="2.54296875" style="2" customWidth="1"/>
    <col min="13573" max="13573" width="26" style="2" customWidth="1"/>
    <col min="13574" max="13574" width="10.1796875" style="2" customWidth="1"/>
    <col min="13575" max="13577" width="9.1796875" style="2"/>
    <col min="13578" max="13578" width="14.26953125" style="2" bestFit="1" customWidth="1"/>
    <col min="13579" max="13579" width="15" style="2" bestFit="1" customWidth="1"/>
    <col min="13580" max="13580" width="13.7265625" style="2" bestFit="1" customWidth="1"/>
    <col min="13581" max="13824" width="9.1796875" style="2"/>
    <col min="13825" max="13825" width="34.26953125" style="2" bestFit="1" customWidth="1"/>
    <col min="13826" max="13826" width="9.453125" style="2" customWidth="1"/>
    <col min="13827" max="13827" width="7" style="2" customWidth="1"/>
    <col min="13828" max="13828" width="2.54296875" style="2" customWidth="1"/>
    <col min="13829" max="13829" width="26" style="2" customWidth="1"/>
    <col min="13830" max="13830" width="10.1796875" style="2" customWidth="1"/>
    <col min="13831" max="13833" width="9.1796875" style="2"/>
    <col min="13834" max="13834" width="14.26953125" style="2" bestFit="1" customWidth="1"/>
    <col min="13835" max="13835" width="15" style="2" bestFit="1" customWidth="1"/>
    <col min="13836" max="13836" width="13.7265625" style="2" bestFit="1" customWidth="1"/>
    <col min="13837" max="14080" width="9.1796875" style="2"/>
    <col min="14081" max="14081" width="34.26953125" style="2" bestFit="1" customWidth="1"/>
    <col min="14082" max="14082" width="9.453125" style="2" customWidth="1"/>
    <col min="14083" max="14083" width="7" style="2" customWidth="1"/>
    <col min="14084" max="14084" width="2.54296875" style="2" customWidth="1"/>
    <col min="14085" max="14085" width="26" style="2" customWidth="1"/>
    <col min="14086" max="14086" width="10.1796875" style="2" customWidth="1"/>
    <col min="14087" max="14089" width="9.1796875" style="2"/>
    <col min="14090" max="14090" width="14.26953125" style="2" bestFit="1" customWidth="1"/>
    <col min="14091" max="14091" width="15" style="2" bestFit="1" customWidth="1"/>
    <col min="14092" max="14092" width="13.7265625" style="2" bestFit="1" customWidth="1"/>
    <col min="14093" max="14336" width="9.1796875" style="2"/>
    <col min="14337" max="14337" width="34.26953125" style="2" bestFit="1" customWidth="1"/>
    <col min="14338" max="14338" width="9.453125" style="2" customWidth="1"/>
    <col min="14339" max="14339" width="7" style="2" customWidth="1"/>
    <col min="14340" max="14340" width="2.54296875" style="2" customWidth="1"/>
    <col min="14341" max="14341" width="26" style="2" customWidth="1"/>
    <col min="14342" max="14342" width="10.1796875" style="2" customWidth="1"/>
    <col min="14343" max="14345" width="9.1796875" style="2"/>
    <col min="14346" max="14346" width="14.26953125" style="2" bestFit="1" customWidth="1"/>
    <col min="14347" max="14347" width="15" style="2" bestFit="1" customWidth="1"/>
    <col min="14348" max="14348" width="13.7265625" style="2" bestFit="1" customWidth="1"/>
    <col min="14349" max="14592" width="9.1796875" style="2"/>
    <col min="14593" max="14593" width="34.26953125" style="2" bestFit="1" customWidth="1"/>
    <col min="14594" max="14594" width="9.453125" style="2" customWidth="1"/>
    <col min="14595" max="14595" width="7" style="2" customWidth="1"/>
    <col min="14596" max="14596" width="2.54296875" style="2" customWidth="1"/>
    <col min="14597" max="14597" width="26" style="2" customWidth="1"/>
    <col min="14598" max="14598" width="10.1796875" style="2" customWidth="1"/>
    <col min="14599" max="14601" width="9.1796875" style="2"/>
    <col min="14602" max="14602" width="14.26953125" style="2" bestFit="1" customWidth="1"/>
    <col min="14603" max="14603" width="15" style="2" bestFit="1" customWidth="1"/>
    <col min="14604" max="14604" width="13.7265625" style="2" bestFit="1" customWidth="1"/>
    <col min="14605" max="14848" width="9.1796875" style="2"/>
    <col min="14849" max="14849" width="34.26953125" style="2" bestFit="1" customWidth="1"/>
    <col min="14850" max="14850" width="9.453125" style="2" customWidth="1"/>
    <col min="14851" max="14851" width="7" style="2" customWidth="1"/>
    <col min="14852" max="14852" width="2.54296875" style="2" customWidth="1"/>
    <col min="14853" max="14853" width="26" style="2" customWidth="1"/>
    <col min="14854" max="14854" width="10.1796875" style="2" customWidth="1"/>
    <col min="14855" max="14857" width="9.1796875" style="2"/>
    <col min="14858" max="14858" width="14.26953125" style="2" bestFit="1" customWidth="1"/>
    <col min="14859" max="14859" width="15" style="2" bestFit="1" customWidth="1"/>
    <col min="14860" max="14860" width="13.7265625" style="2" bestFit="1" customWidth="1"/>
    <col min="14861" max="15104" width="9.1796875" style="2"/>
    <col min="15105" max="15105" width="34.26953125" style="2" bestFit="1" customWidth="1"/>
    <col min="15106" max="15106" width="9.453125" style="2" customWidth="1"/>
    <col min="15107" max="15107" width="7" style="2" customWidth="1"/>
    <col min="15108" max="15108" width="2.54296875" style="2" customWidth="1"/>
    <col min="15109" max="15109" width="26" style="2" customWidth="1"/>
    <col min="15110" max="15110" width="10.1796875" style="2" customWidth="1"/>
    <col min="15111" max="15113" width="9.1796875" style="2"/>
    <col min="15114" max="15114" width="14.26953125" style="2" bestFit="1" customWidth="1"/>
    <col min="15115" max="15115" width="15" style="2" bestFit="1" customWidth="1"/>
    <col min="15116" max="15116" width="13.7265625" style="2" bestFit="1" customWidth="1"/>
    <col min="15117" max="15360" width="9.1796875" style="2"/>
    <col min="15361" max="15361" width="34.26953125" style="2" bestFit="1" customWidth="1"/>
    <col min="15362" max="15362" width="9.453125" style="2" customWidth="1"/>
    <col min="15363" max="15363" width="7" style="2" customWidth="1"/>
    <col min="15364" max="15364" width="2.54296875" style="2" customWidth="1"/>
    <col min="15365" max="15365" width="26" style="2" customWidth="1"/>
    <col min="15366" max="15366" width="10.1796875" style="2" customWidth="1"/>
    <col min="15367" max="15369" width="9.1796875" style="2"/>
    <col min="15370" max="15370" width="14.26953125" style="2" bestFit="1" customWidth="1"/>
    <col min="15371" max="15371" width="15" style="2" bestFit="1" customWidth="1"/>
    <col min="15372" max="15372" width="13.7265625" style="2" bestFit="1" customWidth="1"/>
    <col min="15373" max="15616" width="9.1796875" style="2"/>
    <col min="15617" max="15617" width="34.26953125" style="2" bestFit="1" customWidth="1"/>
    <col min="15618" max="15618" width="9.453125" style="2" customWidth="1"/>
    <col min="15619" max="15619" width="7" style="2" customWidth="1"/>
    <col min="15620" max="15620" width="2.54296875" style="2" customWidth="1"/>
    <col min="15621" max="15621" width="26" style="2" customWidth="1"/>
    <col min="15622" max="15622" width="10.1796875" style="2" customWidth="1"/>
    <col min="15623" max="15625" width="9.1796875" style="2"/>
    <col min="15626" max="15626" width="14.26953125" style="2" bestFit="1" customWidth="1"/>
    <col min="15627" max="15627" width="15" style="2" bestFit="1" customWidth="1"/>
    <col min="15628" max="15628" width="13.7265625" style="2" bestFit="1" customWidth="1"/>
    <col min="15629" max="15872" width="9.1796875" style="2"/>
    <col min="15873" max="15873" width="34.26953125" style="2" bestFit="1" customWidth="1"/>
    <col min="15874" max="15874" width="9.453125" style="2" customWidth="1"/>
    <col min="15875" max="15875" width="7" style="2" customWidth="1"/>
    <col min="15876" max="15876" width="2.54296875" style="2" customWidth="1"/>
    <col min="15877" max="15877" width="26" style="2" customWidth="1"/>
    <col min="15878" max="15878" width="10.1796875" style="2" customWidth="1"/>
    <col min="15879" max="15881" width="9.1796875" style="2"/>
    <col min="15882" max="15882" width="14.26953125" style="2" bestFit="1" customWidth="1"/>
    <col min="15883" max="15883" width="15" style="2" bestFit="1" customWidth="1"/>
    <col min="15884" max="15884" width="13.7265625" style="2" bestFit="1" customWidth="1"/>
    <col min="15885" max="16128" width="9.1796875" style="2"/>
    <col min="16129" max="16129" width="34.26953125" style="2" bestFit="1" customWidth="1"/>
    <col min="16130" max="16130" width="9.453125" style="2" customWidth="1"/>
    <col min="16131" max="16131" width="7" style="2" customWidth="1"/>
    <col min="16132" max="16132" width="2.54296875" style="2" customWidth="1"/>
    <col min="16133" max="16133" width="26" style="2" customWidth="1"/>
    <col min="16134" max="16134" width="10.1796875" style="2" customWidth="1"/>
    <col min="16135" max="16137" width="9.1796875" style="2"/>
    <col min="16138" max="16138" width="14.26953125" style="2" bestFit="1" customWidth="1"/>
    <col min="16139" max="16139" width="15" style="2" bestFit="1" customWidth="1"/>
    <col min="16140" max="16140" width="13.7265625" style="2" bestFit="1" customWidth="1"/>
    <col min="16141" max="16384" width="9.1796875" style="2"/>
  </cols>
  <sheetData>
    <row r="1" spans="1:13" ht="14.5" x14ac:dyDescent="0.3">
      <c r="I1"/>
    </row>
    <row r="3" spans="1:13" ht="18" x14ac:dyDescent="0.4">
      <c r="A3" s="3" t="s">
        <v>0</v>
      </c>
    </row>
    <row r="4" spans="1:13" ht="13" customHeight="1" x14ac:dyDescent="0.3">
      <c r="A4" s="2" t="s">
        <v>307</v>
      </c>
      <c r="B4" s="201" t="s">
        <v>316</v>
      </c>
      <c r="C4" s="201"/>
      <c r="F4" s="4" t="str">
        <f>IF(F5&lt;100,"Minimum On-Time Too Low. Reduce Operating Frequency!","")</f>
        <v/>
      </c>
    </row>
    <row r="5" spans="1:13" ht="13" customHeight="1" x14ac:dyDescent="0.3">
      <c r="A5" s="2" t="s">
        <v>1</v>
      </c>
      <c r="B5" s="32">
        <v>400</v>
      </c>
      <c r="C5" s="5" t="s">
        <v>2</v>
      </c>
      <c r="E5" s="2" t="s">
        <v>3</v>
      </c>
      <c r="F5" s="80">
        <f>D*1000000000/(Fs*1000)</f>
        <v>1133.3989592781129</v>
      </c>
      <c r="G5" s="5" t="s">
        <v>4</v>
      </c>
    </row>
    <row r="6" spans="1:13" ht="13" customHeight="1" x14ac:dyDescent="0.3">
      <c r="A6" s="2" t="str">
        <f>IF(OR(Vin&lt;3.8,Vin&gt;60),"Input Voltage Out of Range","Input Voltage (3.8V-60V)")</f>
        <v>Input Voltage (3.8V-60V)</v>
      </c>
      <c r="B6" s="32">
        <v>12</v>
      </c>
      <c r="C6" s="5" t="s">
        <v>5</v>
      </c>
      <c r="E6" s="2" t="s">
        <v>6</v>
      </c>
      <c r="F6" s="6">
        <f>(Vout + (Iout*((DCR+Ron_l)/1000)))/(Vin+(Iout*((Ron_l-Ron_u)/1000)))</f>
        <v>0.45335958371124513</v>
      </c>
      <c r="G6" s="5"/>
      <c r="H6" s="7"/>
    </row>
    <row r="7" spans="1:13" ht="13" customHeight="1" x14ac:dyDescent="0.3">
      <c r="A7" s="2" t="str">
        <f>IF(OR(Vout&lt;0.8,Vout&gt;Vin), "Output Voltage Out of Range", "Ouptut Voltage")</f>
        <v>Ouptut Voltage</v>
      </c>
      <c r="B7" s="32">
        <v>5</v>
      </c>
      <c r="C7" s="5" t="s">
        <v>5</v>
      </c>
      <c r="E7" s="2" t="s">
        <v>7</v>
      </c>
      <c r="F7" s="8">
        <f>Vout/Iout</f>
        <v>1.6666666666666667</v>
      </c>
      <c r="G7" s="5" t="s">
        <v>8</v>
      </c>
    </row>
    <row r="8" spans="1:13" ht="13" customHeight="1" x14ac:dyDescent="0.3">
      <c r="A8" s="2" t="s">
        <v>277</v>
      </c>
      <c r="B8" s="32">
        <v>3</v>
      </c>
      <c r="C8" s="5" t="s">
        <v>10</v>
      </c>
    </row>
    <row r="9" spans="1:13" ht="13" customHeight="1" x14ac:dyDescent="0.3">
      <c r="B9" s="9"/>
      <c r="E9" s="2" t="s">
        <v>11</v>
      </c>
      <c r="F9" s="6">
        <f>Iout*SQRT(D)*SQRT(1+1/3*(Irip/2/Iout)^2)</f>
        <v>2.0306838764974118</v>
      </c>
      <c r="G9" s="5" t="s">
        <v>10</v>
      </c>
    </row>
    <row r="10" spans="1:13" ht="13" customHeight="1" x14ac:dyDescent="0.3">
      <c r="A10" s="10" t="s">
        <v>12</v>
      </c>
      <c r="B10" s="9"/>
      <c r="E10" s="2" t="s">
        <v>13</v>
      </c>
      <c r="F10" s="6">
        <f>Iout*SQRT(1-D)*SQRT(1+1/3*(Irip/2/Iout)^2)</f>
        <v>2.2298301808473515</v>
      </c>
      <c r="G10" s="5" t="s">
        <v>10</v>
      </c>
    </row>
    <row r="11" spans="1:13" ht="13" customHeight="1" x14ac:dyDescent="0.3">
      <c r="A11" s="11" t="s">
        <v>14</v>
      </c>
      <c r="B11" s="33">
        <v>40</v>
      </c>
      <c r="C11" s="12" t="s">
        <v>15</v>
      </c>
      <c r="F11" s="9"/>
    </row>
    <row r="12" spans="1:13" ht="13" customHeight="1" x14ac:dyDescent="0.3">
      <c r="A12" s="11"/>
      <c r="B12" s="11"/>
      <c r="C12" s="11"/>
      <c r="E12" s="2" t="s">
        <v>18</v>
      </c>
      <c r="F12" s="6">
        <f>(Vin-Vout)*((Vout)/(Vin*Lout*10^(-6)*Fs*10^3))</f>
        <v>1.0723039215686276</v>
      </c>
      <c r="G12" s="5" t="s">
        <v>19</v>
      </c>
    </row>
    <row r="13" spans="1:13" ht="13" customHeight="1" x14ac:dyDescent="0.3">
      <c r="A13" s="11" t="s">
        <v>16</v>
      </c>
      <c r="B13" s="30">
        <f>IF(OR(B4="AL88902Q",B4="AL88902Q"),MAX(Vout*1000000*Rt/(Fs*1000*Se),(((Vin-Vout)*D)/((Fs*10^3)*2*(LIR/100)))*10^6),MAX(Vout*1000000*Rt/(Fs*1000*Se),(((Vin-Vout)*D)/((Fs*10^3)*3*(LIR/100)))*10^6))</f>
        <v>7.5</v>
      </c>
      <c r="C13" s="12" t="s">
        <v>17</v>
      </c>
      <c r="G13" s="11"/>
      <c r="H13" s="7"/>
      <c r="J13" s="4"/>
      <c r="K13" s="4"/>
      <c r="L13" s="4"/>
      <c r="M13" s="4"/>
    </row>
    <row r="14" spans="1:13" ht="13" customHeight="1" x14ac:dyDescent="0.3">
      <c r="A14" s="2" t="s">
        <v>282</v>
      </c>
      <c r="B14" s="138">
        <v>6.8</v>
      </c>
      <c r="C14" s="5" t="s">
        <v>17</v>
      </c>
      <c r="E14" s="2" t="s">
        <v>274</v>
      </c>
      <c r="F14" s="34">
        <v>2</v>
      </c>
      <c r="G14" s="5" t="s">
        <v>275</v>
      </c>
      <c r="J14" s="117"/>
      <c r="K14" s="117" t="s">
        <v>31</v>
      </c>
      <c r="L14" s="117" t="s">
        <v>21</v>
      </c>
      <c r="M14" s="4"/>
    </row>
    <row r="15" spans="1:13" ht="13" customHeight="1" x14ac:dyDescent="0.3">
      <c r="A15" s="15" t="s">
        <v>22</v>
      </c>
      <c r="B15" s="34">
        <v>30</v>
      </c>
      <c r="C15" s="5" t="s">
        <v>23</v>
      </c>
      <c r="E15" s="2" t="s">
        <v>276</v>
      </c>
      <c r="F15" s="34">
        <v>5</v>
      </c>
      <c r="G15" s="5" t="s">
        <v>5</v>
      </c>
      <c r="J15" s="117" t="s">
        <v>24</v>
      </c>
      <c r="K15" s="118">
        <f>B42</f>
        <v>0.71751979909038066</v>
      </c>
      <c r="L15" s="118">
        <f>B43+B44+B45+B46</f>
        <v>3.3550344827586211E-2</v>
      </c>
      <c r="M15" s="4"/>
    </row>
    <row r="16" spans="1:13" ht="13" customHeight="1" x14ac:dyDescent="0.3">
      <c r="A16" s="15"/>
      <c r="B16" s="9"/>
      <c r="E16" s="81" t="s">
        <v>286</v>
      </c>
      <c r="F16" s="34">
        <v>0</v>
      </c>
      <c r="G16" s="5" t="s">
        <v>5</v>
      </c>
      <c r="J16" s="117" t="s">
        <v>25</v>
      </c>
      <c r="K16" s="118">
        <f>B59</f>
        <v>0.34461423391816759</v>
      </c>
      <c r="L16" s="118">
        <f>B60+B61+B62</f>
        <v>2.343060901181665E-2</v>
      </c>
      <c r="M16" s="4"/>
    </row>
    <row r="17" spans="1:13" ht="13" customHeight="1" x14ac:dyDescent="0.4">
      <c r="A17" s="10" t="s">
        <v>281</v>
      </c>
      <c r="B17" s="9"/>
      <c r="D17" s="11"/>
      <c r="E17" s="11" t="s">
        <v>278</v>
      </c>
      <c r="F17" s="124" t="str">
        <f>IF(F14&lt;2.01, "VCC", 1.255*F14)</f>
        <v>VCC</v>
      </c>
      <c r="G17" s="5" t="s">
        <v>47</v>
      </c>
      <c r="J17" s="117" t="s">
        <v>26</v>
      </c>
      <c r="K17" s="118">
        <f>+B71</f>
        <v>0</v>
      </c>
      <c r="L17" s="118">
        <f>B69+B70</f>
        <v>7.9999999999999993E-4</v>
      </c>
      <c r="M17" s="4"/>
    </row>
    <row r="18" spans="1:13" ht="13" customHeight="1" x14ac:dyDescent="0.4">
      <c r="A18" s="2" t="s">
        <v>27</v>
      </c>
      <c r="B18" s="34">
        <v>2</v>
      </c>
      <c r="D18" s="11"/>
      <c r="E18" s="11" t="s">
        <v>283</v>
      </c>
      <c r="F18" s="126">
        <f>IF(Fs=500, "VCC", 267000/Fs-26)</f>
        <v>641.5</v>
      </c>
      <c r="G18" s="5" t="s">
        <v>279</v>
      </c>
      <c r="J18" s="117" t="s">
        <v>20</v>
      </c>
      <c r="K18" s="118">
        <f>B76</f>
        <v>0.28149835700211456</v>
      </c>
      <c r="L18" s="118">
        <f>B75</f>
        <v>1.2963177953722944E-2</v>
      </c>
      <c r="M18" s="4"/>
    </row>
    <row r="19" spans="1:13" ht="13" customHeight="1" x14ac:dyDescent="0.3">
      <c r="A19" s="2" t="s">
        <v>28</v>
      </c>
      <c r="B19" s="34">
        <v>22</v>
      </c>
      <c r="C19" s="5" t="s">
        <v>29</v>
      </c>
      <c r="J19" s="117" t="s">
        <v>30</v>
      </c>
      <c r="K19" s="119">
        <f>B80</f>
        <v>1.4372946252643221E-4</v>
      </c>
      <c r="M19" s="4"/>
    </row>
    <row r="20" spans="1:13" ht="13" customHeight="1" x14ac:dyDescent="0.3">
      <c r="A20" s="2" t="s">
        <v>32</v>
      </c>
      <c r="B20" s="34">
        <v>3</v>
      </c>
      <c r="C20" s="5" t="s">
        <v>23</v>
      </c>
      <c r="E20" s="2" t="str">
        <f>IF(F20&lt;3.5, "UVLO is too Low", "Program UVLO:                    VON")</f>
        <v>Program UVLO:                    VON</v>
      </c>
      <c r="F20" s="32">
        <v>3.5</v>
      </c>
      <c r="G20" s="5" t="s">
        <v>5</v>
      </c>
      <c r="J20" s="4"/>
      <c r="K20" s="4"/>
      <c r="L20" s="4"/>
      <c r="M20" s="4"/>
    </row>
    <row r="21" spans="1:13" ht="13" customHeight="1" x14ac:dyDescent="0.3">
      <c r="B21" s="17"/>
      <c r="E21" s="130" t="s">
        <v>308</v>
      </c>
      <c r="F21" s="126" t="str">
        <f>IF(F20&lt;3.501, "VIN", 100)</f>
        <v>VIN</v>
      </c>
      <c r="G21" s="5" t="s">
        <v>279</v>
      </c>
      <c r="J21" s="4"/>
      <c r="K21" s="4"/>
      <c r="L21" s="4"/>
      <c r="M21" s="4"/>
    </row>
    <row r="22" spans="1:13" ht="13" customHeight="1" x14ac:dyDescent="0.3">
      <c r="A22" s="10" t="s">
        <v>33</v>
      </c>
      <c r="E22" s="130" t="s">
        <v>271</v>
      </c>
      <c r="F22" s="126" t="str">
        <f>IF(F20&lt;3.502, "Open", F21/(F20/1.4-1))</f>
        <v>Open</v>
      </c>
      <c r="G22" s="5" t="s">
        <v>279</v>
      </c>
      <c r="J22" s="4"/>
      <c r="K22" s="4"/>
      <c r="L22" s="4"/>
      <c r="M22" s="4"/>
    </row>
    <row r="23" spans="1:13" ht="13" customHeight="1" x14ac:dyDescent="0.3">
      <c r="A23" s="2" t="s">
        <v>34</v>
      </c>
      <c r="B23" s="80">
        <f>IF(OR(B4="AL88902Q",B4="AL88902Q"),150*(1+0.005*(F27-25))*(1+150*0.001*Iout^2*Vout/Vin),120*(1+0.005*(F27-25))*(1+120*0.001*Iout^2*Vout/Vin))</f>
        <v>174</v>
      </c>
      <c r="C23" s="5" t="s">
        <v>23</v>
      </c>
      <c r="E23" s="7"/>
      <c r="J23" s="140" t="s">
        <v>317</v>
      </c>
      <c r="K23" s="4"/>
      <c r="L23" s="4"/>
      <c r="M23" s="4"/>
    </row>
    <row r="24" spans="1:13" ht="13" customHeight="1" x14ac:dyDescent="0.3">
      <c r="E24" s="7"/>
      <c r="J24" s="140" t="s">
        <v>319</v>
      </c>
    </row>
    <row r="25" spans="1:13" ht="13" customHeight="1" x14ac:dyDescent="0.3">
      <c r="A25" s="10" t="s">
        <v>35</v>
      </c>
      <c r="B25" s="17"/>
      <c r="E25" s="7"/>
      <c r="J25" s="140" t="s">
        <v>316</v>
      </c>
    </row>
    <row r="26" spans="1:13" ht="13" customHeight="1" x14ac:dyDescent="0.3">
      <c r="A26" s="2" t="s">
        <v>34</v>
      </c>
      <c r="B26" s="80">
        <f>IF(OR(B4="AL88902Q",B4="AL88902Q"),80*(1+0.005*(F27-25))*(1+80*0.001*Iout^2*(1-Vout/Vin)),54*(1+0.005*(F27-25))*(1+54*0.001*Iout^2*(1-Vout/Vin)))</f>
        <v>69.308999999999997</v>
      </c>
      <c r="C26" s="5" t="s">
        <v>23</v>
      </c>
      <c r="E26" s="2" t="s">
        <v>159</v>
      </c>
      <c r="F26" s="137">
        <v>35</v>
      </c>
      <c r="G26" s="5" t="s">
        <v>160</v>
      </c>
      <c r="J26" s="140" t="s">
        <v>318</v>
      </c>
    </row>
    <row r="27" spans="1:13" ht="13" customHeight="1" x14ac:dyDescent="0.3">
      <c r="B27" s="17"/>
      <c r="E27" s="2" t="s">
        <v>161</v>
      </c>
      <c r="F27" s="137">
        <v>25</v>
      </c>
      <c r="G27" s="5" t="s">
        <v>162</v>
      </c>
      <c r="J27" s="140"/>
    </row>
    <row r="28" spans="1:13" ht="13" customHeight="1" x14ac:dyDescent="0.35">
      <c r="A28" s="18" t="s">
        <v>36</v>
      </c>
      <c r="B28" s="19">
        <f>Tloss</f>
        <v>1.4543765218037885</v>
      </c>
      <c r="C28" s="20" t="s">
        <v>37</v>
      </c>
      <c r="E28" s="2" t="s">
        <v>315</v>
      </c>
      <c r="F28" s="31">
        <f>+F27+F26*F29</f>
        <v>64.197024539678281</v>
      </c>
      <c r="G28" s="5" t="str">
        <f>IF(F28&gt;J28, "Thermal too high","°C")</f>
        <v>°C</v>
      </c>
      <c r="J28" s="140">
        <f>IF(OR(B4="AL88902Q", B4="AL8890Q"), 125, 150)</f>
        <v>125</v>
      </c>
    </row>
    <row r="29" spans="1:13" ht="13" customHeight="1" x14ac:dyDescent="0.35">
      <c r="A29" s="18" t="s">
        <v>38</v>
      </c>
      <c r="B29" s="125">
        <f>Efficiency</f>
        <v>91.161156912408174</v>
      </c>
      <c r="C29" s="20" t="s">
        <v>15</v>
      </c>
      <c r="E29" s="2" t="s">
        <v>39</v>
      </c>
      <c r="F29" s="21">
        <f>+K15+L15+K16+L16+L17</f>
        <v>1.119914986847951</v>
      </c>
      <c r="G29" s="22" t="s">
        <v>40</v>
      </c>
    </row>
    <row r="30" spans="1:13" ht="13" customHeight="1" thickBot="1" x14ac:dyDescent="0.35">
      <c r="A30" s="1"/>
      <c r="B30" s="23"/>
      <c r="C30" s="1"/>
      <c r="D30" s="1"/>
      <c r="E30" s="1"/>
      <c r="F30" s="1"/>
      <c r="G30" s="1"/>
      <c r="H30" s="1"/>
    </row>
    <row r="31" spans="1:13" s="25" customFormat="1" ht="13" customHeight="1" x14ac:dyDescent="0.3">
      <c r="A31" s="4"/>
      <c r="B31" s="24"/>
      <c r="C31" s="4"/>
      <c r="D31" s="4"/>
      <c r="E31" s="4"/>
      <c r="F31" s="4"/>
      <c r="G31" s="4"/>
      <c r="H31" s="4"/>
      <c r="I31" s="4"/>
    </row>
    <row r="32" spans="1:13" s="26" customFormat="1" ht="13" customHeight="1" x14ac:dyDescent="0.3">
      <c r="A32" s="151" t="s">
        <v>33</v>
      </c>
      <c r="B32" s="139"/>
      <c r="C32" s="139"/>
      <c r="D32" s="139"/>
      <c r="E32" s="139"/>
      <c r="F32" s="139"/>
      <c r="G32" s="139"/>
      <c r="H32" s="139"/>
      <c r="I32" s="13"/>
      <c r="J32" s="13"/>
    </row>
    <row r="33" spans="1:10" s="26" customFormat="1" ht="13" customHeight="1" x14ac:dyDescent="0.3">
      <c r="A33" s="139" t="s">
        <v>41</v>
      </c>
      <c r="B33" s="139">
        <f>B23</f>
        <v>174</v>
      </c>
      <c r="C33" s="139" t="s">
        <v>23</v>
      </c>
      <c r="D33" s="139"/>
      <c r="E33" s="139"/>
      <c r="F33" s="139"/>
      <c r="G33" s="139"/>
      <c r="H33" s="139"/>
      <c r="I33" s="117"/>
      <c r="J33" s="13"/>
    </row>
    <row r="34" spans="1:10" s="26" customFormat="1" ht="13" customHeight="1" x14ac:dyDescent="0.3">
      <c r="A34" s="139" t="s">
        <v>42</v>
      </c>
      <c r="B34" s="139">
        <v>1.2</v>
      </c>
      <c r="C34" s="139" t="s">
        <v>5</v>
      </c>
      <c r="D34" s="139"/>
      <c r="E34" s="139"/>
      <c r="F34" s="139"/>
      <c r="G34" s="139"/>
      <c r="H34" s="139"/>
      <c r="I34" s="117"/>
      <c r="J34" s="13"/>
    </row>
    <row r="35" spans="1:10" s="26" customFormat="1" ht="13" customHeight="1" x14ac:dyDescent="0.3">
      <c r="A35" s="139" t="s">
        <v>43</v>
      </c>
      <c r="B35" s="139">
        <v>0.3</v>
      </c>
      <c r="C35" s="139" t="s">
        <v>44</v>
      </c>
      <c r="D35" s="139"/>
      <c r="E35" s="139"/>
      <c r="F35" s="139"/>
      <c r="G35" s="139"/>
      <c r="H35" s="139"/>
      <c r="I35" s="117"/>
      <c r="J35" s="13"/>
    </row>
    <row r="36" spans="1:10" s="26" customFormat="1" ht="13" customHeight="1" x14ac:dyDescent="0.3">
      <c r="A36" s="139" t="s">
        <v>45</v>
      </c>
      <c r="B36" s="139">
        <v>0.2</v>
      </c>
      <c r="C36" s="139" t="s">
        <v>44</v>
      </c>
      <c r="D36" s="139"/>
      <c r="E36" s="139"/>
      <c r="F36" s="139"/>
      <c r="G36" s="139"/>
      <c r="H36" s="139"/>
      <c r="I36" s="117"/>
      <c r="J36" s="13"/>
    </row>
    <row r="37" spans="1:10" s="26" customFormat="1" ht="13" customHeight="1" x14ac:dyDescent="0.3">
      <c r="A37" s="139" t="s">
        <v>46</v>
      </c>
      <c r="B37" s="153">
        <f>+E37/Ron_u</f>
        <v>0.17241379310344829</v>
      </c>
      <c r="C37" s="139" t="s">
        <v>47</v>
      </c>
      <c r="D37" s="139" t="s">
        <v>48</v>
      </c>
      <c r="E37" s="148">
        <v>30</v>
      </c>
      <c r="F37" s="139" t="s">
        <v>49</v>
      </c>
      <c r="G37" s="139"/>
      <c r="H37" s="139"/>
      <c r="I37" s="117"/>
      <c r="J37" s="13"/>
    </row>
    <row r="38" spans="1:10" s="26" customFormat="1" ht="13" customHeight="1" x14ac:dyDescent="0.3">
      <c r="A38" s="139" t="s">
        <v>50</v>
      </c>
      <c r="B38" s="154">
        <f>+E38/Ron_u</f>
        <v>0.11494252873563218</v>
      </c>
      <c r="C38" s="139" t="s">
        <v>47</v>
      </c>
      <c r="D38" s="139" t="s">
        <v>51</v>
      </c>
      <c r="E38" s="148">
        <v>20</v>
      </c>
      <c r="F38" s="139" t="s">
        <v>49</v>
      </c>
      <c r="G38" s="139"/>
      <c r="H38" s="139"/>
      <c r="I38" s="117"/>
      <c r="J38" s="13"/>
    </row>
    <row r="39" spans="1:10" s="26" customFormat="1" ht="13" customHeight="1" x14ac:dyDescent="0.3">
      <c r="A39" s="139" t="s">
        <v>52</v>
      </c>
      <c r="B39" s="152">
        <f>+Vin*2/12</f>
        <v>2</v>
      </c>
      <c r="C39" s="139" t="s">
        <v>4</v>
      </c>
      <c r="D39" s="139" t="s">
        <v>53</v>
      </c>
      <c r="E39" s="139"/>
      <c r="F39" s="139"/>
      <c r="G39" s="139"/>
      <c r="H39" s="139"/>
      <c r="I39" s="117"/>
      <c r="J39" s="13"/>
    </row>
    <row r="40" spans="1:10" s="26" customFormat="1" ht="13" customHeight="1" x14ac:dyDescent="0.3">
      <c r="A40" s="143" t="s">
        <v>54</v>
      </c>
      <c r="B40" s="152">
        <f>+Vin*2/12</f>
        <v>2</v>
      </c>
      <c r="C40" s="143" t="s">
        <v>4</v>
      </c>
      <c r="D40" s="139" t="s">
        <v>55</v>
      </c>
      <c r="E40" s="139"/>
      <c r="F40" s="139"/>
      <c r="G40" s="139"/>
      <c r="H40" s="139"/>
      <c r="I40" s="117"/>
      <c r="J40" s="13"/>
    </row>
    <row r="41" spans="1:10" s="28" customFormat="1" ht="13" customHeight="1" x14ac:dyDescent="0.3">
      <c r="A41" s="155" t="s">
        <v>56</v>
      </c>
      <c r="B41" s="156">
        <v>1</v>
      </c>
      <c r="C41" s="143"/>
      <c r="D41" s="143" t="s">
        <v>57</v>
      </c>
      <c r="E41" s="143"/>
      <c r="F41" s="143"/>
      <c r="G41" s="143"/>
      <c r="H41" s="143"/>
      <c r="I41" s="129"/>
      <c r="J41" s="27"/>
    </row>
    <row r="42" spans="1:10" s="26" customFormat="1" ht="13" customHeight="1" x14ac:dyDescent="0.3">
      <c r="A42" s="139" t="s">
        <v>58</v>
      </c>
      <c r="B42" s="141">
        <f>Iu_rms^2*B33/B41/1000</f>
        <v>0.71751979909038066</v>
      </c>
      <c r="C42" s="139" t="s">
        <v>40</v>
      </c>
      <c r="D42" s="139" t="s">
        <v>59</v>
      </c>
      <c r="E42" s="139"/>
      <c r="F42" s="139"/>
      <c r="G42" s="139"/>
      <c r="H42" s="139"/>
      <c r="I42" s="117"/>
      <c r="J42" s="13"/>
    </row>
    <row r="43" spans="1:10" s="26" customFormat="1" ht="13" customHeight="1" x14ac:dyDescent="0.3">
      <c r="A43" s="139" t="s">
        <v>60</v>
      </c>
      <c r="B43" s="141">
        <f>Vin*(Iout-0.5*Irip)*B39*10^(-9)*Fs*10^(3)/2</f>
        <v>1.1826470588235296E-2</v>
      </c>
      <c r="C43" s="139" t="s">
        <v>40</v>
      </c>
      <c r="D43" s="139" t="s">
        <v>61</v>
      </c>
      <c r="E43" s="139"/>
      <c r="F43" s="139"/>
      <c r="G43" s="139"/>
      <c r="H43" s="139"/>
      <c r="I43" s="117"/>
      <c r="J43" s="13"/>
    </row>
    <row r="44" spans="1:10" s="26" customFormat="1" ht="13" customHeight="1" x14ac:dyDescent="0.3">
      <c r="A44" s="139" t="s">
        <v>62</v>
      </c>
      <c r="B44" s="141">
        <f>Vin*(Iout+0.5*Irip)*B40*10^(-9)*Fs*10^(3)/2</f>
        <v>1.697352941176471E-2</v>
      </c>
      <c r="C44" s="139" t="s">
        <v>40</v>
      </c>
      <c r="D44" s="139" t="s">
        <v>63</v>
      </c>
      <c r="E44" s="139"/>
      <c r="F44" s="139"/>
      <c r="G44" s="139"/>
      <c r="H44" s="139"/>
      <c r="I44" s="117"/>
      <c r="J44" s="13"/>
    </row>
    <row r="45" spans="1:10" s="26" customFormat="1" ht="13" customHeight="1" x14ac:dyDescent="0.3">
      <c r="A45" s="139" t="s">
        <v>64</v>
      </c>
      <c r="B45" s="141">
        <f>Vin*Fs*10^3*B35*10^(-9)*B41</f>
        <v>1.4400000000000001E-3</v>
      </c>
      <c r="C45" s="139" t="s">
        <v>40</v>
      </c>
      <c r="D45" s="139" t="s">
        <v>65</v>
      </c>
      <c r="E45" s="139"/>
      <c r="F45" s="139"/>
      <c r="G45" s="139"/>
      <c r="H45" s="139"/>
      <c r="I45" s="117"/>
      <c r="J45" s="13"/>
    </row>
    <row r="46" spans="1:10" s="26" customFormat="1" ht="13" customHeight="1" x14ac:dyDescent="0.3">
      <c r="A46" s="139" t="s">
        <v>66</v>
      </c>
      <c r="B46" s="141">
        <f>0.5*B38*10^(-9)*Vin^2*Fs*10^3*B41</f>
        <v>3.3103448275862064E-3</v>
      </c>
      <c r="C46" s="139" t="s">
        <v>40</v>
      </c>
      <c r="D46" s="139" t="s">
        <v>67</v>
      </c>
      <c r="E46" s="139"/>
      <c r="F46" s="139"/>
      <c r="G46" s="139"/>
      <c r="H46" s="139"/>
      <c r="I46" s="117"/>
      <c r="J46" s="13"/>
    </row>
    <row r="47" spans="1:10" s="26" customFormat="1" ht="13" customHeight="1" x14ac:dyDescent="0.3">
      <c r="A47" s="139" t="s">
        <v>68</v>
      </c>
      <c r="B47" s="141">
        <f>SUM(B42:B46)</f>
        <v>0.75107014391796678</v>
      </c>
      <c r="C47" s="139" t="s">
        <v>40</v>
      </c>
      <c r="D47" s="139" t="s">
        <v>69</v>
      </c>
      <c r="E47" s="139"/>
      <c r="F47" s="139"/>
      <c r="G47" s="139"/>
      <c r="H47" s="139"/>
      <c r="I47" s="117"/>
      <c r="J47" s="16"/>
    </row>
    <row r="48" spans="1:10" s="26" customFormat="1" ht="13" customHeight="1" x14ac:dyDescent="0.3">
      <c r="A48" s="139"/>
      <c r="B48" s="139"/>
      <c r="C48" s="139"/>
      <c r="D48" s="139"/>
      <c r="E48" s="139"/>
      <c r="F48" s="139"/>
      <c r="G48" s="139"/>
      <c r="H48" s="139"/>
      <c r="I48" s="117"/>
      <c r="J48" s="13"/>
    </row>
    <row r="49" spans="1:10" s="26" customFormat="1" ht="13" customHeight="1" x14ac:dyDescent="0.3">
      <c r="A49" s="151" t="s">
        <v>35</v>
      </c>
      <c r="B49" s="139"/>
      <c r="C49" s="139"/>
      <c r="D49" s="139"/>
      <c r="E49" s="139"/>
      <c r="F49" s="139"/>
      <c r="G49" s="139"/>
      <c r="H49" s="139"/>
      <c r="I49" s="117"/>
      <c r="J49" s="13"/>
    </row>
    <row r="50" spans="1:10" s="26" customFormat="1" ht="13" customHeight="1" x14ac:dyDescent="0.3">
      <c r="A50" s="139" t="s">
        <v>41</v>
      </c>
      <c r="B50" s="152">
        <f>B26</f>
        <v>69.308999999999997</v>
      </c>
      <c r="C50" s="139" t="s">
        <v>23</v>
      </c>
      <c r="D50" s="139"/>
      <c r="E50" s="139"/>
      <c r="F50" s="139"/>
      <c r="G50" s="139"/>
      <c r="H50" s="139"/>
      <c r="I50" s="117"/>
      <c r="J50" s="13"/>
    </row>
    <row r="51" spans="1:10" s="26" customFormat="1" ht="13" customHeight="1" x14ac:dyDescent="0.3">
      <c r="A51" s="139" t="s">
        <v>42</v>
      </c>
      <c r="B51" s="139">
        <v>1.2</v>
      </c>
      <c r="C51" s="139" t="s">
        <v>5</v>
      </c>
      <c r="D51" s="139"/>
      <c r="E51" s="139"/>
      <c r="F51" s="139"/>
      <c r="G51" s="139"/>
      <c r="H51" s="139"/>
      <c r="I51" s="117"/>
      <c r="J51" s="13"/>
    </row>
    <row r="52" spans="1:10" s="26" customFormat="1" ht="13" customHeight="1" x14ac:dyDescent="0.3">
      <c r="A52" s="139" t="s">
        <v>43</v>
      </c>
      <c r="B52" s="139">
        <v>0.3</v>
      </c>
      <c r="C52" s="139" t="s">
        <v>44</v>
      </c>
      <c r="D52" s="139"/>
      <c r="E52" s="139"/>
      <c r="F52" s="139"/>
      <c r="G52" s="139"/>
      <c r="H52" s="139"/>
      <c r="I52" s="117"/>
      <c r="J52" s="13"/>
    </row>
    <row r="53" spans="1:10" s="26" customFormat="1" ht="13" customHeight="1" x14ac:dyDescent="0.3">
      <c r="A53" s="139" t="s">
        <v>45</v>
      </c>
      <c r="B53" s="139">
        <v>0.2</v>
      </c>
      <c r="C53" s="139" t="s">
        <v>44</v>
      </c>
      <c r="D53" s="139"/>
      <c r="E53" s="139"/>
      <c r="F53" s="139"/>
      <c r="G53" s="139"/>
      <c r="H53" s="139"/>
      <c r="I53" s="117"/>
      <c r="J53" s="13"/>
    </row>
    <row r="54" spans="1:10" s="26" customFormat="1" ht="13" customHeight="1" x14ac:dyDescent="0.3">
      <c r="A54" s="139" t="s">
        <v>46</v>
      </c>
      <c r="B54" s="157">
        <f>+E54/Ron_l</f>
        <v>0.43284421936545037</v>
      </c>
      <c r="C54" s="139" t="s">
        <v>47</v>
      </c>
      <c r="D54" s="139" t="s">
        <v>48</v>
      </c>
      <c r="E54" s="148">
        <v>30</v>
      </c>
      <c r="F54" s="139" t="s">
        <v>49</v>
      </c>
      <c r="G54" s="139"/>
      <c r="H54" s="139"/>
      <c r="I54" s="117"/>
      <c r="J54" s="13"/>
    </row>
    <row r="55" spans="1:10" s="26" customFormat="1" ht="13" customHeight="1" x14ac:dyDescent="0.3">
      <c r="A55" s="139" t="s">
        <v>50</v>
      </c>
      <c r="B55" s="154">
        <f>+E55/Ron_l</f>
        <v>0.28856281291030028</v>
      </c>
      <c r="C55" s="139" t="s">
        <v>47</v>
      </c>
      <c r="D55" s="139" t="s">
        <v>51</v>
      </c>
      <c r="E55" s="148">
        <v>20</v>
      </c>
      <c r="F55" s="139" t="s">
        <v>49</v>
      </c>
      <c r="G55" s="139"/>
      <c r="H55" s="139"/>
      <c r="I55" s="117"/>
      <c r="J55" s="13"/>
    </row>
    <row r="56" spans="1:10" s="26" customFormat="1" ht="13" customHeight="1" x14ac:dyDescent="0.3">
      <c r="A56" s="139" t="s">
        <v>70</v>
      </c>
      <c r="B56" s="139">
        <v>5</v>
      </c>
      <c r="C56" s="139" t="s">
        <v>4</v>
      </c>
      <c r="D56" s="139" t="s">
        <v>71</v>
      </c>
      <c r="E56" s="139"/>
      <c r="F56" s="139"/>
      <c r="G56" s="139"/>
      <c r="H56" s="139"/>
      <c r="I56" s="117"/>
      <c r="J56" s="13"/>
    </row>
    <row r="57" spans="1:10" s="26" customFormat="1" ht="13" customHeight="1" x14ac:dyDescent="0.3">
      <c r="A57" s="143" t="s">
        <v>72</v>
      </c>
      <c r="B57" s="143">
        <v>5</v>
      </c>
      <c r="C57" s="143" t="s">
        <v>4</v>
      </c>
      <c r="D57" s="139" t="s">
        <v>73</v>
      </c>
      <c r="E57" s="139"/>
      <c r="F57" s="139"/>
      <c r="G57" s="139"/>
      <c r="H57" s="139"/>
      <c r="I57" s="117"/>
      <c r="J57" s="13"/>
    </row>
    <row r="58" spans="1:10" s="28" customFormat="1" ht="13" customHeight="1" x14ac:dyDescent="0.3">
      <c r="A58" s="143" t="s">
        <v>56</v>
      </c>
      <c r="B58" s="156">
        <v>1</v>
      </c>
      <c r="C58" s="143"/>
      <c r="D58" s="143" t="s">
        <v>74</v>
      </c>
      <c r="E58" s="143"/>
      <c r="F58" s="143"/>
      <c r="G58" s="143"/>
      <c r="H58" s="143"/>
      <c r="I58" s="129"/>
      <c r="J58" s="27"/>
    </row>
    <row r="59" spans="1:10" s="26" customFormat="1" ht="13" customHeight="1" x14ac:dyDescent="0.3">
      <c r="A59" s="139" t="s">
        <v>58</v>
      </c>
      <c r="B59" s="141">
        <f>Il_rms^2*B50/1000/B58</f>
        <v>0.34461423391816759</v>
      </c>
      <c r="C59" s="139" t="s">
        <v>40</v>
      </c>
      <c r="D59" s="139" t="s">
        <v>75</v>
      </c>
      <c r="E59" s="139"/>
      <c r="F59" s="139"/>
      <c r="G59" s="139"/>
      <c r="H59" s="139"/>
      <c r="I59" s="117"/>
      <c r="J59" s="13"/>
    </row>
    <row r="60" spans="1:10" s="26" customFormat="1" ht="12.75" customHeight="1" x14ac:dyDescent="0.3">
      <c r="A60" s="139" t="s">
        <v>64</v>
      </c>
      <c r="B60" s="141">
        <f>B51*Fs*10^(-6)*((Iout+0.5*Irip)*B56+(Iout-0.5*Irip)*B57)</f>
        <v>1.44E-2</v>
      </c>
      <c r="C60" s="139" t="s">
        <v>40</v>
      </c>
      <c r="D60" s="139" t="s">
        <v>76</v>
      </c>
      <c r="E60" s="139"/>
      <c r="F60" s="139"/>
      <c r="G60" s="139"/>
      <c r="H60" s="139"/>
      <c r="I60" s="117"/>
      <c r="J60" s="13"/>
    </row>
    <row r="61" spans="1:10" s="26" customFormat="1" ht="13" customHeight="1" x14ac:dyDescent="0.3">
      <c r="A61" s="139" t="s">
        <v>77</v>
      </c>
      <c r="B61" s="141">
        <f>0.5*B52*Vin* Fs*10^(-6)*B58</f>
        <v>7.1999999999999983E-4</v>
      </c>
      <c r="C61" s="139" t="s">
        <v>40</v>
      </c>
      <c r="D61" s="139" t="s">
        <v>78</v>
      </c>
      <c r="E61" s="139"/>
      <c r="F61" s="139"/>
      <c r="G61" s="139"/>
      <c r="H61" s="139"/>
      <c r="I61" s="117"/>
      <c r="J61" s="13"/>
    </row>
    <row r="62" spans="1:10" s="26" customFormat="1" ht="13" customHeight="1" x14ac:dyDescent="0.3">
      <c r="A62" s="139" t="s">
        <v>66</v>
      </c>
      <c r="B62" s="141">
        <f>B55*10^(-9)*B58*Vin^2*Fs*1000/2</f>
        <v>8.3106090118166484E-3</v>
      </c>
      <c r="C62" s="139" t="s">
        <v>40</v>
      </c>
      <c r="D62" s="139" t="s">
        <v>67</v>
      </c>
      <c r="E62" s="139"/>
      <c r="F62" s="139"/>
      <c r="G62" s="139"/>
      <c r="H62" s="139"/>
      <c r="I62" s="117"/>
      <c r="J62" s="13"/>
    </row>
    <row r="63" spans="1:10" s="26" customFormat="1" ht="13" customHeight="1" x14ac:dyDescent="0.3">
      <c r="A63" s="139" t="s">
        <v>79</v>
      </c>
      <c r="B63" s="141">
        <f>B59+B60+B61+B62</f>
        <v>0.36804484292998424</v>
      </c>
      <c r="C63" s="139" t="s">
        <v>40</v>
      </c>
      <c r="D63" s="139" t="s">
        <v>80</v>
      </c>
      <c r="E63" s="139"/>
      <c r="F63" s="139"/>
      <c r="G63" s="139"/>
      <c r="H63" s="139"/>
      <c r="I63" s="117"/>
      <c r="J63" s="13"/>
    </row>
    <row r="64" spans="1:10" s="26" customFormat="1" ht="13" customHeight="1" x14ac:dyDescent="0.3">
      <c r="A64" s="139"/>
      <c r="B64" s="139"/>
      <c r="C64" s="139"/>
      <c r="D64" s="139"/>
      <c r="E64" s="139"/>
      <c r="F64" s="139"/>
      <c r="G64" s="139"/>
      <c r="H64" s="139"/>
      <c r="I64" s="117"/>
      <c r="J64" s="13"/>
    </row>
    <row r="65" spans="1:10" s="26" customFormat="1" ht="13" customHeight="1" x14ac:dyDescent="0.3">
      <c r="A65" s="158" t="s">
        <v>81</v>
      </c>
      <c r="B65" s="139"/>
      <c r="C65" s="139"/>
      <c r="D65" s="139"/>
      <c r="E65" s="139"/>
      <c r="F65" s="139"/>
      <c r="G65" s="139"/>
      <c r="H65" s="139"/>
      <c r="I65" s="117"/>
      <c r="J65" s="13"/>
    </row>
    <row r="66" spans="1:10" s="26" customFormat="1" ht="13" customHeight="1" x14ac:dyDescent="0.3">
      <c r="A66" s="139" t="s">
        <v>82</v>
      </c>
      <c r="B66" s="139">
        <f>IF(Vin&lt;5.7, Vin, 5)</f>
        <v>5</v>
      </c>
      <c r="C66" s="139" t="s">
        <v>5</v>
      </c>
      <c r="D66" s="139"/>
      <c r="E66" s="139"/>
      <c r="F66" s="139"/>
      <c r="G66" s="139"/>
      <c r="H66" s="139"/>
      <c r="I66" s="117"/>
      <c r="J66" s="13"/>
    </row>
    <row r="67" spans="1:10" s="28" customFormat="1" ht="13" customHeight="1" x14ac:dyDescent="0.3">
      <c r="A67" s="143" t="s">
        <v>83</v>
      </c>
      <c r="B67" s="143">
        <f>IF(Vin&lt;5.7, Vin, 5)</f>
        <v>5</v>
      </c>
      <c r="C67" s="143" t="s">
        <v>5</v>
      </c>
      <c r="D67" s="143"/>
      <c r="E67" s="143"/>
      <c r="F67" s="143"/>
      <c r="G67" s="143"/>
      <c r="H67" s="143"/>
      <c r="I67" s="129"/>
      <c r="J67" s="27"/>
    </row>
    <row r="68" spans="1:10" s="28" customFormat="1" ht="13" customHeight="1" x14ac:dyDescent="0.3">
      <c r="A68" s="143" t="s">
        <v>84</v>
      </c>
      <c r="B68" s="143">
        <v>8</v>
      </c>
      <c r="C68" s="143" t="s">
        <v>85</v>
      </c>
      <c r="D68" s="143" t="s">
        <v>86</v>
      </c>
      <c r="E68" s="143"/>
      <c r="F68" s="143"/>
      <c r="G68" s="143"/>
      <c r="H68" s="143"/>
      <c r="I68" s="129"/>
      <c r="J68" s="27"/>
    </row>
    <row r="69" spans="1:10" s="26" customFormat="1" ht="13" customHeight="1" x14ac:dyDescent="0.3">
      <c r="A69" s="139" t="s">
        <v>87</v>
      </c>
      <c r="B69" s="141">
        <f>Fs*B66*B36*10^(-6)*B41</f>
        <v>3.9999999999999996E-4</v>
      </c>
      <c r="C69" s="139" t="s">
        <v>40</v>
      </c>
      <c r="D69" s="139" t="s">
        <v>88</v>
      </c>
      <c r="E69" s="139"/>
      <c r="F69" s="139"/>
      <c r="G69" s="139"/>
      <c r="H69" s="139"/>
      <c r="I69" s="117"/>
      <c r="J69" s="13"/>
    </row>
    <row r="70" spans="1:10" s="26" customFormat="1" ht="13" customHeight="1" x14ac:dyDescent="0.3">
      <c r="A70" s="139" t="s">
        <v>89</v>
      </c>
      <c r="B70" s="141">
        <f>Fs*B67*B53*10^(-6)*B58</f>
        <v>3.9999999999999996E-4</v>
      </c>
      <c r="C70" s="139" t="s">
        <v>40</v>
      </c>
      <c r="D70" s="139" t="s">
        <v>90</v>
      </c>
      <c r="E70" s="139"/>
      <c r="F70" s="139"/>
      <c r="G70" s="139"/>
      <c r="H70" s="139"/>
      <c r="I70" s="117"/>
      <c r="J70" s="13"/>
    </row>
    <row r="71" spans="1:10" s="26" customFormat="1" ht="13" customHeight="1" x14ac:dyDescent="0.3">
      <c r="A71" s="139" t="s">
        <v>157</v>
      </c>
      <c r="B71" s="141">
        <f>IF(F15&gt;3.2, 0, (Vin-B67)*B68/1000)</f>
        <v>0</v>
      </c>
      <c r="C71" s="139" t="s">
        <v>40</v>
      </c>
      <c r="D71" s="139" t="s">
        <v>158</v>
      </c>
      <c r="E71" s="139"/>
      <c r="F71" s="139"/>
      <c r="G71" s="139"/>
      <c r="H71" s="139"/>
      <c r="I71" s="117"/>
      <c r="J71" s="13"/>
    </row>
    <row r="72" spans="1:10" s="26" customFormat="1" ht="13" customHeight="1" x14ac:dyDescent="0.3">
      <c r="A72" s="139" t="s">
        <v>91</v>
      </c>
      <c r="B72" s="141">
        <f>B69+B70+B71+B68*B67*0.001</f>
        <v>4.0800000000000003E-2</v>
      </c>
      <c r="C72" s="139" t="s">
        <v>40</v>
      </c>
      <c r="D72" s="139" t="s">
        <v>92</v>
      </c>
      <c r="E72" s="139"/>
      <c r="F72" s="139"/>
      <c r="G72" s="139"/>
      <c r="H72" s="139"/>
      <c r="I72" s="117"/>
      <c r="J72" s="13"/>
    </row>
    <row r="73" spans="1:10" s="26" customFormat="1" ht="13" customHeight="1" x14ac:dyDescent="0.3">
      <c r="A73" s="139"/>
      <c r="B73" s="139"/>
      <c r="C73" s="139"/>
      <c r="D73" s="139"/>
      <c r="E73" s="139"/>
      <c r="F73" s="139"/>
      <c r="G73" s="139"/>
      <c r="H73" s="139"/>
      <c r="I73" s="117"/>
      <c r="J73" s="13"/>
    </row>
    <row r="74" spans="1:10" s="26" customFormat="1" ht="13" customHeight="1" x14ac:dyDescent="0.3">
      <c r="A74" s="158" t="s">
        <v>93</v>
      </c>
      <c r="B74" s="139"/>
      <c r="C74" s="139"/>
      <c r="D74" s="139"/>
      <c r="E74" s="139"/>
      <c r="F74" s="139"/>
      <c r="G74" s="139"/>
      <c r="H74" s="139"/>
      <c r="I74" s="117"/>
      <c r="J74" s="13"/>
    </row>
    <row r="75" spans="1:10" s="26" customFormat="1" ht="13" customHeight="1" x14ac:dyDescent="0.3">
      <c r="A75" s="139" t="s">
        <v>94</v>
      </c>
      <c r="B75" s="141">
        <f>1.68*10^(-9)*(Fs)^1.35*(57.8*0.5*Irip)^2.263</f>
        <v>1.2963177953722944E-2</v>
      </c>
      <c r="C75" s="139" t="s">
        <v>40</v>
      </c>
      <c r="D75" s="139" t="s">
        <v>95</v>
      </c>
      <c r="E75" s="139"/>
      <c r="F75" s="139"/>
      <c r="G75" s="139"/>
      <c r="H75" s="139"/>
      <c r="I75" s="117"/>
      <c r="J75" s="13"/>
    </row>
    <row r="76" spans="1:10" s="26" customFormat="1" ht="13" customHeight="1" x14ac:dyDescent="0.3">
      <c r="A76" s="139" t="s">
        <v>96</v>
      </c>
      <c r="B76" s="141">
        <f>DCR/1000*(Iout*SQRT(1+1/3*(Irip/Iout)^2))^2</f>
        <v>0.28149835700211456</v>
      </c>
      <c r="C76" s="139" t="s">
        <v>40</v>
      </c>
      <c r="D76" s="139" t="s">
        <v>97</v>
      </c>
      <c r="E76" s="139"/>
      <c r="F76" s="139"/>
      <c r="G76" s="139"/>
      <c r="H76" s="139"/>
      <c r="I76" s="117"/>
      <c r="J76" s="13"/>
    </row>
    <row r="77" spans="1:10" s="26" customFormat="1" ht="13" customHeight="1" x14ac:dyDescent="0.3">
      <c r="A77" s="139" t="s">
        <v>98</v>
      </c>
      <c r="B77" s="141">
        <f>B75+B76</f>
        <v>0.29446153495583749</v>
      </c>
      <c r="C77" s="139" t="s">
        <v>40</v>
      </c>
      <c r="D77" s="139" t="s">
        <v>99</v>
      </c>
      <c r="E77" s="139"/>
      <c r="F77" s="139"/>
      <c r="G77" s="139"/>
      <c r="H77" s="139"/>
      <c r="I77" s="117"/>
      <c r="J77" s="13"/>
    </row>
    <row r="78" spans="1:10" s="26" customFormat="1" ht="13" customHeight="1" x14ac:dyDescent="0.3">
      <c r="A78" s="139"/>
      <c r="B78" s="141"/>
      <c r="C78" s="139"/>
      <c r="D78" s="139"/>
      <c r="E78" s="139"/>
      <c r="F78" s="139"/>
      <c r="G78" s="139"/>
      <c r="H78" s="139"/>
      <c r="I78" s="117"/>
      <c r="J78" s="13"/>
    </row>
    <row r="79" spans="1:10" s="26" customFormat="1" ht="13" customHeight="1" x14ac:dyDescent="0.3">
      <c r="A79" s="158" t="s">
        <v>100</v>
      </c>
      <c r="B79" s="139"/>
      <c r="C79" s="139"/>
      <c r="D79" s="139"/>
      <c r="E79" s="139"/>
      <c r="F79" s="139"/>
      <c r="G79" s="139"/>
      <c r="H79" s="139"/>
      <c r="I79" s="117"/>
      <c r="J79" s="13"/>
    </row>
    <row r="80" spans="1:10" s="26" customFormat="1" ht="13" customHeight="1" x14ac:dyDescent="0.3">
      <c r="A80" s="139" t="s">
        <v>101</v>
      </c>
      <c r="B80" s="159">
        <f>(0.5*Irip/SQRT(3))^2*B20/B18/1000</f>
        <v>1.4372946252643221E-4</v>
      </c>
      <c r="C80" s="139" t="s">
        <v>40</v>
      </c>
      <c r="D80" s="139" t="s">
        <v>102</v>
      </c>
      <c r="E80" s="139"/>
      <c r="F80" s="139"/>
      <c r="G80" s="139"/>
      <c r="H80" s="139"/>
      <c r="I80" s="117"/>
      <c r="J80" s="13"/>
    </row>
    <row r="81" spans="1:10" s="26" customFormat="1" ht="13" customHeight="1" x14ac:dyDescent="0.3">
      <c r="A81" s="139"/>
      <c r="B81" s="139"/>
      <c r="C81" s="139"/>
      <c r="D81" s="139"/>
      <c r="E81" s="139"/>
      <c r="F81" s="139"/>
      <c r="G81" s="139"/>
      <c r="H81" s="139"/>
      <c r="I81" s="117"/>
      <c r="J81" s="13"/>
    </row>
    <row r="82" spans="1:10" s="26" customFormat="1" ht="13" customHeight="1" x14ac:dyDescent="0.3">
      <c r="A82" s="151" t="s">
        <v>36</v>
      </c>
      <c r="B82" s="160">
        <f>B72+B63+B47+B77</f>
        <v>1.4543765218037885</v>
      </c>
      <c r="C82" s="158" t="s">
        <v>40</v>
      </c>
      <c r="D82" s="139"/>
      <c r="E82" s="139"/>
      <c r="F82" s="139"/>
      <c r="G82" s="139"/>
      <c r="H82" s="139"/>
      <c r="I82" s="117"/>
      <c r="J82" s="13"/>
    </row>
    <row r="83" spans="1:10" s="26" customFormat="1" ht="13" customHeight="1" x14ac:dyDescent="0.3">
      <c r="A83" s="151" t="s">
        <v>38</v>
      </c>
      <c r="B83" s="160">
        <f>Vout*Iout/(Vout*Iout+B82)*100</f>
        <v>91.161156912408174</v>
      </c>
      <c r="C83" s="158" t="s">
        <v>15</v>
      </c>
      <c r="D83" s="139"/>
      <c r="E83" s="139"/>
      <c r="F83" s="139"/>
      <c r="G83" s="139"/>
      <c r="H83" s="139"/>
      <c r="I83" s="117"/>
      <c r="J83" s="13"/>
    </row>
    <row r="84" spans="1:10" s="25" customFormat="1" ht="13" customHeight="1" x14ac:dyDescent="0.3">
      <c r="A84" s="14"/>
      <c r="B84" s="14"/>
      <c r="C84" s="14"/>
      <c r="D84" s="14"/>
      <c r="E84" s="14"/>
      <c r="F84" s="14"/>
      <c r="G84" s="14"/>
      <c r="H84" s="14"/>
      <c r="I84" s="14"/>
      <c r="J84" s="14"/>
    </row>
    <row r="85" spans="1:10" ht="13" customHeight="1" x14ac:dyDescent="0.3">
      <c r="A85" s="4"/>
      <c r="B85" s="4"/>
      <c r="C85" s="4"/>
      <c r="D85" s="4"/>
      <c r="E85" s="4"/>
      <c r="F85" s="4"/>
      <c r="G85" s="4"/>
      <c r="H85" s="14"/>
      <c r="I85" s="14"/>
      <c r="J85" s="14"/>
    </row>
    <row r="86" spans="1:10" ht="13" customHeight="1" x14ac:dyDescent="0.3">
      <c r="A86" s="4"/>
      <c r="B86" s="4"/>
      <c r="C86" s="4"/>
      <c r="D86" s="4"/>
      <c r="E86" s="4"/>
      <c r="F86" s="4"/>
      <c r="G86" s="4"/>
      <c r="H86" s="14"/>
      <c r="I86" s="14"/>
      <c r="J86" s="14"/>
    </row>
    <row r="87" spans="1:10" ht="13" customHeight="1" x14ac:dyDescent="0.3">
      <c r="A87" s="4"/>
      <c r="B87" s="29"/>
      <c r="C87" s="4"/>
      <c r="D87" s="4"/>
      <c r="E87" s="4"/>
      <c r="F87" s="4"/>
      <c r="G87" s="4"/>
      <c r="H87" s="14"/>
      <c r="I87" s="14"/>
      <c r="J87" s="14"/>
    </row>
    <row r="88" spans="1:10" ht="13" customHeight="1" x14ac:dyDescent="0.3">
      <c r="A88" s="4"/>
      <c r="B88" s="4"/>
      <c r="C88" s="4"/>
      <c r="D88" s="4"/>
      <c r="E88" s="4"/>
      <c r="F88" s="4"/>
      <c r="G88" s="4"/>
      <c r="H88" s="14"/>
      <c r="I88" s="14"/>
      <c r="J88" s="14"/>
    </row>
    <row r="89" spans="1:10" ht="13" customHeight="1" x14ac:dyDescent="0.3">
      <c r="A89" s="4"/>
      <c r="B89" s="4"/>
      <c r="C89" s="4"/>
      <c r="D89" s="4"/>
      <c r="E89" s="4"/>
      <c r="F89" s="4"/>
      <c r="G89" s="4"/>
      <c r="H89" s="14"/>
      <c r="I89" s="14"/>
      <c r="J89" s="14"/>
    </row>
    <row r="90" spans="1:10" ht="13" customHeight="1" x14ac:dyDescent="0.3">
      <c r="A90" s="4"/>
      <c r="B90" s="4"/>
      <c r="C90" s="4"/>
      <c r="D90" s="4"/>
      <c r="E90" s="4"/>
      <c r="F90" s="4"/>
      <c r="G90" s="4"/>
      <c r="H90" s="14"/>
      <c r="I90" s="14"/>
      <c r="J90" s="14"/>
    </row>
    <row r="91" spans="1:10" ht="13" customHeight="1" x14ac:dyDescent="0.3">
      <c r="A91" s="4"/>
      <c r="B91" s="4"/>
      <c r="C91" s="4"/>
      <c r="D91" s="4"/>
      <c r="E91" s="4"/>
      <c r="F91" s="4"/>
      <c r="G91" s="4"/>
      <c r="H91" s="14"/>
      <c r="I91" s="14"/>
      <c r="J91" s="14"/>
    </row>
    <row r="92" spans="1:10" ht="13" customHeight="1" x14ac:dyDescent="0.3">
      <c r="A92" s="4"/>
      <c r="B92" s="4"/>
      <c r="C92" s="4"/>
      <c r="D92" s="4"/>
      <c r="E92" s="4"/>
      <c r="F92" s="4"/>
      <c r="G92" s="4"/>
      <c r="H92" s="14"/>
      <c r="I92" s="14"/>
      <c r="J92" s="14"/>
    </row>
    <row r="93" spans="1:10" ht="13" customHeight="1" x14ac:dyDescent="0.3">
      <c r="A93" s="4"/>
      <c r="B93" s="4"/>
      <c r="C93" s="4"/>
      <c r="D93" s="4"/>
      <c r="E93" s="4"/>
      <c r="F93" s="4"/>
      <c r="G93" s="4"/>
      <c r="H93" s="14"/>
    </row>
    <row r="94" spans="1:10" ht="13" customHeight="1" x14ac:dyDescent="0.3">
      <c r="A94" s="4"/>
      <c r="B94" s="4"/>
      <c r="C94" s="4"/>
      <c r="D94" s="4"/>
      <c r="E94" s="4"/>
      <c r="F94" s="4"/>
      <c r="G94" s="4"/>
    </row>
    <row r="95" spans="1:10" ht="13" customHeight="1" x14ac:dyDescent="0.3">
      <c r="A95" s="4"/>
      <c r="B95" s="4"/>
      <c r="C95" s="4"/>
      <c r="D95" s="4"/>
      <c r="E95" s="4"/>
      <c r="F95" s="4"/>
      <c r="G95" s="4"/>
    </row>
    <row r="96" spans="1:10" ht="13" customHeight="1" x14ac:dyDescent="0.3">
      <c r="A96" s="4"/>
      <c r="B96" s="4"/>
      <c r="C96" s="4"/>
      <c r="D96" s="4"/>
      <c r="E96" s="4"/>
      <c r="F96" s="4"/>
      <c r="G96" s="4"/>
    </row>
    <row r="97" spans="1:7" ht="13" customHeight="1" x14ac:dyDescent="0.3">
      <c r="A97" s="4"/>
      <c r="B97" s="4"/>
      <c r="C97" s="4"/>
      <c r="D97" s="4"/>
      <c r="E97" s="4"/>
      <c r="F97" s="4"/>
      <c r="G97" s="4"/>
    </row>
    <row r="98" spans="1:7" ht="13" customHeight="1" x14ac:dyDescent="0.3">
      <c r="A98" s="4"/>
      <c r="B98" s="4"/>
      <c r="C98" s="4"/>
      <c r="D98" s="4"/>
      <c r="E98" s="4"/>
      <c r="F98" s="4"/>
      <c r="G98" s="4"/>
    </row>
    <row r="99" spans="1:7" ht="13" customHeight="1" x14ac:dyDescent="0.3">
      <c r="A99" s="4"/>
      <c r="B99" s="4"/>
      <c r="C99" s="4"/>
      <c r="D99" s="4"/>
      <c r="E99" s="4"/>
      <c r="F99" s="4"/>
      <c r="G99" s="4"/>
    </row>
    <row r="100" spans="1:7" ht="13" customHeight="1" x14ac:dyDescent="0.3">
      <c r="A100" s="4"/>
      <c r="B100" s="4"/>
      <c r="C100" s="4"/>
      <c r="D100" s="4"/>
      <c r="E100" s="4"/>
      <c r="F100" s="4"/>
      <c r="G100" s="4"/>
    </row>
    <row r="101" spans="1:7" ht="13" customHeight="1" x14ac:dyDescent="0.3">
      <c r="A101" s="4"/>
      <c r="B101" s="4"/>
      <c r="C101" s="4"/>
      <c r="D101" s="4"/>
      <c r="E101" s="4"/>
      <c r="F101" s="4"/>
      <c r="G101" s="4"/>
    </row>
    <row r="102" spans="1:7" ht="13" customHeight="1" x14ac:dyDescent="0.3">
      <c r="A102" s="4"/>
      <c r="B102" s="4"/>
      <c r="C102" s="4"/>
      <c r="D102" s="4"/>
      <c r="E102" s="4"/>
      <c r="F102" s="4"/>
      <c r="G102" s="4"/>
    </row>
    <row r="103" spans="1:7" ht="13" customHeight="1" x14ac:dyDescent="0.3">
      <c r="A103" s="4"/>
      <c r="B103" s="4"/>
      <c r="C103" s="4"/>
      <c r="D103" s="4"/>
      <c r="E103" s="4"/>
      <c r="F103" s="4"/>
      <c r="G103" s="4"/>
    </row>
    <row r="104" spans="1:7" ht="13" customHeight="1" x14ac:dyDescent="0.3"/>
    <row r="105" spans="1:7" ht="13" customHeight="1" x14ac:dyDescent="0.3"/>
  </sheetData>
  <mergeCells count="1">
    <mergeCell ref="B4:C4"/>
  </mergeCells>
  <phoneticPr fontId="41" type="noConversion"/>
  <conditionalFormatting sqref="A6:B6">
    <cfRule type="containsText" dxfId="3" priority="4" operator="containsText" text="Input Voltage Out of Range">
      <formula>NOT(ISERROR(SEARCH("Input Voltage Out of Range",A6)))</formula>
    </cfRule>
  </conditionalFormatting>
  <conditionalFormatting sqref="A7">
    <cfRule type="containsText" dxfId="2" priority="3" operator="containsText" text="Output Voltage Out of Range">
      <formula>NOT(ISERROR(SEARCH("Output Voltage Out of Range",A7)))</formula>
    </cfRule>
  </conditionalFormatting>
  <conditionalFormatting sqref="E20">
    <cfRule type="containsText" dxfId="1" priority="2" operator="containsText" text="UVLO is too Low">
      <formula>NOT(ISERROR(SEARCH("UVLO is too Low",E20)))</formula>
    </cfRule>
  </conditionalFormatting>
  <conditionalFormatting sqref="G28">
    <cfRule type="containsText" dxfId="0" priority="1" operator="containsText" text="Thermal too high">
      <formula>NOT(ISERROR(SEARCH("Thermal too high",G28)))</formula>
    </cfRule>
  </conditionalFormatting>
  <dataValidations count="1">
    <dataValidation type="list" allowBlank="1" showInputMessage="1" showErrorMessage="1" sqref="B4:C4">
      <formula1>"AL8890Q,AL88902Q"</formula1>
    </dataValidation>
  </dataValidations>
  <pageMargins left="0.7" right="0.7" top="0.75" bottom="0.75" header="0.3" footer="0.3"/>
  <pageSetup orientation="portrait" verticalDpi="598" r:id="rId1"/>
  <ignoredErrors>
    <ignoredError sqref="F21" unlockedFormula="1"/>
  </ignoredErrors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D178"/>
  <sheetViews>
    <sheetView zoomScale="60" zoomScaleNormal="60" workbookViewId="0">
      <selection activeCell="M12" sqref="M12"/>
    </sheetView>
  </sheetViews>
  <sheetFormatPr defaultRowHeight="13" customHeight="1" x14ac:dyDescent="0.3"/>
  <cols>
    <col min="1" max="1" width="15.7265625" style="145" customWidth="1"/>
    <col min="2" max="2" width="17.1796875" style="145" customWidth="1"/>
    <col min="3" max="3" width="11.81640625" style="145" customWidth="1"/>
    <col min="4" max="4" width="18.7265625" style="145" customWidth="1"/>
    <col min="5" max="5" width="15.453125" style="145" customWidth="1"/>
    <col min="6" max="6" width="10.7265625" style="145" customWidth="1"/>
    <col min="7" max="7" width="27.1796875" style="145" customWidth="1"/>
    <col min="8" max="8" width="23.7265625" style="145" customWidth="1"/>
    <col min="9" max="13" width="9.1796875" style="145"/>
    <col min="14" max="14" width="12" style="145" bestFit="1" customWidth="1"/>
    <col min="15" max="15" width="12.26953125" style="145" bestFit="1" customWidth="1"/>
    <col min="16" max="18" width="9.1796875" style="145"/>
    <col min="19" max="19" width="12.1796875" style="145" customWidth="1"/>
    <col min="20" max="256" width="9.1796875" style="145"/>
    <col min="257" max="257" width="15.7265625" style="145" customWidth="1"/>
    <col min="258" max="258" width="17.1796875" style="145" customWidth="1"/>
    <col min="259" max="259" width="11.81640625" style="145" customWidth="1"/>
    <col min="260" max="264" width="0" style="145" hidden="1" customWidth="1"/>
    <col min="265" max="512" width="9.1796875" style="145"/>
    <col min="513" max="513" width="15.7265625" style="145" customWidth="1"/>
    <col min="514" max="514" width="17.1796875" style="145" customWidth="1"/>
    <col min="515" max="515" width="11.81640625" style="145" customWidth="1"/>
    <col min="516" max="520" width="0" style="145" hidden="1" customWidth="1"/>
    <col min="521" max="768" width="9.1796875" style="145"/>
    <col min="769" max="769" width="15.7265625" style="145" customWidth="1"/>
    <col min="770" max="770" width="17.1796875" style="145" customWidth="1"/>
    <col min="771" max="771" width="11.81640625" style="145" customWidth="1"/>
    <col min="772" max="776" width="0" style="145" hidden="1" customWidth="1"/>
    <col min="777" max="1024" width="9.1796875" style="145"/>
    <col min="1025" max="1025" width="15.7265625" style="145" customWidth="1"/>
    <col min="1026" max="1026" width="17.1796875" style="145" customWidth="1"/>
    <col min="1027" max="1027" width="11.81640625" style="145" customWidth="1"/>
    <col min="1028" max="1032" width="0" style="145" hidden="1" customWidth="1"/>
    <col min="1033" max="1280" width="9.1796875" style="145"/>
    <col min="1281" max="1281" width="15.7265625" style="145" customWidth="1"/>
    <col min="1282" max="1282" width="17.1796875" style="145" customWidth="1"/>
    <col min="1283" max="1283" width="11.81640625" style="145" customWidth="1"/>
    <col min="1284" max="1288" width="0" style="145" hidden="1" customWidth="1"/>
    <col min="1289" max="1536" width="9.1796875" style="145"/>
    <col min="1537" max="1537" width="15.7265625" style="145" customWidth="1"/>
    <col min="1538" max="1538" width="17.1796875" style="145" customWidth="1"/>
    <col min="1539" max="1539" width="11.81640625" style="145" customWidth="1"/>
    <col min="1540" max="1544" width="0" style="145" hidden="1" customWidth="1"/>
    <col min="1545" max="1792" width="9.1796875" style="145"/>
    <col min="1793" max="1793" width="15.7265625" style="145" customWidth="1"/>
    <col min="1794" max="1794" width="17.1796875" style="145" customWidth="1"/>
    <col min="1795" max="1795" width="11.81640625" style="145" customWidth="1"/>
    <col min="1796" max="1800" width="0" style="145" hidden="1" customWidth="1"/>
    <col min="1801" max="2048" width="9.1796875" style="145"/>
    <col min="2049" max="2049" width="15.7265625" style="145" customWidth="1"/>
    <col min="2050" max="2050" width="17.1796875" style="145" customWidth="1"/>
    <col min="2051" max="2051" width="11.81640625" style="145" customWidth="1"/>
    <col min="2052" max="2056" width="0" style="145" hidden="1" customWidth="1"/>
    <col min="2057" max="2304" width="9.1796875" style="145"/>
    <col min="2305" max="2305" width="15.7265625" style="145" customWidth="1"/>
    <col min="2306" max="2306" width="17.1796875" style="145" customWidth="1"/>
    <col min="2307" max="2307" width="11.81640625" style="145" customWidth="1"/>
    <col min="2308" max="2312" width="0" style="145" hidden="1" customWidth="1"/>
    <col min="2313" max="2560" width="9.1796875" style="145"/>
    <col min="2561" max="2561" width="15.7265625" style="145" customWidth="1"/>
    <col min="2562" max="2562" width="17.1796875" style="145" customWidth="1"/>
    <col min="2563" max="2563" width="11.81640625" style="145" customWidth="1"/>
    <col min="2564" max="2568" width="0" style="145" hidden="1" customWidth="1"/>
    <col min="2569" max="2816" width="9.1796875" style="145"/>
    <col min="2817" max="2817" width="15.7265625" style="145" customWidth="1"/>
    <col min="2818" max="2818" width="17.1796875" style="145" customWidth="1"/>
    <col min="2819" max="2819" width="11.81640625" style="145" customWidth="1"/>
    <col min="2820" max="2824" width="0" style="145" hidden="1" customWidth="1"/>
    <col min="2825" max="3072" width="9.1796875" style="145"/>
    <col min="3073" max="3073" width="15.7265625" style="145" customWidth="1"/>
    <col min="3074" max="3074" width="17.1796875" style="145" customWidth="1"/>
    <col min="3075" max="3075" width="11.81640625" style="145" customWidth="1"/>
    <col min="3076" max="3080" width="0" style="145" hidden="1" customWidth="1"/>
    <col min="3081" max="3328" width="9.1796875" style="145"/>
    <col min="3329" max="3329" width="15.7265625" style="145" customWidth="1"/>
    <col min="3330" max="3330" width="17.1796875" style="145" customWidth="1"/>
    <col min="3331" max="3331" width="11.81640625" style="145" customWidth="1"/>
    <col min="3332" max="3336" width="0" style="145" hidden="1" customWidth="1"/>
    <col min="3337" max="3584" width="9.1796875" style="145"/>
    <col min="3585" max="3585" width="15.7265625" style="145" customWidth="1"/>
    <col min="3586" max="3586" width="17.1796875" style="145" customWidth="1"/>
    <col min="3587" max="3587" width="11.81640625" style="145" customWidth="1"/>
    <col min="3588" max="3592" width="0" style="145" hidden="1" customWidth="1"/>
    <col min="3593" max="3840" width="9.1796875" style="145"/>
    <col min="3841" max="3841" width="15.7265625" style="145" customWidth="1"/>
    <col min="3842" max="3842" width="17.1796875" style="145" customWidth="1"/>
    <col min="3843" max="3843" width="11.81640625" style="145" customWidth="1"/>
    <col min="3844" max="3848" width="0" style="145" hidden="1" customWidth="1"/>
    <col min="3849" max="4096" width="9.1796875" style="145"/>
    <col min="4097" max="4097" width="15.7265625" style="145" customWidth="1"/>
    <col min="4098" max="4098" width="17.1796875" style="145" customWidth="1"/>
    <col min="4099" max="4099" width="11.81640625" style="145" customWidth="1"/>
    <col min="4100" max="4104" width="0" style="145" hidden="1" customWidth="1"/>
    <col min="4105" max="4352" width="9.1796875" style="145"/>
    <col min="4353" max="4353" width="15.7265625" style="145" customWidth="1"/>
    <col min="4354" max="4354" width="17.1796875" style="145" customWidth="1"/>
    <col min="4355" max="4355" width="11.81640625" style="145" customWidth="1"/>
    <col min="4356" max="4360" width="0" style="145" hidden="1" customWidth="1"/>
    <col min="4361" max="4608" width="9.1796875" style="145"/>
    <col min="4609" max="4609" width="15.7265625" style="145" customWidth="1"/>
    <col min="4610" max="4610" width="17.1796875" style="145" customWidth="1"/>
    <col min="4611" max="4611" width="11.81640625" style="145" customWidth="1"/>
    <col min="4612" max="4616" width="0" style="145" hidden="1" customWidth="1"/>
    <col min="4617" max="4864" width="9.1796875" style="145"/>
    <col min="4865" max="4865" width="15.7265625" style="145" customWidth="1"/>
    <col min="4866" max="4866" width="17.1796875" style="145" customWidth="1"/>
    <col min="4867" max="4867" width="11.81640625" style="145" customWidth="1"/>
    <col min="4868" max="4872" width="0" style="145" hidden="1" customWidth="1"/>
    <col min="4873" max="5120" width="9.1796875" style="145"/>
    <col min="5121" max="5121" width="15.7265625" style="145" customWidth="1"/>
    <col min="5122" max="5122" width="17.1796875" style="145" customWidth="1"/>
    <col min="5123" max="5123" width="11.81640625" style="145" customWidth="1"/>
    <col min="5124" max="5128" width="0" style="145" hidden="1" customWidth="1"/>
    <col min="5129" max="5376" width="9.1796875" style="145"/>
    <col min="5377" max="5377" width="15.7265625" style="145" customWidth="1"/>
    <col min="5378" max="5378" width="17.1796875" style="145" customWidth="1"/>
    <col min="5379" max="5379" width="11.81640625" style="145" customWidth="1"/>
    <col min="5380" max="5384" width="0" style="145" hidden="1" customWidth="1"/>
    <col min="5385" max="5632" width="9.1796875" style="145"/>
    <col min="5633" max="5633" width="15.7265625" style="145" customWidth="1"/>
    <col min="5634" max="5634" width="17.1796875" style="145" customWidth="1"/>
    <col min="5635" max="5635" width="11.81640625" style="145" customWidth="1"/>
    <col min="5636" max="5640" width="0" style="145" hidden="1" customWidth="1"/>
    <col min="5641" max="5888" width="9.1796875" style="145"/>
    <col min="5889" max="5889" width="15.7265625" style="145" customWidth="1"/>
    <col min="5890" max="5890" width="17.1796875" style="145" customWidth="1"/>
    <col min="5891" max="5891" width="11.81640625" style="145" customWidth="1"/>
    <col min="5892" max="5896" width="0" style="145" hidden="1" customWidth="1"/>
    <col min="5897" max="6144" width="9.1796875" style="145"/>
    <col min="6145" max="6145" width="15.7265625" style="145" customWidth="1"/>
    <col min="6146" max="6146" width="17.1796875" style="145" customWidth="1"/>
    <col min="6147" max="6147" width="11.81640625" style="145" customWidth="1"/>
    <col min="6148" max="6152" width="0" style="145" hidden="1" customWidth="1"/>
    <col min="6153" max="6400" width="9.1796875" style="145"/>
    <col min="6401" max="6401" width="15.7265625" style="145" customWidth="1"/>
    <col min="6402" max="6402" width="17.1796875" style="145" customWidth="1"/>
    <col min="6403" max="6403" width="11.81640625" style="145" customWidth="1"/>
    <col min="6404" max="6408" width="0" style="145" hidden="1" customWidth="1"/>
    <col min="6409" max="6656" width="9.1796875" style="145"/>
    <col min="6657" max="6657" width="15.7265625" style="145" customWidth="1"/>
    <col min="6658" max="6658" width="17.1796875" style="145" customWidth="1"/>
    <col min="6659" max="6659" width="11.81640625" style="145" customWidth="1"/>
    <col min="6660" max="6664" width="0" style="145" hidden="1" customWidth="1"/>
    <col min="6665" max="6912" width="9.1796875" style="145"/>
    <col min="6913" max="6913" width="15.7265625" style="145" customWidth="1"/>
    <col min="6914" max="6914" width="17.1796875" style="145" customWidth="1"/>
    <col min="6915" max="6915" width="11.81640625" style="145" customWidth="1"/>
    <col min="6916" max="6920" width="0" style="145" hidden="1" customWidth="1"/>
    <col min="6921" max="7168" width="9.1796875" style="145"/>
    <col min="7169" max="7169" width="15.7265625" style="145" customWidth="1"/>
    <col min="7170" max="7170" width="17.1796875" style="145" customWidth="1"/>
    <col min="7171" max="7171" width="11.81640625" style="145" customWidth="1"/>
    <col min="7172" max="7176" width="0" style="145" hidden="1" customWidth="1"/>
    <col min="7177" max="7424" width="9.1796875" style="145"/>
    <col min="7425" max="7425" width="15.7265625" style="145" customWidth="1"/>
    <col min="7426" max="7426" width="17.1796875" style="145" customWidth="1"/>
    <col min="7427" max="7427" width="11.81640625" style="145" customWidth="1"/>
    <col min="7428" max="7432" width="0" style="145" hidden="1" customWidth="1"/>
    <col min="7433" max="7680" width="9.1796875" style="145"/>
    <col min="7681" max="7681" width="15.7265625" style="145" customWidth="1"/>
    <col min="7682" max="7682" width="17.1796875" style="145" customWidth="1"/>
    <col min="7683" max="7683" width="11.81640625" style="145" customWidth="1"/>
    <col min="7684" max="7688" width="0" style="145" hidden="1" customWidth="1"/>
    <col min="7689" max="7936" width="9.1796875" style="145"/>
    <col min="7937" max="7937" width="15.7265625" style="145" customWidth="1"/>
    <col min="7938" max="7938" width="17.1796875" style="145" customWidth="1"/>
    <col min="7939" max="7939" width="11.81640625" style="145" customWidth="1"/>
    <col min="7940" max="7944" width="0" style="145" hidden="1" customWidth="1"/>
    <col min="7945" max="8192" width="9.1796875" style="145"/>
    <col min="8193" max="8193" width="15.7265625" style="145" customWidth="1"/>
    <col min="8194" max="8194" width="17.1796875" style="145" customWidth="1"/>
    <col min="8195" max="8195" width="11.81640625" style="145" customWidth="1"/>
    <col min="8196" max="8200" width="0" style="145" hidden="1" customWidth="1"/>
    <col min="8201" max="8448" width="9.1796875" style="145"/>
    <col min="8449" max="8449" width="15.7265625" style="145" customWidth="1"/>
    <col min="8450" max="8450" width="17.1796875" style="145" customWidth="1"/>
    <col min="8451" max="8451" width="11.81640625" style="145" customWidth="1"/>
    <col min="8452" max="8456" width="0" style="145" hidden="1" customWidth="1"/>
    <col min="8457" max="8704" width="9.1796875" style="145"/>
    <col min="8705" max="8705" width="15.7265625" style="145" customWidth="1"/>
    <col min="8706" max="8706" width="17.1796875" style="145" customWidth="1"/>
    <col min="8707" max="8707" width="11.81640625" style="145" customWidth="1"/>
    <col min="8708" max="8712" width="0" style="145" hidden="1" customWidth="1"/>
    <col min="8713" max="8960" width="9.1796875" style="145"/>
    <col min="8961" max="8961" width="15.7265625" style="145" customWidth="1"/>
    <col min="8962" max="8962" width="17.1796875" style="145" customWidth="1"/>
    <col min="8963" max="8963" width="11.81640625" style="145" customWidth="1"/>
    <col min="8964" max="8968" width="0" style="145" hidden="1" customWidth="1"/>
    <col min="8969" max="9216" width="9.1796875" style="145"/>
    <col min="9217" max="9217" width="15.7265625" style="145" customWidth="1"/>
    <col min="9218" max="9218" width="17.1796875" style="145" customWidth="1"/>
    <col min="9219" max="9219" width="11.81640625" style="145" customWidth="1"/>
    <col min="9220" max="9224" width="0" style="145" hidden="1" customWidth="1"/>
    <col min="9225" max="9472" width="9.1796875" style="145"/>
    <col min="9473" max="9473" width="15.7265625" style="145" customWidth="1"/>
    <col min="9474" max="9474" width="17.1796875" style="145" customWidth="1"/>
    <col min="9475" max="9475" width="11.81640625" style="145" customWidth="1"/>
    <col min="9476" max="9480" width="0" style="145" hidden="1" customWidth="1"/>
    <col min="9481" max="9728" width="9.1796875" style="145"/>
    <col min="9729" max="9729" width="15.7265625" style="145" customWidth="1"/>
    <col min="9730" max="9730" width="17.1796875" style="145" customWidth="1"/>
    <col min="9731" max="9731" width="11.81640625" style="145" customWidth="1"/>
    <col min="9732" max="9736" width="0" style="145" hidden="1" customWidth="1"/>
    <col min="9737" max="9984" width="9.1796875" style="145"/>
    <col min="9985" max="9985" width="15.7265625" style="145" customWidth="1"/>
    <col min="9986" max="9986" width="17.1796875" style="145" customWidth="1"/>
    <col min="9987" max="9987" width="11.81640625" style="145" customWidth="1"/>
    <col min="9988" max="9992" width="0" style="145" hidden="1" customWidth="1"/>
    <col min="9993" max="10240" width="9.1796875" style="145"/>
    <col min="10241" max="10241" width="15.7265625" style="145" customWidth="1"/>
    <col min="10242" max="10242" width="17.1796875" style="145" customWidth="1"/>
    <col min="10243" max="10243" width="11.81640625" style="145" customWidth="1"/>
    <col min="10244" max="10248" width="0" style="145" hidden="1" customWidth="1"/>
    <col min="10249" max="10496" width="9.1796875" style="145"/>
    <col min="10497" max="10497" width="15.7265625" style="145" customWidth="1"/>
    <col min="10498" max="10498" width="17.1796875" style="145" customWidth="1"/>
    <col min="10499" max="10499" width="11.81640625" style="145" customWidth="1"/>
    <col min="10500" max="10504" width="0" style="145" hidden="1" customWidth="1"/>
    <col min="10505" max="10752" width="9.1796875" style="145"/>
    <col min="10753" max="10753" width="15.7265625" style="145" customWidth="1"/>
    <col min="10754" max="10754" width="17.1796875" style="145" customWidth="1"/>
    <col min="10755" max="10755" width="11.81640625" style="145" customWidth="1"/>
    <col min="10756" max="10760" width="0" style="145" hidden="1" customWidth="1"/>
    <col min="10761" max="11008" width="9.1796875" style="145"/>
    <col min="11009" max="11009" width="15.7265625" style="145" customWidth="1"/>
    <col min="11010" max="11010" width="17.1796875" style="145" customWidth="1"/>
    <col min="11011" max="11011" width="11.81640625" style="145" customWidth="1"/>
    <col min="11012" max="11016" width="0" style="145" hidden="1" customWidth="1"/>
    <col min="11017" max="11264" width="9.1796875" style="145"/>
    <col min="11265" max="11265" width="15.7265625" style="145" customWidth="1"/>
    <col min="11266" max="11266" width="17.1796875" style="145" customWidth="1"/>
    <col min="11267" max="11267" width="11.81640625" style="145" customWidth="1"/>
    <col min="11268" max="11272" width="0" style="145" hidden="1" customWidth="1"/>
    <col min="11273" max="11520" width="9.1796875" style="145"/>
    <col min="11521" max="11521" width="15.7265625" style="145" customWidth="1"/>
    <col min="11522" max="11522" width="17.1796875" style="145" customWidth="1"/>
    <col min="11523" max="11523" width="11.81640625" style="145" customWidth="1"/>
    <col min="11524" max="11528" width="0" style="145" hidden="1" customWidth="1"/>
    <col min="11529" max="11776" width="9.1796875" style="145"/>
    <col min="11777" max="11777" width="15.7265625" style="145" customWidth="1"/>
    <col min="11778" max="11778" width="17.1796875" style="145" customWidth="1"/>
    <col min="11779" max="11779" width="11.81640625" style="145" customWidth="1"/>
    <col min="11780" max="11784" width="0" style="145" hidden="1" customWidth="1"/>
    <col min="11785" max="12032" width="9.1796875" style="145"/>
    <col min="12033" max="12033" width="15.7265625" style="145" customWidth="1"/>
    <col min="12034" max="12034" width="17.1796875" style="145" customWidth="1"/>
    <col min="12035" max="12035" width="11.81640625" style="145" customWidth="1"/>
    <col min="12036" max="12040" width="0" style="145" hidden="1" customWidth="1"/>
    <col min="12041" max="12288" width="9.1796875" style="145"/>
    <col min="12289" max="12289" width="15.7265625" style="145" customWidth="1"/>
    <col min="12290" max="12290" width="17.1796875" style="145" customWidth="1"/>
    <col min="12291" max="12291" width="11.81640625" style="145" customWidth="1"/>
    <col min="12292" max="12296" width="0" style="145" hidden="1" customWidth="1"/>
    <col min="12297" max="12544" width="9.1796875" style="145"/>
    <col min="12545" max="12545" width="15.7265625" style="145" customWidth="1"/>
    <col min="12546" max="12546" width="17.1796875" style="145" customWidth="1"/>
    <col min="12547" max="12547" width="11.81640625" style="145" customWidth="1"/>
    <col min="12548" max="12552" width="0" style="145" hidden="1" customWidth="1"/>
    <col min="12553" max="12800" width="9.1796875" style="145"/>
    <col min="12801" max="12801" width="15.7265625" style="145" customWidth="1"/>
    <col min="12802" max="12802" width="17.1796875" style="145" customWidth="1"/>
    <col min="12803" max="12803" width="11.81640625" style="145" customWidth="1"/>
    <col min="12804" max="12808" width="0" style="145" hidden="1" customWidth="1"/>
    <col min="12809" max="13056" width="9.1796875" style="145"/>
    <col min="13057" max="13057" width="15.7265625" style="145" customWidth="1"/>
    <col min="13058" max="13058" width="17.1796875" style="145" customWidth="1"/>
    <col min="13059" max="13059" width="11.81640625" style="145" customWidth="1"/>
    <col min="13060" max="13064" width="0" style="145" hidden="1" customWidth="1"/>
    <col min="13065" max="13312" width="9.1796875" style="145"/>
    <col min="13313" max="13313" width="15.7265625" style="145" customWidth="1"/>
    <col min="13314" max="13314" width="17.1796875" style="145" customWidth="1"/>
    <col min="13315" max="13315" width="11.81640625" style="145" customWidth="1"/>
    <col min="13316" max="13320" width="0" style="145" hidden="1" customWidth="1"/>
    <col min="13321" max="13568" width="9.1796875" style="145"/>
    <col min="13569" max="13569" width="15.7265625" style="145" customWidth="1"/>
    <col min="13570" max="13570" width="17.1796875" style="145" customWidth="1"/>
    <col min="13571" max="13571" width="11.81640625" style="145" customWidth="1"/>
    <col min="13572" max="13576" width="0" style="145" hidden="1" customWidth="1"/>
    <col min="13577" max="13824" width="9.1796875" style="145"/>
    <col min="13825" max="13825" width="15.7265625" style="145" customWidth="1"/>
    <col min="13826" max="13826" width="17.1796875" style="145" customWidth="1"/>
    <col min="13827" max="13827" width="11.81640625" style="145" customWidth="1"/>
    <col min="13828" max="13832" width="0" style="145" hidden="1" customWidth="1"/>
    <col min="13833" max="14080" width="9.1796875" style="145"/>
    <col min="14081" max="14081" width="15.7265625" style="145" customWidth="1"/>
    <col min="14082" max="14082" width="17.1796875" style="145" customWidth="1"/>
    <col min="14083" max="14083" width="11.81640625" style="145" customWidth="1"/>
    <col min="14084" max="14088" width="0" style="145" hidden="1" customWidth="1"/>
    <col min="14089" max="14336" width="9.1796875" style="145"/>
    <col min="14337" max="14337" width="15.7265625" style="145" customWidth="1"/>
    <col min="14338" max="14338" width="17.1796875" style="145" customWidth="1"/>
    <col min="14339" max="14339" width="11.81640625" style="145" customWidth="1"/>
    <col min="14340" max="14344" width="0" style="145" hidden="1" customWidth="1"/>
    <col min="14345" max="14592" width="9.1796875" style="145"/>
    <col min="14593" max="14593" width="15.7265625" style="145" customWidth="1"/>
    <col min="14594" max="14594" width="17.1796875" style="145" customWidth="1"/>
    <col min="14595" max="14595" width="11.81640625" style="145" customWidth="1"/>
    <col min="14596" max="14600" width="0" style="145" hidden="1" customWidth="1"/>
    <col min="14601" max="14848" width="9.1796875" style="145"/>
    <col min="14849" max="14849" width="15.7265625" style="145" customWidth="1"/>
    <col min="14850" max="14850" width="17.1796875" style="145" customWidth="1"/>
    <col min="14851" max="14851" width="11.81640625" style="145" customWidth="1"/>
    <col min="14852" max="14856" width="0" style="145" hidden="1" customWidth="1"/>
    <col min="14857" max="15104" width="9.1796875" style="145"/>
    <col min="15105" max="15105" width="15.7265625" style="145" customWidth="1"/>
    <col min="15106" max="15106" width="17.1796875" style="145" customWidth="1"/>
    <col min="15107" max="15107" width="11.81640625" style="145" customWidth="1"/>
    <col min="15108" max="15112" width="0" style="145" hidden="1" customWidth="1"/>
    <col min="15113" max="15360" width="9.1796875" style="145"/>
    <col min="15361" max="15361" width="15.7265625" style="145" customWidth="1"/>
    <col min="15362" max="15362" width="17.1796875" style="145" customWidth="1"/>
    <col min="15363" max="15363" width="11.81640625" style="145" customWidth="1"/>
    <col min="15364" max="15368" width="0" style="145" hidden="1" customWidth="1"/>
    <col min="15369" max="15616" width="9.1796875" style="145"/>
    <col min="15617" max="15617" width="15.7265625" style="145" customWidth="1"/>
    <col min="15618" max="15618" width="17.1796875" style="145" customWidth="1"/>
    <col min="15619" max="15619" width="11.81640625" style="145" customWidth="1"/>
    <col min="15620" max="15624" width="0" style="145" hidden="1" customWidth="1"/>
    <col min="15625" max="15872" width="9.1796875" style="145"/>
    <col min="15873" max="15873" width="15.7265625" style="145" customWidth="1"/>
    <col min="15874" max="15874" width="17.1796875" style="145" customWidth="1"/>
    <col min="15875" max="15875" width="11.81640625" style="145" customWidth="1"/>
    <col min="15876" max="15880" width="0" style="145" hidden="1" customWidth="1"/>
    <col min="15881" max="16128" width="9.1796875" style="145"/>
    <col min="16129" max="16129" width="15.7265625" style="145" customWidth="1"/>
    <col min="16130" max="16130" width="17.1796875" style="145" customWidth="1"/>
    <col min="16131" max="16131" width="11.81640625" style="145" customWidth="1"/>
    <col min="16132" max="16136" width="0" style="145" hidden="1" customWidth="1"/>
    <col min="16137" max="16384" width="9.1796875" style="145"/>
  </cols>
  <sheetData>
    <row r="1" spans="1:22" ht="13" customHeight="1" thickBot="1" x14ac:dyDescent="0.35">
      <c r="A1" s="162"/>
      <c r="B1" s="162"/>
      <c r="C1" s="162"/>
      <c r="D1" s="162"/>
      <c r="E1" s="162"/>
      <c r="F1" s="162"/>
      <c r="G1" s="162"/>
      <c r="H1" s="162"/>
      <c r="I1" s="162"/>
      <c r="J1" s="162"/>
      <c r="K1" s="162"/>
      <c r="L1" s="162"/>
      <c r="M1" s="162"/>
      <c r="N1" s="162"/>
      <c r="O1" s="162"/>
      <c r="P1" s="162"/>
    </row>
    <row r="6" spans="1:22" ht="13" customHeight="1" x14ac:dyDescent="0.35">
      <c r="A6" s="163" t="s">
        <v>103</v>
      </c>
      <c r="B6" s="164"/>
      <c r="C6" s="164"/>
      <c r="D6" s="164"/>
      <c r="E6" s="164"/>
      <c r="F6" s="164"/>
      <c r="Q6" s="139" t="s">
        <v>284</v>
      </c>
      <c r="R6" s="139"/>
      <c r="S6" s="139"/>
      <c r="T6" s="139" t="s">
        <v>285</v>
      </c>
      <c r="U6" s="139"/>
      <c r="V6" s="139"/>
    </row>
    <row r="7" spans="1:22" ht="13" customHeight="1" x14ac:dyDescent="0.3">
      <c r="Q7" s="139" t="s">
        <v>266</v>
      </c>
      <c r="R7" s="139" t="s">
        <v>267</v>
      </c>
      <c r="S7" s="139"/>
      <c r="T7" s="139" t="s">
        <v>266</v>
      </c>
      <c r="U7" s="139" t="s">
        <v>267</v>
      </c>
      <c r="V7" s="139"/>
    </row>
    <row r="8" spans="1:22" ht="13" customHeight="1" x14ac:dyDescent="0.3">
      <c r="A8" s="145" t="s">
        <v>104</v>
      </c>
      <c r="B8" s="137">
        <v>1E-3</v>
      </c>
      <c r="C8" s="165" t="s">
        <v>10</v>
      </c>
      <c r="D8" s="145" t="s">
        <v>253</v>
      </c>
      <c r="E8" s="166">
        <f>+Irip/2</f>
        <v>0.53615196078431382</v>
      </c>
      <c r="F8" s="165" t="s">
        <v>10</v>
      </c>
      <c r="G8" s="142"/>
      <c r="H8" s="142"/>
      <c r="I8" s="142"/>
      <c r="Q8" s="139">
        <v>1E-3</v>
      </c>
      <c r="R8" s="139">
        <v>2.9740140845337932</v>
      </c>
      <c r="S8" s="139"/>
      <c r="T8" s="139">
        <v>1E-3</v>
      </c>
      <c r="U8" s="139">
        <v>4.6680216801244745</v>
      </c>
      <c r="V8" s="139"/>
    </row>
    <row r="9" spans="1:22" ht="13" customHeight="1" x14ac:dyDescent="0.3">
      <c r="A9" s="145" t="s">
        <v>105</v>
      </c>
      <c r="B9" s="137">
        <f>+Iout</f>
        <v>3</v>
      </c>
      <c r="C9" s="165" t="s">
        <v>10</v>
      </c>
      <c r="D9" s="142"/>
      <c r="E9" s="142"/>
      <c r="F9" s="142"/>
      <c r="G9" s="142"/>
      <c r="H9" s="142"/>
      <c r="I9" s="167" t="str">
        <f>IF(B9&gt;6,"Over Limit of IC!"," ")</f>
        <v xml:space="preserve"> </v>
      </c>
      <c r="Q9" s="139">
        <v>3.9990000000000008E-3</v>
      </c>
      <c r="R9" s="139">
        <v>10.894187663280368</v>
      </c>
      <c r="S9" s="139"/>
      <c r="T9" s="139">
        <v>1.9989999999999999E-3</v>
      </c>
      <c r="U9" s="139">
        <v>8.8999427022159416</v>
      </c>
      <c r="V9" s="139"/>
    </row>
    <row r="10" spans="1:22" s="144" customFormat="1" ht="16.5" customHeight="1" x14ac:dyDescent="0.3">
      <c r="Q10" s="143">
        <v>6.9980000000000007E-3</v>
      </c>
      <c r="R10" s="143">
        <v>17.586670803169387</v>
      </c>
      <c r="S10" s="143"/>
      <c r="T10" s="143">
        <v>2.9980000000000002E-3</v>
      </c>
      <c r="U10" s="143">
        <v>12.757696967755452</v>
      </c>
      <c r="V10" s="143"/>
    </row>
    <row r="11" spans="1:22" s="144" customFormat="1" ht="13" customHeight="1" x14ac:dyDescent="0.3">
      <c r="A11" s="143" t="s">
        <v>9</v>
      </c>
      <c r="B11" s="143" t="s">
        <v>106</v>
      </c>
      <c r="C11" s="143" t="s">
        <v>38</v>
      </c>
      <c r="D11" s="143" t="s">
        <v>107</v>
      </c>
      <c r="E11" s="143" t="s">
        <v>108</v>
      </c>
      <c r="F11" s="143" t="s">
        <v>109</v>
      </c>
      <c r="G11" s="143" t="s">
        <v>110</v>
      </c>
      <c r="H11" s="143" t="s">
        <v>111</v>
      </c>
      <c r="I11" s="143" t="s">
        <v>157</v>
      </c>
      <c r="J11" s="143"/>
      <c r="K11" s="129"/>
      <c r="Q11" s="143">
        <v>1.2996000000000001E-2</v>
      </c>
      <c r="R11" s="143">
        <v>28.275784900835589</v>
      </c>
      <c r="S11" s="143"/>
      <c r="T11" s="143">
        <v>4.9960000000000004E-3</v>
      </c>
      <c r="U11" s="143">
        <v>19.532607421001526</v>
      </c>
      <c r="V11" s="143"/>
    </row>
    <row r="12" spans="1:22" s="144" customFormat="1" ht="13" customHeight="1" x14ac:dyDescent="0.3">
      <c r="A12" s="168">
        <f>Imin</f>
        <v>1E-3</v>
      </c>
      <c r="B12" s="169">
        <f t="shared" ref="B12" si="0">SUM(D12:I12)</f>
        <v>7.0282576027059437E-2</v>
      </c>
      <c r="C12" s="170">
        <f t="shared" ref="C12:C41" si="1">(Vout*A12)/((Vout*A12)+B12)*100</f>
        <v>6.6416430784764975</v>
      </c>
      <c r="D12" s="171">
        <f>F45^2*Ron_u/'Power Loss'!$B$41/1000+Vin*(A12-0.5*E45)*'Power Loss'!$B$39*10^(-9)*B45/2+Vin*(A12+0.5*E45)*'Power Loss'!$B$40*10^(-9)*B45/2+Vin*B45*'Power Loss'!$B$35*10^(-9)*'Power Loss'!$B$41+0.5*'Power Loss'!$B$38*10^(-9)*Vin^2*B45*'Power Loss'!$B$41</f>
        <v>8.5362159176193067E-3</v>
      </c>
      <c r="E12" s="171">
        <f>G45^2*'Power Loss'!$B$50/1000/'Power Loss'!$B$58+'Power Loss'!$B$51*B45*((A12+0.5*E45)*'Power Loss'!$B$56*10^(-9)+(A12-0.5*E45)*'Power Loss'!$B$57*10^(-9))+0.5*'Power Loss'!$B$52*Vin*B45*'Power Loss'!$B$58*10^(-9)+'Power Loss'!$B$55*10^(-9)*'Power Loss'!$B$58*Vin^2*B45/2</f>
        <v>6.8897475092263936E-3</v>
      </c>
      <c r="F12" s="172">
        <f>B45*'Power Loss'!$B$66*'Power Loss'!$B$36*10^(-9)*'Power Loss'!$B$41+B45*'Power Loss'!$B$67*'Power Loss'!$B$53*10^(-9)*'Power Loss'!$B$58+'Power Loss'!$B$67*'Power Loss'!$B$68*0.001</f>
        <v>4.0266998660429577E-2</v>
      </c>
      <c r="G12" s="171">
        <f t="shared" ref="G12:G41" si="2">1.68*10^(-9)*(B45/1000)^1.35*(57.8*0.5*E45)^2.263+DCR/1000*(A12*SQRT(1+1/3*(E45/A12)^2))^2</f>
        <v>1.4445876259753385E-2</v>
      </c>
      <c r="H12" s="171">
        <f>(0.5*E45/SQRT(3))^2*'Power Loss'!$B$20/'Power Loss'!$B$18/1000</f>
        <v>1.4373768003077961E-4</v>
      </c>
      <c r="I12" s="143">
        <f>IF('Power Loss'!$F$15&gt;3.2,0,(Vin-'Power Loss'!$B$66)*'Power Loss'!$B$68*10^(-3)*('Efficiency Summary'!B45/(Fs*10^3))^2)</f>
        <v>0</v>
      </c>
      <c r="J12" s="143"/>
      <c r="K12" s="129"/>
      <c r="Q12" s="143">
        <v>1.8994E-2</v>
      </c>
      <c r="R12" s="143">
        <v>36.43242974596518</v>
      </c>
      <c r="S12" s="143"/>
      <c r="T12" s="143">
        <v>6.9940000000000002E-3</v>
      </c>
      <c r="U12" s="143">
        <v>25.28838322724739</v>
      </c>
      <c r="V12" s="143"/>
    </row>
    <row r="13" spans="1:22" s="144" customFormat="1" ht="13" customHeight="1" x14ac:dyDescent="0.3">
      <c r="A13" s="168">
        <f>Imin+(Imax-Imin)*0.001</f>
        <v>3.9990000000000008E-3</v>
      </c>
      <c r="B13" s="169">
        <f t="shared" ref="B13:B41" si="3">SUM(D13:I13)</f>
        <v>7.0337145531751605E-2</v>
      </c>
      <c r="C13" s="170">
        <f t="shared" si="1"/>
        <v>22.134977401784166</v>
      </c>
      <c r="D13" s="171">
        <f>F46^2*Ron_u/'Power Loss'!$B$41/1000+Vin*(A13-0.5*E46)*'Power Loss'!$B$39*10^(-9)*B46/2+Vin*(A13+0.5*E46)*'Power Loss'!$B$40*10^(-9)*B46/2+Vin*B46*'Power Loss'!$B$35*10^(-9)*'Power Loss'!$B$41+0.5*'Power Loss'!$B$38*10^(-9)*Vin^2*B46*'Power Loss'!$B$41</f>
        <v>8.5546883790016716E-3</v>
      </c>
      <c r="E13" s="171">
        <f>G46^2*'Power Loss'!$B$50/1000/'Power Loss'!$B$58+'Power Loss'!$B$51*B46*((A13+0.5*E46)*'Power Loss'!$B$56*10^(-9)+(A13-0.5*E46)*'Power Loss'!$B$57*10^(-9))+0.5*'Power Loss'!$B$52*Vin*B46*'Power Loss'!$B$58*10^(-9)+'Power Loss'!$B$55*10^(-9)*'Power Loss'!$B$58*Vin^2*B46/2</f>
        <v>6.9069042918066996E-3</v>
      </c>
      <c r="F13" s="172">
        <f>B46*'Power Loss'!$B$66*'Power Loss'!$B$36*10^(-9)*'Power Loss'!$B$41+B46*'Power Loss'!$B$67*'Power Loss'!$B$53*10^(-9)*'Power Loss'!$B$58+'Power Loss'!$B$67*'Power Loss'!$B$68*0.001</f>
        <v>4.0267999285302572E-2</v>
      </c>
      <c r="G13" s="171">
        <f t="shared" si="2"/>
        <v>1.4463791249045822E-2</v>
      </c>
      <c r="H13" s="171">
        <f>(0.5*E46/SQRT(3))^2*'Power Loss'!$B$20/'Power Loss'!$B$18/1000</f>
        <v>1.4376232659483651E-4</v>
      </c>
      <c r="I13" s="143">
        <f>IF('Power Loss'!$F$15&gt;3.2,0,(Vin-'Power Loss'!$B$66)*'Power Loss'!$B$68*10^(-3)*('Efficiency Summary'!B46/(Fs*10^3))^2)</f>
        <v>0</v>
      </c>
      <c r="J13" s="143"/>
      <c r="K13" s="129"/>
      <c r="Q13" s="143">
        <v>2.4992000000000004E-2</v>
      </c>
      <c r="R13" s="143">
        <v>42.859575208823458</v>
      </c>
      <c r="S13" s="143"/>
      <c r="T13" s="143">
        <v>8.992E-3</v>
      </c>
      <c r="U13" s="143">
        <v>30.23819707233412</v>
      </c>
      <c r="V13" s="143"/>
    </row>
    <row r="14" spans="1:22" s="144" customFormat="1" ht="13" customHeight="1" x14ac:dyDescent="0.3">
      <c r="A14" s="168">
        <f>Imin+(Imax-Imin)*0.002</f>
        <v>6.9980000000000007E-3</v>
      </c>
      <c r="B14" s="169">
        <f t="shared" si="3"/>
        <v>7.039467110492667E-2</v>
      </c>
      <c r="C14" s="170">
        <f t="shared" si="1"/>
        <v>33.202172225941737</v>
      </c>
      <c r="D14" s="171">
        <f>F47^2*Ron_u/'Power Loss'!$B$41/1000+Vin*(A14-0.5*E47)*'Power Loss'!$B$39*10^(-9)*B47/2+Vin*(A14+0.5*E47)*'Power Loss'!$B$40*10^(-9)*B47/2+Vin*B47*'Power Loss'!$B$35*10^(-9)*'Power Loss'!$B$41+0.5*'Power Loss'!$B$38*10^(-9)*Vin^2*B47*'Power Loss'!$B$41</f>
        <v>8.5745831731635358E-3</v>
      </c>
      <c r="E14" s="171">
        <f>G47^2*'Power Loss'!$B$50/1000/'Power Loss'!$B$58+'Power Loss'!$B$51*B47*((A14+0.5*E47)*'Power Loss'!$B$56*10^(-9)+(A14-0.5*E47)*'Power Loss'!$B$57*10^(-9))+0.5*'Power Loss'!$B$52*Vin*B47*'Power Loss'!$B$58*10^(-9)+'Power Loss'!$B$55*10^(-9)*'Power Loss'!$B$58*Vin^2*B47/2</f>
        <v>6.9249094610241745E-3</v>
      </c>
      <c r="F14" s="172">
        <f>B47*'Power Loss'!$B$66*'Power Loss'!$B$36*10^(-9)*'Power Loss'!$B$41+B47*'Power Loss'!$B$67*'Power Loss'!$B$53*10^(-9)*'Power Loss'!$B$58+'Power Loss'!$B$67*'Power Loss'!$B$68*0.001</f>
        <v>4.0269007438427672E-2</v>
      </c>
      <c r="G14" s="171">
        <f t="shared" si="2"/>
        <v>1.4482384055749566E-2</v>
      </c>
      <c r="H14" s="171">
        <f>(0.5*E47/SQRT(3))^2*'Power Loss'!$B$20/'Power Loss'!$B$18/1000</f>
        <v>1.4378697656172495E-4</v>
      </c>
      <c r="I14" s="143">
        <f>IF('Power Loss'!$F$15&gt;3.2,0,(Vin-'Power Loss'!$B$66)*'Power Loss'!$B$68*10^(-3)*('Efficiency Summary'!B47/(Fs*10^3))^2)</f>
        <v>0</v>
      </c>
      <c r="J14" s="143"/>
      <c r="K14" s="129"/>
      <c r="Q14" s="143">
        <v>3.0990000000000004E-2</v>
      </c>
      <c r="R14" s="143">
        <v>48.053169634406004</v>
      </c>
      <c r="S14" s="143"/>
      <c r="T14" s="143">
        <v>1.099E-2</v>
      </c>
      <c r="U14" s="143">
        <v>34.539638971836339</v>
      </c>
      <c r="V14" s="143"/>
    </row>
    <row r="15" spans="1:22" s="144" customFormat="1" ht="13" customHeight="1" x14ac:dyDescent="0.3">
      <c r="A15" s="168">
        <f>Imin+(Imax-Imin)*0.004</f>
        <v>1.2996000000000001E-2</v>
      </c>
      <c r="B15" s="169">
        <f t="shared" si="3"/>
        <v>7.0518609489905473E-2</v>
      </c>
      <c r="C15" s="170">
        <f t="shared" si="1"/>
        <v>47.956211687058641</v>
      </c>
      <c r="D15" s="171">
        <f>F48^2*Ron_u/'Power Loss'!$B$41/1000+Vin*(A15-0.5*E48)*'Power Loss'!$B$39*10^(-9)*B48/2+Vin*(A15+0.5*E48)*'Power Loss'!$B$40*10^(-9)*B48/2+Vin*B48*'Power Loss'!$B$35*10^(-9)*'Power Loss'!$B$41+0.5*'Power Loss'!$B$38*10^(-9)*Vin^2*B48*'Power Loss'!$B$41</f>
        <v>8.6186464398104925E-3</v>
      </c>
      <c r="E15" s="171">
        <f>G48^2*'Power Loss'!$B$50/1000/'Power Loss'!$B$58+'Power Loss'!$B$51*B48*((A15+0.5*E48)*'Power Loss'!$B$56*10^(-9)+(A15-0.5*E48)*'Power Loss'!$B$57*10^(-9))+0.5*'Power Loss'!$B$52*Vin*B48*'Power Loss'!$B$58*10^(-9)+'Power Loss'!$B$55*10^(-9)*'Power Loss'!$B$58*Vin^2*B48/2</f>
        <v>6.9634699422838359E-3</v>
      </c>
      <c r="F15" s="172">
        <f>B48*'Power Loss'!$B$66*'Power Loss'!$B$36*10^(-9)*'Power Loss'!$B$41+B48*'Power Loss'!$B$67*'Power Loss'!$B$53*10^(-9)*'Power Loss'!$B$58+'Power Loss'!$B$67*'Power Loss'!$B$68*0.001</f>
        <v>4.0271046671845487E-2</v>
      </c>
      <c r="G15" s="171">
        <f t="shared" si="2"/>
        <v>1.4521610149259933E-2</v>
      </c>
      <c r="H15" s="171">
        <f>(0.5*E48/SQRT(3))^2*'Power Loss'!$B$20/'Power Loss'!$B$18/1000</f>
        <v>1.4383628670572882E-4</v>
      </c>
      <c r="I15" s="143">
        <f>IF('Power Loss'!$F$15&gt;3.2,0,(Vin-'Power Loss'!$B$66)*'Power Loss'!$B$68*10^(-3)*('Efficiency Summary'!B48/(Fs*10^3))^2)</f>
        <v>0</v>
      </c>
      <c r="J15" s="143"/>
      <c r="K15" s="129"/>
      <c r="Q15" s="143">
        <v>6.0980000000000006E-2</v>
      </c>
      <c r="R15" s="143">
        <v>63.894636019130388</v>
      </c>
      <c r="S15" s="143"/>
      <c r="T15" s="143">
        <v>2.0980000000000002E-2</v>
      </c>
      <c r="U15" s="143">
        <v>49.667632884161335</v>
      </c>
      <c r="V15" s="143"/>
    </row>
    <row r="16" spans="1:22" s="144" customFormat="1" ht="13" customHeight="1" x14ac:dyDescent="0.3">
      <c r="A16" s="168">
        <f>Imin+(Imax-Imin)*0.006</f>
        <v>1.8994E-2</v>
      </c>
      <c r="B16" s="169">
        <f t="shared" si="3"/>
        <v>7.0654429968823526E-2</v>
      </c>
      <c r="C16" s="170">
        <f t="shared" si="1"/>
        <v>57.340574707412884</v>
      </c>
      <c r="D16" s="171">
        <f>F49^2*Ron_u/'Power Loss'!$B$41/1000+Vin*(A16-0.5*E49)*'Power Loss'!$B$39*10^(-9)*B49/2+Vin*(A16+0.5*E49)*'Power Loss'!$B$40*10^(-9)*B49/2+Vin*B49*'Power Loss'!$B$35*10^(-9)*'Power Loss'!$B$41+0.5*'Power Loss'!$B$38*10^(-9)*Vin^2*B49*'Power Loss'!$B$41</f>
        <v>8.6684192817420118E-3</v>
      </c>
      <c r="E16" s="171">
        <f>G49^2*'Power Loss'!$B$50/1000/'Power Loss'!$B$58+'Power Loss'!$B$51*B49*((A16+0.5*E49)*'Power Loss'!$B$56*10^(-9)+(A16-0.5*E49)*'Power Loss'!$B$57*10^(-9))+0.5*'Power Loss'!$B$52*Vin*B49*'Power Loss'!$B$58*10^(-9)+'Power Loss'!$B$55*10^(-9)*'Power Loss'!$B$58*Vin^2*B49/2</f>
        <v>7.0054391294181919E-3</v>
      </c>
      <c r="F16" s="172">
        <f>B49*'Power Loss'!$B$66*'Power Loss'!$B$36*10^(-9)*'Power Loss'!$B$41+B49*'Power Loss'!$B$67*'Power Loss'!$B$53*10^(-9)*'Power Loss'!$B$58+'Power Loss'!$B$67*'Power Loss'!$B$68*0.001</f>
        <v>4.0273117058583094E-2</v>
      </c>
      <c r="G16" s="171">
        <f t="shared" si="2"/>
        <v>1.4563568888613976E-2</v>
      </c>
      <c r="H16" s="171">
        <f>(0.5*E49/SQRT(3))^2*'Power Loss'!$B$20/'Power Loss'!$B$18/1000</f>
        <v>1.438856104662562E-4</v>
      </c>
      <c r="I16" s="143">
        <f>IF('Power Loss'!$F$15&gt;3.2,0,(Vin-'Power Loss'!$B$66)*'Power Loss'!$B$68*10^(-3)*('Efficiency Summary'!B49/(Fs*10^3))^2)</f>
        <v>0</v>
      </c>
      <c r="J16" s="143"/>
      <c r="K16" s="129"/>
      <c r="Q16" s="143">
        <v>0.12096000000000001</v>
      </c>
      <c r="R16" s="143">
        <v>76.759616305050443</v>
      </c>
      <c r="S16" s="143"/>
      <c r="T16" s="143">
        <v>4.0960000000000003E-2</v>
      </c>
      <c r="U16" s="143">
        <v>64.843325195060402</v>
      </c>
      <c r="V16" s="143"/>
    </row>
    <row r="17" spans="1:22" s="144" customFormat="1" ht="13" customHeight="1" x14ac:dyDescent="0.3">
      <c r="A17" s="168">
        <f>Imin+(Imax-Imin)*0.008</f>
        <v>2.4992000000000004E-2</v>
      </c>
      <c r="B17" s="169">
        <f t="shared" si="3"/>
        <v>7.0802172513213565E-2</v>
      </c>
      <c r="C17" s="170">
        <f t="shared" si="1"/>
        <v>63.832556819201336</v>
      </c>
      <c r="D17" s="171">
        <f>F50^2*Ron_u/'Power Loss'!$B$41/1000+Vin*(A17-0.5*E50)*'Power Loss'!$B$39*10^(-9)*B50/2+Vin*(A17+0.5*E50)*'Power Loss'!$B$40*10^(-9)*B50/2+Vin*B50*'Power Loss'!$B$35*10^(-9)*'Power Loss'!$B$41+0.5*'Power Loss'!$B$38*10^(-9)*Vin^2*B50*'Power Loss'!$B$41</f>
        <v>8.7239155986673124E-3</v>
      </c>
      <c r="E17" s="171">
        <f>G50^2*'Power Loss'!$B$50/1000/'Power Loss'!$B$58+'Power Loss'!$B$51*B50*((A17+0.5*E50)*'Power Loss'!$B$56*10^(-9)+(A17-0.5*E50)*'Power Loss'!$B$57*10^(-9))+0.5*'Power Loss'!$B$52*Vin*B50*'Power Loss'!$B$58*10^(-9)+'Power Loss'!$B$55*10^(-9)*'Power Loss'!$B$58*Vin^2*B50/2</f>
        <v>7.0508275448616063E-3</v>
      </c>
      <c r="F17" s="172">
        <f>B50*'Power Loss'!$B$66*'Power Loss'!$B$36*10^(-9)*'Power Loss'!$B$41+B50*'Power Loss'!$B$67*'Power Loss'!$B$53*10^(-9)*'Power Loss'!$B$58+'Power Loss'!$B$67*'Power Loss'!$B$68*0.001</f>
        <v>4.0275219318028299E-2</v>
      </c>
      <c r="G17" s="171">
        <f t="shared" si="2"/>
        <v>1.4608275103809569E-2</v>
      </c>
      <c r="H17" s="171">
        <f>(0.5*E50/SQRT(3))^2*'Power Loss'!$B$20/'Power Loss'!$B$18/1000</f>
        <v>1.4393494784677245E-4</v>
      </c>
      <c r="I17" s="143">
        <f>IF('Power Loss'!$F$15&gt;3.2,0,(Vin-'Power Loss'!$B$66)*'Power Loss'!$B$68*10^(-3)*('Efficiency Summary'!B50/(Fs*10^3))^2)</f>
        <v>0</v>
      </c>
      <c r="J17" s="143"/>
      <c r="K17" s="129"/>
      <c r="Q17" s="143">
        <v>0.18093999999999999</v>
      </c>
      <c r="R17" s="143">
        <v>82.217702958768356</v>
      </c>
      <c r="S17" s="143"/>
      <c r="T17" s="143">
        <v>6.0940000000000001E-2</v>
      </c>
      <c r="U17" s="143">
        <v>72.365251433408559</v>
      </c>
      <c r="V17" s="143"/>
    </row>
    <row r="18" spans="1:22" s="144" customFormat="1" ht="13" customHeight="1" x14ac:dyDescent="0.3">
      <c r="A18" s="168">
        <f>Imin+(Imax-Imin)*0.01</f>
        <v>3.0990000000000004E-2</v>
      </c>
      <c r="B18" s="169">
        <f t="shared" si="3"/>
        <v>7.096187832659967E-2</v>
      </c>
      <c r="C18" s="170">
        <f t="shared" si="1"/>
        <v>68.588690930181883</v>
      </c>
      <c r="D18" s="171">
        <f>F51^2*Ron_u/'Power Loss'!$B$41/1000+Vin*(A18-0.5*E51)*'Power Loss'!$B$39*10^(-9)*B51/2+Vin*(A18+0.5*E51)*'Power Loss'!$B$40*10^(-9)*B51/2+Vin*B51*'Power Loss'!$B$35*10^(-9)*'Power Loss'!$B$41+0.5*'Power Loss'!$B$38*10^(-9)*Vin^2*B51*'Power Loss'!$B$41</f>
        <v>8.7851496388148161E-3</v>
      </c>
      <c r="E18" s="171">
        <f>G51^2*'Power Loss'!$B$50/1000/'Power Loss'!$B$58+'Power Loss'!$B$51*B51*((A18+0.5*E51)*'Power Loss'!$B$56*10^(-9)+(A18-0.5*E51)*'Power Loss'!$B$57*10^(-9))+0.5*'Power Loss'!$B$52*Vin*B51*'Power Loss'!$B$58*10^(-9)+'Power Loss'!$B$55*10^(-9)*'Power Loss'!$B$58*Vin^2*B51/2</f>
        <v>7.0996460704990487E-3</v>
      </c>
      <c r="F18" s="172">
        <f>B51*'Power Loss'!$B$66*'Power Loss'!$B$36*10^(-9)*'Power Loss'!$B$41+B51*'Power Loss'!$B$67*'Power Loss'!$B$53*10^(-9)*'Power Loss'!$B$58+'Power Loss'!$B$67*'Power Loss'!$B$68*0.001</f>
        <v>4.0277354191890047E-2</v>
      </c>
      <c r="G18" s="171">
        <f t="shared" si="2"/>
        <v>1.4655744126545005E-2</v>
      </c>
      <c r="H18" s="171">
        <f>(0.5*E51/SQRT(3))^2*'Power Loss'!$B$20/'Power Loss'!$B$18/1000</f>
        <v>1.4398429885074452E-4</v>
      </c>
      <c r="I18" s="143">
        <f>IF('Power Loss'!$F$15&gt;3.2,0,(Vin-'Power Loss'!$B$66)*'Power Loss'!$B$68*10^(-3)*('Efficiency Summary'!B51/(Fs*10^3))^2)</f>
        <v>0</v>
      </c>
      <c r="J18" s="143"/>
      <c r="K18" s="129"/>
      <c r="Q18" s="143">
        <v>0.24092000000000002</v>
      </c>
      <c r="R18" s="143">
        <v>85.151377709540171</v>
      </c>
      <c r="S18" s="143"/>
      <c r="T18" s="143">
        <v>8.0920000000000006E-2</v>
      </c>
      <c r="U18" s="143">
        <v>76.786402846852198</v>
      </c>
      <c r="V18" s="143"/>
    </row>
    <row r="19" spans="1:22" s="144" customFormat="1" ht="13" customHeight="1" x14ac:dyDescent="0.3">
      <c r="A19" s="168">
        <f>Imin+(Imax-Imin)*0.02</f>
        <v>6.0980000000000006E-2</v>
      </c>
      <c r="B19" s="169">
        <f t="shared" si="3"/>
        <v>7.1941391242707431E-2</v>
      </c>
      <c r="C19" s="170">
        <f t="shared" si="1"/>
        <v>80.909371179883721</v>
      </c>
      <c r="D19" s="171">
        <f>F52^2*Ron_u/'Power Loss'!$B$41/1000+Vin*(A19-0.5*E52)*'Power Loss'!$B$39*10^(-9)*B52/2+Vin*(A19+0.5*E52)*'Power Loss'!$B$40*10^(-9)*B52/2+Vin*B52*'Power Loss'!$B$35*10^(-9)*'Power Loss'!$B$41+0.5*'Power Loss'!$B$38*10^(-9)*Vin^2*B52*'Power Loss'!$B$41</f>
        <v>9.1779105412844262E-3</v>
      </c>
      <c r="E19" s="171">
        <f>G52^2*'Power Loss'!$B$50/1000/'Power Loss'!$B$58+'Power Loss'!$B$51*B52*((A19+0.5*E52)*'Power Loss'!$B$56*10^(-9)+(A19-0.5*E52)*'Power Loss'!$B$57*10^(-9))+0.5*'Power Loss'!$B$52*Vin*B52*'Power Loss'!$B$58*10^(-9)+'Power Loss'!$B$55*10^(-9)*'Power Loss'!$B$58*Vin^2*B52/2</f>
        <v>7.3955982077237147E-3</v>
      </c>
      <c r="F19" s="172">
        <f>B52*'Power Loss'!$B$66*'Power Loss'!$B$36*10^(-9)*'Power Loss'!$B$41+B52*'Power Loss'!$B$67*'Power Loss'!$B$53*10^(-9)*'Power Loss'!$B$58+'Power Loss'!$B$67*'Power Loss'!$B$68*0.001</f>
        <v>4.0288545413222757E-2</v>
      </c>
      <c r="G19" s="171">
        <f t="shared" si="2"/>
        <v>1.4935105822132698E-2</v>
      </c>
      <c r="H19" s="171">
        <f>(0.5*E52/SQRT(3))^2*'Power Loss'!$B$20/'Power Loss'!$B$18/1000</f>
        <v>1.4423125834384716E-4</v>
      </c>
      <c r="I19" s="143">
        <f>IF('Power Loss'!$F$15&gt;3.2,0,(Vin-'Power Loss'!$B$66)*'Power Loss'!$B$68*10^(-3)*('Efficiency Summary'!B52/(Fs*10^3))^2)</f>
        <v>0</v>
      </c>
      <c r="J19" s="143"/>
      <c r="K19" s="129"/>
      <c r="Q19" s="143">
        <v>0.30090000000000006</v>
      </c>
      <c r="R19" s="143">
        <v>86.920997471014886</v>
      </c>
      <c r="S19" s="143"/>
      <c r="T19" s="143">
        <v>0.1009</v>
      </c>
      <c r="U19" s="143">
        <v>79.640392006145561</v>
      </c>
      <c r="V19" s="143"/>
    </row>
    <row r="20" spans="1:22" s="144" customFormat="1" ht="13" customHeight="1" x14ac:dyDescent="0.3">
      <c r="A20" s="168">
        <f>Imin+(Imax-Imin)*0.04</f>
        <v>0.12096000000000001</v>
      </c>
      <c r="B20" s="169">
        <f t="shared" si="3"/>
        <v>7.4825495212726134E-2</v>
      </c>
      <c r="C20" s="170">
        <f t="shared" si="1"/>
        <v>88.990187133973649</v>
      </c>
      <c r="D20" s="171">
        <f>F53^2*Ron_u/'Power Loss'!$B$41/1000+Vin*(A20-0.5*E53)*'Power Loss'!$B$39*10^(-9)*B53/2+Vin*(A20+0.5*E53)*'Power Loss'!$B$40*10^(-9)*B53/2+Vin*B53*'Power Loss'!$B$35*10^(-9)*'Power Loss'!$B$41+0.5*'Power Loss'!$B$38*10^(-9)*Vin^2*B53*'Power Loss'!$B$41</f>
        <v>1.0403119882277323E-2</v>
      </c>
      <c r="E20" s="171">
        <f>G53^2*'Power Loss'!$B$50/1000/'Power Loss'!$B$58+'Power Loss'!$B$51*B53*((A20+0.5*E53)*'Power Loss'!$B$56*10^(-9)+(A20-0.5*E53)*'Power Loss'!$B$57*10^(-9))+0.5*'Power Loss'!$B$52*Vin*B53*'Power Loss'!$B$58*10^(-9)+'Power Loss'!$B$55*10^(-9)*'Power Loss'!$B$58*Vin^2*B53/2</f>
        <v>8.2522203476438592E-3</v>
      </c>
      <c r="F20" s="172">
        <f>B53*'Power Loss'!$B$66*'Power Loss'!$B$36*10^(-9)*'Power Loss'!$B$41+B53*'Power Loss'!$B$67*'Power Loss'!$B$53*10^(-9)*'Power Loss'!$B$58+'Power Loss'!$B$67*'Power Loss'!$B$68*0.001</f>
        <v>4.0313875086755074E-2</v>
      </c>
      <c r="G20" s="171">
        <f t="shared" si="2"/>
        <v>1.5711553694964412E-2</v>
      </c>
      <c r="H20" s="171">
        <f>(0.5*E53/SQRT(3))^2*'Power Loss'!$B$20/'Power Loss'!$B$18/1000</f>
        <v>1.4472620108546184E-4</v>
      </c>
      <c r="I20" s="143">
        <f>IF('Power Loss'!$F$15&gt;3.2,0,(Vin-'Power Loss'!$B$66)*'Power Loss'!$B$68*10^(-3)*('Efficiency Summary'!B53/(Fs*10^3))^2)</f>
        <v>0</v>
      </c>
      <c r="J20" s="143"/>
      <c r="K20" s="129"/>
      <c r="Q20" s="143">
        <v>0.45084999999999997</v>
      </c>
      <c r="R20" s="143">
        <v>89.071060020990473</v>
      </c>
      <c r="S20" s="143"/>
      <c r="T20" s="143">
        <v>0.15084999999999998</v>
      </c>
      <c r="U20" s="143">
        <v>83.487069865139361</v>
      </c>
      <c r="V20" s="143"/>
    </row>
    <row r="21" spans="1:22" s="144" customFormat="1" ht="13" customHeight="1" x14ac:dyDescent="0.3">
      <c r="A21" s="168">
        <f>Imin+(Imax-Imin)*0.06</f>
        <v>0.18093999999999999</v>
      </c>
      <c r="B21" s="169">
        <f t="shared" si="3"/>
        <v>7.8995617958564496E-2</v>
      </c>
      <c r="C21" s="170">
        <f t="shared" si="1"/>
        <v>91.969505961356035</v>
      </c>
      <c r="D21" s="171">
        <f>F54^2*Ron_u/'Power Loss'!$B$41/1000+Vin*(A21-0.5*E54)*'Power Loss'!$B$39*10^(-9)*B54/2+Vin*(A21+0.5*E54)*'Power Loss'!$B$40*10^(-9)*B54/2+Vin*B54*'Power Loss'!$B$35*10^(-9)*'Power Loss'!$B$41+0.5*'Power Loss'!$B$38*10^(-9)*Vin^2*B54*'Power Loss'!$B$41</f>
        <v>1.223156092786155E-2</v>
      </c>
      <c r="E21" s="171">
        <f>G54^2*'Power Loss'!$B$50/1000/'Power Loss'!$B$58+'Power Loss'!$B$51*B54*((A21+0.5*E54)*'Power Loss'!$B$56*10^(-9)+(A21-0.5*E54)*'Power Loss'!$B$57*10^(-9))+0.5*'Power Loss'!$B$52*Vin*B54*'Power Loss'!$B$58*10^(-9)+'Power Loss'!$B$55*10^(-9)*'Power Loss'!$B$58*Vin^2*B54/2</f>
        <v>9.4761394598730474E-3</v>
      </c>
      <c r="F21" s="172">
        <f>B54*'Power Loss'!$B$66*'Power Loss'!$B$36*10^(-9)*'Power Loss'!$B$41+B54*'Power Loss'!$B$67*'Power Loss'!$B$53*10^(-9)*'Power Loss'!$B$58+'Power Loss'!$B$67*'Power Loss'!$B$68*0.001</f>
        <v>4.0344079790648489E-2</v>
      </c>
      <c r="G21" s="171">
        <f t="shared" si="2"/>
        <v>1.6798615268447507E-2</v>
      </c>
      <c r="H21" s="171">
        <f>(0.5*E54/SQRT(3))^2*'Power Loss'!$B$20/'Power Loss'!$B$18/1000</f>
        <v>1.4522251173391108E-4</v>
      </c>
      <c r="I21" s="143">
        <f>IF('Power Loss'!$F$15&gt;3.2,0,(Vin-'Power Loss'!$B$66)*'Power Loss'!$B$68*10^(-3)*('Efficiency Summary'!B54/(Fs*10^3))^2)</f>
        <v>0</v>
      </c>
      <c r="J21" s="143"/>
      <c r="K21" s="129"/>
      <c r="Q21" s="143">
        <v>0.60080000000000011</v>
      </c>
      <c r="R21" s="143">
        <v>89.76812666671772</v>
      </c>
      <c r="S21" s="143"/>
      <c r="T21" s="143">
        <v>0.20080000000000001</v>
      </c>
      <c r="U21" s="143">
        <v>85.17833662131477</v>
      </c>
      <c r="V21" s="143"/>
    </row>
    <row r="22" spans="1:22" s="144" customFormat="1" ht="13" customHeight="1" x14ac:dyDescent="0.3">
      <c r="A22" s="168">
        <f>Imin+(Imax-Imin)*0.08</f>
        <v>0.24092000000000002</v>
      </c>
      <c r="B22" s="169">
        <f t="shared" si="3"/>
        <v>8.4538743658142665E-2</v>
      </c>
      <c r="C22" s="170">
        <f t="shared" si="1"/>
        <v>93.442230785939302</v>
      </c>
      <c r="D22" s="171">
        <f>F55^2*Ron_u/'Power Loss'!$B$41/1000+Vin*(A22-0.5*E55)*'Power Loss'!$B$39*10^(-9)*B55/2+Vin*(A22+0.5*E55)*'Power Loss'!$B$40*10^(-9)*B55/2+Vin*B55*'Power Loss'!$B$35*10^(-9)*'Power Loss'!$B$41+0.5*'Power Loss'!$B$38*10^(-9)*Vin^2*B55*'Power Loss'!$B$41</f>
        <v>1.4690207278514599E-2</v>
      </c>
      <c r="E22" s="171">
        <f>G55^2*'Power Loss'!$B$50/1000/'Power Loss'!$B$58+'Power Loss'!$B$51*B55*((A22+0.5*E55)*'Power Loss'!$B$56*10^(-9)+(A22-0.5*E55)*'Power Loss'!$B$57*10^(-9))+0.5*'Power Loss'!$B$52*Vin*B55*'Power Loss'!$B$58*10^(-9)+'Power Loss'!$B$55*10^(-9)*'Power Loss'!$B$58*Vin^2*B55/2</f>
        <v>1.1091373972956384E-2</v>
      </c>
      <c r="F22" s="172">
        <f>B55*'Power Loss'!$B$66*'Power Loss'!$B$36*10^(-9)*'Power Loss'!$B$41+B55*'Power Loss'!$B$67*'Power Loss'!$B$53*10^(-9)*'Power Loss'!$B$58+'Power Loss'!$B$67*'Power Loss'!$B$68*0.001</f>
        <v>4.0380716777870772E-2</v>
      </c>
      <c r="G22" s="171">
        <f t="shared" si="2"/>
        <v>1.8230725435023323E-2</v>
      </c>
      <c r="H22" s="171">
        <f>(0.5*E55/SQRT(3))^2*'Power Loss'!$B$20/'Power Loss'!$B$18/1000</f>
        <v>1.4572019377757532E-4</v>
      </c>
      <c r="I22" s="143">
        <f>IF('Power Loss'!$F$15&gt;3.2,0,(Vin-'Power Loss'!$B$66)*'Power Loss'!$B$68*10^(-3)*('Efficiency Summary'!B55/(Fs*10^3))^2)</f>
        <v>0</v>
      </c>
      <c r="J22" s="143"/>
      <c r="K22" s="129"/>
      <c r="Q22" s="143">
        <v>0.75075000000000003</v>
      </c>
      <c r="R22" s="143">
        <v>90.677075598418028</v>
      </c>
      <c r="S22" s="143"/>
      <c r="T22" s="143">
        <v>0.25074999999999997</v>
      </c>
      <c r="U22" s="143">
        <v>87.110025779626227</v>
      </c>
      <c r="V22" s="143"/>
    </row>
    <row r="23" spans="1:22" s="144" customFormat="1" ht="13" customHeight="1" x14ac:dyDescent="0.3">
      <c r="A23" s="168">
        <f>Imin+(Imax-Imin)*0.1</f>
        <v>0.30090000000000006</v>
      </c>
      <c r="B23" s="169">
        <f t="shared" si="3"/>
        <v>9.1584352768213695E-2</v>
      </c>
      <c r="C23" s="170">
        <f t="shared" si="1"/>
        <v>94.261935303771907</v>
      </c>
      <c r="D23" s="171">
        <f>F56^2*Ron_u/'Power Loss'!$B$41/1000+Vin*(A23-0.5*E56)*'Power Loss'!$B$39*10^(-9)*B56/2+Vin*(A23+0.5*E56)*'Power Loss'!$B$40*10^(-9)*B56/2+Vin*B56*'Power Loss'!$B$35*10^(-9)*'Power Loss'!$B$41+0.5*'Power Loss'!$B$38*10^(-9)*Vin^2*B56*'Power Loss'!$B$41</f>
        <v>1.7817609535314517E-2</v>
      </c>
      <c r="E23" s="171">
        <f>G56^2*'Power Loss'!$B$50/1000/'Power Loss'!$B$58+'Power Loss'!$B$51*B56*((A23+0.5*E56)*'Power Loss'!$B$56*10^(-9)+(A23-0.5*E56)*'Power Loss'!$B$57*10^(-9))+0.5*'Power Loss'!$B$52*Vin*B56*'Power Loss'!$B$58*10^(-9)+'Power Loss'!$B$55*10^(-9)*'Power Loss'!$B$58*Vin^2*B56/2</f>
        <v>1.3133901072252591E-2</v>
      </c>
      <c r="F23" s="172">
        <f>B56*'Power Loss'!$B$66*'Power Loss'!$B$36*10^(-9)*'Power Loss'!$B$41+B56*'Power Loss'!$B$67*'Power Loss'!$B$53*10^(-9)*'Power Loss'!$B$58+'Power Loss'!$B$67*'Power Loss'!$B$68*0.001</f>
        <v>4.042608559304784E-2</v>
      </c>
      <c r="G23" s="171">
        <f t="shared" si="2"/>
        <v>2.0060537316883773E-2</v>
      </c>
      <c r="H23" s="171">
        <f>(0.5*E56/SQRT(3))^2*'Power Loss'!$B$20/'Power Loss'!$B$18/1000</f>
        <v>1.4621925071496236E-4</v>
      </c>
      <c r="I23" s="143">
        <f>IF('Power Loss'!$F$15&gt;3.2,0,(Vin-'Power Loss'!$B$66)*'Power Loss'!$B$68*10^(-3)*('Efficiency Summary'!B56/(Fs*10^3))^2)</f>
        <v>0</v>
      </c>
      <c r="J23" s="143"/>
      <c r="K23" s="129"/>
      <c r="Q23" s="143">
        <v>0.90069999999999995</v>
      </c>
      <c r="R23" s="143">
        <v>91.17882556494402</v>
      </c>
      <c r="S23" s="143"/>
      <c r="T23" s="143">
        <v>0.30069999999999997</v>
      </c>
      <c r="U23" s="143">
        <v>88.383784061401997</v>
      </c>
      <c r="V23" s="143"/>
    </row>
    <row r="24" spans="1:22" s="144" customFormat="1" ht="13" customHeight="1" x14ac:dyDescent="0.3">
      <c r="A24" s="168">
        <f>Imin+(Imax-Imin)*0.15</f>
        <v>0.45084999999999997</v>
      </c>
      <c r="B24" s="169">
        <f t="shared" si="3"/>
        <v>0.11744862684314063</v>
      </c>
      <c r="C24" s="170">
        <f t="shared" si="1"/>
        <v>95.047910998731282</v>
      </c>
      <c r="D24" s="171">
        <f>F57^2*Ron_u/'Power Loss'!$B$41/1000+Vin*(A24-0.5*E57)*'Power Loss'!$B$39*10^(-9)*B57/2+Vin*(A24+0.5*E57)*'Power Loss'!$B$40*10^(-9)*B57/2+Vin*B57*'Power Loss'!$B$35*10^(-9)*'Power Loss'!$B$41+0.5*'Power Loss'!$B$38*10^(-9)*Vin^2*B57*'Power Loss'!$B$41</f>
        <v>2.9034570714540638E-2</v>
      </c>
      <c r="E24" s="171">
        <f>G57^2*'Power Loss'!$B$50/1000/'Power Loss'!$B$58+'Power Loss'!$B$51*B57*((A24+0.5*E57)*'Power Loss'!$B$56*10^(-9)+(A24-0.5*E57)*'Power Loss'!$B$57*10^(-9))+0.5*'Power Loss'!$B$52*Vin*B57*'Power Loss'!$B$58*10^(-9)+'Power Loss'!$B$55*10^(-9)*'Power Loss'!$B$58*Vin^2*B57/2</f>
        <v>2.0572708119105516E-2</v>
      </c>
      <c r="F24" s="172">
        <f>B57*'Power Loss'!$B$66*'Power Loss'!$B$36*10^(-9)*'Power Loss'!$B$41+B57*'Power Loss'!$B$67*'Power Loss'!$B$53*10^(-9)*'Power Loss'!$B$58+'Power Loss'!$B$67*'Power Loss'!$B$68*0.001</f>
        <v>4.0606887865155761E-2</v>
      </c>
      <c r="G24" s="171">
        <f t="shared" si="2"/>
        <v>2.7086987213069506E-2</v>
      </c>
      <c r="H24" s="171">
        <f>(0.5*E57/SQRT(3))^2*'Power Loss'!$B$20/'Power Loss'!$B$18/1000</f>
        <v>1.4747293126920213E-4</v>
      </c>
      <c r="I24" s="143">
        <f>IF('Power Loss'!$F$15&gt;3.2,0,(Vin-'Power Loss'!$B$66)*'Power Loss'!$B$68*10^(-3)*('Efficiency Summary'!B57/(Fs*10^3))^2)</f>
        <v>0</v>
      </c>
      <c r="J24" s="143"/>
      <c r="K24" s="129"/>
      <c r="Q24" s="143">
        <v>1.0506499999999999</v>
      </c>
      <c r="R24" s="143">
        <v>91.441568601261906</v>
      </c>
      <c r="S24" s="143"/>
      <c r="T24" s="143">
        <v>0.35064999999999996</v>
      </c>
      <c r="U24" s="143">
        <v>89.260191644453087</v>
      </c>
      <c r="V24" s="143"/>
    </row>
    <row r="25" spans="1:22" s="144" customFormat="1" ht="13" customHeight="1" x14ac:dyDescent="0.3">
      <c r="A25" s="168">
        <f>Imin+(Imax-Imin)*0.2</f>
        <v>0.60080000000000011</v>
      </c>
      <c r="B25" s="169">
        <f t="shared" si="3"/>
        <v>0.15189174709761011</v>
      </c>
      <c r="C25" s="170">
        <f t="shared" si="1"/>
        <v>95.187041911773406</v>
      </c>
      <c r="D25" s="171">
        <f>F58^2*Ron_u/'Power Loss'!$B$41/1000+Vin*(A25-0.5*E58)*'Power Loss'!$B$39*10^(-9)*B58/2+Vin*(A25+0.5*E58)*'Power Loss'!$B$40*10^(-9)*B58/2+Vin*B58*'Power Loss'!$B$35*10^(-9)*'Power Loss'!$B$41+0.5*'Power Loss'!$B$38*10^(-9)*Vin^2*B58*'Power Loss'!$B$41</f>
        <v>4.4452477802522317E-2</v>
      </c>
      <c r="E25" s="171">
        <f>G58^2*'Power Loss'!$B$50/1000/'Power Loss'!$B$58+'Power Loss'!$B$51*B58*((A25+0.5*E58)*'Power Loss'!$B$56*10^(-9)+(A25-0.5*E58)*'Power Loss'!$B$57*10^(-9))+0.5*'Power Loss'!$B$52*Vin*B58*'Power Loss'!$B$58*10^(-9)+'Power Loss'!$B$55*10^(-9)*'Power Loss'!$B$58*Vin^2*B58/2</f>
        <v>3.0287703705463978E-2</v>
      </c>
      <c r="F25" s="172">
        <f>B58*'Power Loss'!$B$66*'Power Loss'!$B$36*10^(-9)*'Power Loss'!$B$41+B58*'Power Loss'!$B$67*'Power Loss'!$B$53*10^(-9)*'Power Loss'!$B$58+'Power Loss'!$B$67*'Power Loss'!$B$68*0.001</f>
        <v>4.0800000000000003E-2</v>
      </c>
      <c r="G25" s="171">
        <f t="shared" si="2"/>
        <v>3.6202830307655129E-2</v>
      </c>
      <c r="H25" s="171">
        <f>(0.5*E58/SQRT(3))^2*'Power Loss'!$B$20/'Power Loss'!$B$18/1000</f>
        <v>1.4873528196868518E-4</v>
      </c>
      <c r="I25" s="143">
        <f>IF('Power Loss'!$F$15&gt;3.2,0,(Vin-'Power Loss'!$B$66)*'Power Loss'!$B$68*10^(-3)*('Efficiency Summary'!B58/(Fs*10^3))^2)</f>
        <v>0</v>
      </c>
      <c r="J25" s="143"/>
      <c r="K25" s="129"/>
      <c r="Q25" s="143">
        <v>1.2006000000000001</v>
      </c>
      <c r="R25" s="143">
        <v>91.552502252977703</v>
      </c>
      <c r="S25" s="143"/>
      <c r="T25" s="143">
        <v>0.40060000000000001</v>
      </c>
      <c r="U25" s="143">
        <v>89.878421707589098</v>
      </c>
      <c r="V25" s="143"/>
    </row>
    <row r="26" spans="1:22" s="144" customFormat="1" ht="13" customHeight="1" x14ac:dyDescent="0.3">
      <c r="A26" s="168">
        <f>Imin+(Imax-Imin)*0.25</f>
        <v>0.75075000000000003</v>
      </c>
      <c r="B26" s="169">
        <f t="shared" si="3"/>
        <v>0.18362583352354092</v>
      </c>
      <c r="C26" s="170">
        <f t="shared" si="1"/>
        <v>95.33633970219158</v>
      </c>
      <c r="D26" s="171">
        <f>F59^2*Ron_u/'Power Loss'!$B$41/1000+Vin*(A26-0.5*E59)*'Power Loss'!$B$39*10^(-9)*B59/2+Vin*(A26+0.5*E59)*'Power Loss'!$B$40*10^(-9)*B59/2+Vin*B59*'Power Loss'!$B$35*10^(-9)*'Power Loss'!$B$41+0.5*'Power Loss'!$B$38*10^(-9)*Vin^2*B59*'Power Loss'!$B$41</f>
        <v>6.111006840997029E-2</v>
      </c>
      <c r="E26" s="171">
        <f>G59^2*'Power Loss'!$B$50/1000/'Power Loss'!$B$58+'Power Loss'!$B$51*B59*((A26+0.5*E59)*'Power Loss'!$B$56*10^(-9)+(A26-0.5*E59)*'Power Loss'!$B$57*10^(-9))+0.5*'Power Loss'!$B$52*Vin*B59*'Power Loss'!$B$58*10^(-9)+'Power Loss'!$B$55*10^(-9)*'Power Loss'!$B$58*Vin^2*B59/2</f>
        <v>3.9050920840995783E-2</v>
      </c>
      <c r="F26" s="172">
        <f>B59*'Power Loss'!$B$66*'Power Loss'!$B$36*10^(-9)*'Power Loss'!$B$41+B59*'Power Loss'!$B$67*'Power Loss'!$B$53*10^(-9)*'Power Loss'!$B$58+'Power Loss'!$B$67*'Power Loss'!$B$68*0.001</f>
        <v>4.0800000000000003E-2</v>
      </c>
      <c r="G26" s="171">
        <f t="shared" si="2"/>
        <v>4.251483791425742E-2</v>
      </c>
      <c r="H26" s="171">
        <f>(0.5*E59/SQRT(3))^2*'Power Loss'!$B$20/'Power Loss'!$B$18/1000</f>
        <v>1.500063583174315E-4</v>
      </c>
      <c r="I26" s="143">
        <f>IF('Power Loss'!$F$15&gt;3.2,0,(Vin-'Power Loss'!$B$66)*'Power Loss'!$B$68*10^(-3)*('Efficiency Summary'!B59/(Fs*10^3))^2)</f>
        <v>0</v>
      </c>
      <c r="J26" s="143"/>
      <c r="K26" s="129"/>
      <c r="Q26" s="143">
        <v>1.3505499999999999</v>
      </c>
      <c r="R26" s="143">
        <v>91.561339774088111</v>
      </c>
      <c r="S26" s="143"/>
      <c r="T26" s="143">
        <v>0.45055000000000001</v>
      </c>
      <c r="U26" s="143">
        <v>90.319568707369427</v>
      </c>
      <c r="V26" s="143"/>
    </row>
    <row r="27" spans="1:22" s="144" customFormat="1" ht="13" customHeight="1" x14ac:dyDescent="0.3">
      <c r="A27" s="168">
        <f>Imin+(Imax-Imin)*0.3</f>
        <v>0.90069999999999995</v>
      </c>
      <c r="B27" s="169">
        <f t="shared" si="3"/>
        <v>0.22191827230062419</v>
      </c>
      <c r="C27" s="170">
        <f t="shared" si="1"/>
        <v>95.303732717134039</v>
      </c>
      <c r="D27" s="171">
        <f>F60^2*Ron_u/'Power Loss'!$B$41/1000+Vin*(A27-0.5*E60)*'Power Loss'!$B$39*10^(-9)*B60/2+Vin*(A27+0.5*E60)*'Power Loss'!$B$40*10^(-9)*B60/2+Vin*B60*'Power Loss'!$B$35*10^(-9)*'Power Loss'!$B$41+0.5*'Power Loss'!$B$38*10^(-9)*Vin^2*B60*'Power Loss'!$B$41</f>
        <v>8.1241744629498486E-2</v>
      </c>
      <c r="E27" s="171">
        <f>G60^2*'Power Loss'!$B$50/1000/'Power Loss'!$B$58+'Power Loss'!$B$51*B60*((A27+0.5*E60)*'Power Loss'!$B$56*10^(-9)+(A27-0.5*E60)*'Power Loss'!$B$57*10^(-9))+0.5*'Power Loss'!$B$52*Vin*B60*'Power Loss'!$B$58*10^(-9)+'Power Loss'!$B$55*10^(-9)*'Power Loss'!$B$58*Vin^2*B60/2</f>
        <v>4.9547545677617801E-2</v>
      </c>
      <c r="F27" s="172">
        <f>B60*'Power Loss'!$B$66*'Power Loss'!$B$36*10^(-9)*'Power Loss'!$B$41+B60*'Power Loss'!$B$67*'Power Loss'!$B$53*10^(-9)*'Power Loss'!$B$58+'Power Loss'!$B$67*'Power Loss'!$B$68*0.001</f>
        <v>4.0800000000000003E-2</v>
      </c>
      <c r="G27" s="171">
        <f t="shared" si="2"/>
        <v>5.0177695777283454E-2</v>
      </c>
      <c r="H27" s="171">
        <f>(0.5*E60/SQRT(3))^2*'Power Loss'!$B$20/'Power Loss'!$B$18/1000</f>
        <v>1.5128621622444367E-4</v>
      </c>
      <c r="I27" s="143">
        <f>IF('Power Loss'!$F$15&gt;3.2,0,(Vin-'Power Loss'!$B$66)*'Power Loss'!$B$68*10^(-3)*('Efficiency Summary'!B60/(Fs*10^3))^2)</f>
        <v>0</v>
      </c>
      <c r="J27" s="143"/>
      <c r="K27" s="129"/>
      <c r="Q27" s="143">
        <v>1.5004999999999999</v>
      </c>
      <c r="R27" s="143">
        <v>91.4984931821392</v>
      </c>
      <c r="S27" s="143"/>
      <c r="T27" s="143">
        <v>0.50049999999999994</v>
      </c>
      <c r="U27" s="143">
        <v>90.634081466814351</v>
      </c>
      <c r="V27" s="143"/>
    </row>
    <row r="28" spans="1:22" s="144" customFormat="1" ht="13" customHeight="1" x14ac:dyDescent="0.3">
      <c r="A28" s="168">
        <f>Imin+(Imax-Imin)*0.35</f>
        <v>1.0506499999999999</v>
      </c>
      <c r="B28" s="169">
        <f t="shared" si="3"/>
        <v>0.2667950507845272</v>
      </c>
      <c r="C28" s="170">
        <f t="shared" si="1"/>
        <v>95.166795771954625</v>
      </c>
      <c r="D28" s="171">
        <f>F61^2*Ron_u/'Power Loss'!$B$41/1000+Vin*(A28-0.5*E61)*'Power Loss'!$B$39*10^(-9)*B61/2+Vin*(A28+0.5*E61)*'Power Loss'!$B$40*10^(-9)*B61/2+Vin*B61*'Power Loss'!$B$35*10^(-9)*'Power Loss'!$B$41+0.5*'Power Loss'!$B$38*10^(-9)*Vin^2*B61*'Power Loss'!$B$41</f>
        <v>0.1048906735727828</v>
      </c>
      <c r="E28" s="171">
        <f>G61^2*'Power Loss'!$B$50/1000/'Power Loss'!$B$58+'Power Loss'!$B$51*B61*((A28+0.5*E61)*'Power Loss'!$B$56*10^(-9)+(A28-0.5*E61)*'Power Loss'!$B$57*10^(-9))+0.5*'Power Loss'!$B$52*Vin*B61*'Power Loss'!$B$58*10^(-9)+'Power Loss'!$B$55*10^(-9)*'Power Loss'!$B$58*Vin^2*B61/2</f>
        <v>6.1760386166134384E-2</v>
      </c>
      <c r="F28" s="172">
        <f>B61*'Power Loss'!$B$66*'Power Loss'!$B$36*10^(-9)*'Power Loss'!$B$41+B61*'Power Loss'!$B$67*'Power Loss'!$B$53*10^(-9)*'Power Loss'!$B$58+'Power Loss'!$B$67*'Power Loss'!$B$68*0.001</f>
        <v>4.0800000000000003E-2</v>
      </c>
      <c r="G28" s="171">
        <f t="shared" si="2"/>
        <v>5.9191416133602875E-2</v>
      </c>
      <c r="H28" s="171">
        <f>(0.5*E61/SQRT(3))^2*'Power Loss'!$B$20/'Power Loss'!$B$18/1000</f>
        <v>1.5257491200712213E-4</v>
      </c>
      <c r="I28" s="143">
        <f>IF('Power Loss'!$F$15&gt;3.2,0,(Vin-'Power Loss'!$B$66)*'Power Loss'!$B$68*10^(-3)*('Efficiency Summary'!B61/(Fs*10^3))^2)</f>
        <v>0</v>
      </c>
      <c r="J28" s="143"/>
      <c r="K28" s="129"/>
      <c r="Q28" s="143">
        <v>1.6504500000000002</v>
      </c>
      <c r="R28" s="143">
        <v>91.383608051950162</v>
      </c>
      <c r="S28" s="143"/>
      <c r="T28" s="143">
        <v>0.55044999999999999</v>
      </c>
      <c r="U28" s="143">
        <v>90.854989015423044</v>
      </c>
      <c r="V28" s="143"/>
    </row>
    <row r="29" spans="1:22" s="144" customFormat="1" ht="13" customHeight="1" x14ac:dyDescent="0.3">
      <c r="A29" s="168">
        <f>Imin+(Imax-Imin)*0.4</f>
        <v>1.2006000000000001</v>
      </c>
      <c r="B29" s="169">
        <f t="shared" si="3"/>
        <v>0.31828229382442053</v>
      </c>
      <c r="C29" s="170">
        <f t="shared" si="1"/>
        <v>94.964909348608487</v>
      </c>
      <c r="D29" s="171">
        <f>F62^2*Ron_u/'Power Loss'!$B$41/1000+Vin*(A29-0.5*E62)*'Power Loss'!$B$39*10^(-9)*B62/2+Vin*(A29+0.5*E62)*'Power Loss'!$B$40*10^(-9)*B62/2+Vin*B62*'Power Loss'!$B$35*10^(-9)*'Power Loss'!$B$41+0.5*'Power Loss'!$B$38*10^(-9)*Vin^2*B62*'Power Loss'!$B$41</f>
        <v>0.13210025068099124</v>
      </c>
      <c r="E29" s="171">
        <f>G62^2*'Power Loss'!$B$50/1000/'Power Loss'!$B$58+'Power Loss'!$B$51*B62*((A29+0.5*E62)*'Power Loss'!$B$56*10^(-9)+(A29-0.5*E62)*'Power Loss'!$B$57*10^(-9))+0.5*'Power Loss'!$B$52*Vin*B62*'Power Loss'!$B$58*10^(-9)+'Power Loss'!$B$55*10^(-9)*'Power Loss'!$B$58*Vin^2*B62/2</f>
        <v>7.5672159326444444E-2</v>
      </c>
      <c r="F29" s="172">
        <f>B62*'Power Loss'!$B$66*'Power Loss'!$B$36*10^(-9)*'Power Loss'!$B$41+B62*'Power Loss'!$B$67*'Power Loss'!$B$53*10^(-9)*'Power Loss'!$B$58+'Power Loss'!$B$67*'Power Loss'!$B$68*0.001</f>
        <v>4.0800000000000003E-2</v>
      </c>
      <c r="G29" s="171">
        <f t="shared" si="2"/>
        <v>6.9556011314590105E-2</v>
      </c>
      <c r="H29" s="171">
        <f>(0.5*E62/SQRT(3))^2*'Power Loss'!$B$20/'Power Loss'!$B$18/1000</f>
        <v>1.5387250239471355E-4</v>
      </c>
      <c r="I29" s="143">
        <f>IF('Power Loss'!$F$15&gt;3.2,0,(Vin-'Power Loss'!$B$66)*'Power Loss'!$B$68*10^(-3)*('Efficiency Summary'!B62/(Fs*10^3))^2)</f>
        <v>0</v>
      </c>
      <c r="J29" s="143"/>
      <c r="K29" s="129"/>
      <c r="Q29" s="143">
        <v>1.8003999999999998</v>
      </c>
      <c r="R29" s="143">
        <v>91.229937552529421</v>
      </c>
      <c r="S29" s="143"/>
      <c r="T29" s="143">
        <v>0.60039999999999993</v>
      </c>
      <c r="U29" s="143">
        <v>91.004821169904446</v>
      </c>
      <c r="V29" s="143"/>
    </row>
    <row r="30" spans="1:22" s="144" customFormat="1" ht="13" customHeight="1" x14ac:dyDescent="0.3">
      <c r="A30" s="168">
        <f>Imin+(Imax-Imin)*0.45</f>
        <v>1.3505499999999999</v>
      </c>
      <c r="B30" s="169">
        <f t="shared" si="3"/>
        <v>0.37640626467357774</v>
      </c>
      <c r="C30" s="170">
        <f t="shared" si="1"/>
        <v>94.720184960193009</v>
      </c>
      <c r="D30" s="171">
        <f>F63^2*Ron_u/'Power Loss'!$B$41/1000+Vin*(A30-0.5*E63)*'Power Loss'!$B$39*10^(-9)*B63/2+Vin*(A30+0.5*E63)*'Power Loss'!$B$40*10^(-9)*B63/2+Vin*B63*'Power Loss'!$B$35*10^(-9)*'Power Loss'!$B$41+0.5*'Power Loss'!$B$38*10^(-9)*Vin^2*B63*'Power Loss'!$B$41</f>
        <v>0.16291410123656994</v>
      </c>
      <c r="E30" s="171">
        <f>G63^2*'Power Loss'!$B$50/1000/'Power Loss'!$B$58+'Power Loss'!$B$51*B63*((A30+0.5*E63)*'Power Loss'!$B$56*10^(-9)+(A30-0.5*E63)*'Power Loss'!$B$57*10^(-9))+0.5*'Power Loss'!$B$52*Vin*B63*'Power Loss'!$B$58*10^(-9)+'Power Loss'!$B$55*10^(-9)*'Power Loss'!$B$58*Vin^2*B63/2</f>
        <v>9.1265490645515618E-2</v>
      </c>
      <c r="F30" s="172">
        <f>B63*'Power Loss'!$B$66*'Power Loss'!$B$36*10^(-9)*'Power Loss'!$B$41+B63*'Power Loss'!$B$67*'Power Loss'!$B$53*10^(-9)*'Power Loss'!$B$58+'Power Loss'!$B$67*'Power Loss'!$B$68*0.001</f>
        <v>4.0800000000000003E-2</v>
      </c>
      <c r="G30" s="171">
        <f t="shared" si="2"/>
        <v>8.1271493746960383E-2</v>
      </c>
      <c r="H30" s="171">
        <f>(0.5*E63/SQRT(3))^2*'Power Loss'!$B$20/'Power Loss'!$B$18/1000</f>
        <v>1.5517904453179264E-4</v>
      </c>
      <c r="I30" s="143">
        <f>IF('Power Loss'!$F$15&gt;3.2,0,(Vin-'Power Loss'!$B$66)*'Power Loss'!$B$68*10^(-3)*('Efficiency Summary'!B63/(Fs*10^3))^2)</f>
        <v>0</v>
      </c>
      <c r="J30" s="143"/>
      <c r="K30" s="129"/>
      <c r="Q30" s="143">
        <v>1.95035</v>
      </c>
      <c r="R30" s="143">
        <v>91.046744354029329</v>
      </c>
      <c r="S30" s="143"/>
      <c r="T30" s="143">
        <v>0.65034999999999998</v>
      </c>
      <c r="U30" s="143">
        <v>91.099472665818297</v>
      </c>
      <c r="V30" s="143"/>
    </row>
    <row r="31" spans="1:22" s="144" customFormat="1" ht="13" customHeight="1" x14ac:dyDescent="0.3">
      <c r="A31" s="168">
        <f>Imin+(Imax-Imin)*0.5</f>
        <v>1.5004999999999999</v>
      </c>
      <c r="B31" s="169">
        <f t="shared" si="3"/>
        <v>0.44119336590722502</v>
      </c>
      <c r="C31" s="170">
        <f t="shared" si="1"/>
        <v>94.445991989057134</v>
      </c>
      <c r="D31" s="171">
        <f>F64^2*Ron_u/'Power Loss'!$B$41/1000+Vin*(A31-0.5*E64)*'Power Loss'!$B$39*10^(-9)*B64/2+Vin*(A31+0.5*E64)*'Power Loss'!$B$40*10^(-9)*B64/2+Vin*B64*'Power Loss'!$B$35*10^(-9)*'Power Loss'!$B$41+0.5*'Power Loss'!$B$38*10^(-9)*Vin^2*B64*'Power Loss'!$B$41</f>
        <v>0.19737608188705907</v>
      </c>
      <c r="E31" s="171">
        <f>G64^2*'Power Loss'!$B$50/1000/'Power Loss'!$B$58+'Power Loss'!$B$51*B64*((A31+0.5*E64)*'Power Loss'!$B$56*10^(-9)+(A31-0.5*E64)*'Power Loss'!$B$57*10^(-9))+0.5*'Power Loss'!$B$52*Vin*B64*'Power Loss'!$B$58*10^(-9)+'Power Loss'!$B$55*10^(-9)*'Power Loss'!$B$58*Vin^2*B64/2</f>
        <v>0.10852291347056962</v>
      </c>
      <c r="F31" s="172">
        <f>B64*'Power Loss'!$B$66*'Power Loss'!$B$36*10^(-9)*'Power Loss'!$B$41+B64*'Power Loss'!$B$67*'Power Loss'!$B$53*10^(-9)*'Power Loss'!$B$58+'Power Loss'!$B$67*'Power Loss'!$B$68*0.001</f>
        <v>4.0800000000000003E-2</v>
      </c>
      <c r="G31" s="171">
        <f t="shared" si="2"/>
        <v>9.4337875953614536E-2</v>
      </c>
      <c r="H31" s="171">
        <f>(0.5*E64/SQRT(3))^2*'Power Loss'!$B$20/'Power Loss'!$B$18/1000</f>
        <v>1.564945959817779E-4</v>
      </c>
      <c r="I31" s="143">
        <f>IF('Power Loss'!$F$15&gt;3.2,0,(Vin-'Power Loss'!$B$66)*'Power Loss'!$B$68*10^(-3)*('Efficiency Summary'!B64/(Fs*10^3))^2)</f>
        <v>0</v>
      </c>
      <c r="J31" s="143"/>
      <c r="K31" s="129"/>
      <c r="Q31" s="143">
        <v>2.1002999999999998</v>
      </c>
      <c r="R31" s="143">
        <v>90.840695272521046</v>
      </c>
      <c r="S31" s="143"/>
      <c r="T31" s="143">
        <v>0.70029999999999992</v>
      </c>
      <c r="U31" s="143">
        <v>91.150477714532911</v>
      </c>
      <c r="V31" s="143"/>
    </row>
    <row r="32" spans="1:22" s="144" customFormat="1" ht="13" customHeight="1" x14ac:dyDescent="0.3">
      <c r="A32" s="168">
        <f>Imin+(Imax-Imin)*0.55</f>
        <v>1.6504500000000002</v>
      </c>
      <c r="B32" s="169">
        <f t="shared" si="3"/>
        <v>0.51267014034770231</v>
      </c>
      <c r="C32" s="170">
        <f t="shared" si="1"/>
        <v>94.150886349919844</v>
      </c>
      <c r="D32" s="171">
        <f>F65^2*Ron_u/'Power Loss'!$B$41/1000+Vin*(A32-0.5*E65)*'Power Loss'!$B$39*10^(-9)*B65/2+Vin*(A32+0.5*E65)*'Power Loss'!$B$40*10^(-9)*B65/2+Vin*B65*'Power Loss'!$B$35*10^(-9)*'Power Loss'!$B$41+0.5*'Power Loss'!$B$38*10^(-9)*Vin^2*B65*'Power Loss'!$B$41</f>
        <v>0.23553028218104746</v>
      </c>
      <c r="E32" s="171">
        <f>G65^2*'Power Loss'!$B$50/1000/'Power Loss'!$B$58+'Power Loss'!$B$51*B65*((A32+0.5*E65)*'Power Loss'!$B$56*10^(-9)+(A32-0.5*E65)*'Power Loss'!$B$57*10^(-9))+0.5*'Power Loss'!$B$52*Vin*B65*'Power Loss'!$B$58*10^(-9)+'Power Loss'!$B$55*10^(-9)*'Power Loss'!$B$58*Vin^2*B65/2</f>
        <v>0.12742686839743239</v>
      </c>
      <c r="F32" s="172">
        <f>B65*'Power Loss'!$B$66*'Power Loss'!$B$36*10^(-9)*'Power Loss'!$B$41+B65*'Power Loss'!$B$67*'Power Loss'!$B$53*10^(-9)*'Power Loss'!$B$58+'Power Loss'!$B$67*'Power Loss'!$B$68*0.001</f>
        <v>4.0800000000000003E-2</v>
      </c>
      <c r="G32" s="171">
        <f t="shared" si="2"/>
        <v>0.10875517055449199</v>
      </c>
      <c r="H32" s="171">
        <f>(0.5*E65/SQRT(3))^2*'Power Loss'!$B$20/'Power Loss'!$B$18/1000</f>
        <v>1.5781921473048056E-4</v>
      </c>
      <c r="I32" s="143">
        <f>IF('Power Loss'!$F$15&gt;3.2,0,(Vin-'Power Loss'!$B$66)*'Power Loss'!$B$68*10^(-3)*('Efficiency Summary'!B65/(Fs*10^3))^2)</f>
        <v>0</v>
      </c>
      <c r="J32" s="143"/>
      <c r="K32" s="129"/>
      <c r="Q32" s="143">
        <v>2.2502499999999999</v>
      </c>
      <c r="R32" s="143">
        <v>90.616709263732503</v>
      </c>
      <c r="S32" s="143"/>
      <c r="T32" s="143">
        <v>0.75024999999999997</v>
      </c>
      <c r="U32" s="143">
        <v>91.166408918318311</v>
      </c>
      <c r="V32" s="143"/>
    </row>
    <row r="33" spans="1:22" s="144" customFormat="1" ht="13" customHeight="1" x14ac:dyDescent="0.3">
      <c r="A33" s="168">
        <f>Imin+(Imax-Imin)*0.6</f>
        <v>1.8003999999999998</v>
      </c>
      <c r="B33" s="169">
        <f t="shared" si="3"/>
        <v>0.59086327199700894</v>
      </c>
      <c r="C33" s="170">
        <f t="shared" si="1"/>
        <v>93.840595292108191</v>
      </c>
      <c r="D33" s="171">
        <f>F66^2*Ron_u/'Power Loss'!$B$41/1000+Vin*(A33-0.5*E66)*'Power Loss'!$B$39*10^(-9)*B66/2+Vin*(A33+0.5*E66)*'Power Loss'!$B$40*10^(-9)*B66/2+Vin*B66*'Power Loss'!$B$35*10^(-9)*'Power Loss'!$B$41+0.5*'Power Loss'!$B$38*10^(-9)*Vin^2*B66*'Power Loss'!$B$41</f>
        <v>0.27742102611638114</v>
      </c>
      <c r="E33" s="171">
        <f>G66^2*'Power Loss'!$B$50/1000/'Power Loss'!$B$58+'Power Loss'!$B$51*B66*((A33+0.5*E66)*'Power Loss'!$B$56*10^(-9)+(A33-0.5*E66)*'Power Loss'!$B$57*10^(-9))+0.5*'Power Loss'!$B$52*Vin*B66*'Power Loss'!$B$58*10^(-9)+'Power Loss'!$B$55*10^(-9)*'Power Loss'!$B$58*Vin^2*B66/2</f>
        <v>0.14795970265400585</v>
      </c>
      <c r="F33" s="172">
        <f>B66*'Power Loss'!$B$66*'Power Loss'!$B$36*10^(-9)*'Power Loss'!$B$41+B66*'Power Loss'!$B$67*'Power Loss'!$B$53*10^(-9)*'Power Loss'!$B$58+'Power Loss'!$B$67*'Power Loss'!$B$68*0.001</f>
        <v>4.0800000000000003E-2</v>
      </c>
      <c r="G33" s="171">
        <f t="shared" si="2"/>
        <v>0.12452339026743227</v>
      </c>
      <c r="H33" s="171">
        <f>(0.5*E66/SQRT(3))^2*'Power Loss'!$B$20/'Power Loss'!$B$18/1000</f>
        <v>1.5915295918968902E-4</v>
      </c>
      <c r="I33" s="143">
        <f>IF('Power Loss'!$F$15&gt;3.2,0,(Vin-'Power Loss'!$B$66)*'Power Loss'!$B$68*10^(-3)*('Efficiency Summary'!B66/(Fs*10^3))^2)</f>
        <v>0</v>
      </c>
      <c r="J33" s="143"/>
      <c r="K33" s="129"/>
      <c r="Q33" s="143">
        <v>2.4002000000000003</v>
      </c>
      <c r="R33" s="143">
        <v>90.378493414971743</v>
      </c>
      <c r="S33" s="143"/>
      <c r="T33" s="143">
        <v>0.80020000000000002</v>
      </c>
      <c r="U33" s="143">
        <v>91.153770112248623</v>
      </c>
      <c r="V33" s="143"/>
    </row>
    <row r="34" spans="1:22" s="144" customFormat="1" ht="13" customHeight="1" x14ac:dyDescent="0.3">
      <c r="A34" s="168">
        <f>Imin+(Imax-Imin)*0.65</f>
        <v>1.95035</v>
      </c>
      <c r="B34" s="169">
        <f t="shared" si="3"/>
        <v>0.67579958697680176</v>
      </c>
      <c r="C34" s="170">
        <f t="shared" si="1"/>
        <v>93.519094957641613</v>
      </c>
      <c r="D34" s="171">
        <f>F67^2*Ron_u/'Power Loss'!$B$41/1000+Vin*(A34-0.5*E67)*'Power Loss'!$B$39*10^(-9)*B67/2+Vin*(A34+0.5*E67)*'Power Loss'!$B$40*10^(-9)*B67/2+Vin*B67*'Power Loss'!$B$35*10^(-9)*'Power Loss'!$B$41+0.5*'Power Loss'!$B$38*10^(-9)*Vin^2*B67*'Power Loss'!$B$41</f>
        <v>0.32309287370074063</v>
      </c>
      <c r="E34" s="171">
        <f>G67^2*'Power Loss'!$B$50/1000/'Power Loss'!$B$58+'Power Loss'!$B$51*B67*((A34+0.5*E67)*'Power Loss'!$B$56*10^(-9)+(A34-0.5*E67)*'Power Loss'!$B$57*10^(-9))+0.5*'Power Loss'!$B$52*Vin*B67*'Power Loss'!$B$58*10^(-9)+'Power Loss'!$B$55*10^(-9)*'Power Loss'!$B$58*Vin^2*B67/2</f>
        <v>0.17010366947881458</v>
      </c>
      <c r="F34" s="172">
        <f>B67*'Power Loss'!$B$66*'Power Loss'!$B$36*10^(-9)*'Power Loss'!$B$41+B67*'Power Loss'!$B$67*'Power Loss'!$B$53*10^(-9)*'Power Loss'!$B$58+'Power Loss'!$B$67*'Power Loss'!$B$68*0.001</f>
        <v>4.0800000000000003E-2</v>
      </c>
      <c r="G34" s="171">
        <f t="shared" si="2"/>
        <v>0.14164254790904574</v>
      </c>
      <c r="H34" s="171">
        <f>(0.5*E67/SQRT(3))^2*'Power Loss'!$B$20/'Power Loss'!$B$18/1000</f>
        <v>1.6049588820078771E-4</v>
      </c>
      <c r="I34" s="143">
        <f>IF('Power Loss'!$F$15&gt;3.2,0,(Vin-'Power Loss'!$B$66)*'Power Loss'!$B$68*10^(-3)*('Efficiency Summary'!B67/(Fs*10^3))^2)</f>
        <v>0</v>
      </c>
      <c r="J34" s="143"/>
      <c r="K34" s="129"/>
      <c r="Q34" s="143">
        <v>2.5501499999999999</v>
      </c>
      <c r="R34" s="143">
        <v>90.128893123586138</v>
      </c>
      <c r="S34" s="143"/>
      <c r="T34" s="143">
        <v>0.85014999999999996</v>
      </c>
      <c r="U34" s="143">
        <v>91.117584577622083</v>
      </c>
      <c r="V34" s="143"/>
    </row>
    <row r="35" spans="1:22" s="144" customFormat="1" ht="13" customHeight="1" x14ac:dyDescent="0.3">
      <c r="A35" s="168">
        <f>Imin+(Imax-Imin)*0.7</f>
        <v>2.1002999999999998</v>
      </c>
      <c r="B35" s="169">
        <f t="shared" si="3"/>
        <v>0.76750605447591014</v>
      </c>
      <c r="C35" s="170">
        <f t="shared" si="1"/>
        <v>93.189230258944917</v>
      </c>
      <c r="D35" s="171">
        <f>F68^2*Ron_u/'Power Loss'!$B$41/1000+Vin*(A35-0.5*E68)*'Power Loss'!$B$39*10^(-9)*B68/2+Vin*(A35+0.5*E68)*'Power Loss'!$B$40*10^(-9)*B68/2+Vin*B68*'Power Loss'!$B$35*10^(-9)*'Power Loss'!$B$41+0.5*'Power Loss'!$B$38*10^(-9)*Vin^2*B68*'Power Loss'!$B$41</f>
        <v>0.37259062252469838</v>
      </c>
      <c r="E35" s="171">
        <f>G68^2*'Power Loss'!$B$50/1000/'Power Loss'!$B$58+'Power Loss'!$B$51*B68*((A35+0.5*E68)*'Power Loss'!$B$56*10^(-9)+(A35-0.5*E68)*'Power Loss'!$B$57*10^(-9))+0.5*'Power Loss'!$B$52*Vin*B68*'Power Loss'!$B$58*10^(-9)+'Power Loss'!$B$55*10^(-9)*'Power Loss'!$B$58*Vin^2*B68/2</f>
        <v>0.19384092749458148</v>
      </c>
      <c r="F35" s="172">
        <f>B68*'Power Loss'!$B$66*'Power Loss'!$B$36*10^(-9)*'Power Loss'!$B$41+B68*'Power Loss'!$B$67*'Power Loss'!$B$53*10^(-9)*'Power Loss'!$B$58+'Power Loss'!$B$67*'Power Loss'!$B$68*0.001</f>
        <v>4.0800000000000003E-2</v>
      </c>
      <c r="G35" s="171">
        <f t="shared" si="2"/>
        <v>0.160112656395592</v>
      </c>
      <c r="H35" s="171">
        <f>(0.5*E68/SQRT(3))^2*'Power Loss'!$B$20/'Power Loss'!$B$18/1000</f>
        <v>1.6184806103841111E-4</v>
      </c>
      <c r="I35" s="143">
        <f>IF('Power Loss'!$F$15&gt;3.2,0,(Vin-'Power Loss'!$B$66)*'Power Loss'!$B$68*10^(-3)*('Efficiency Summary'!B68/(Fs*10^3))^2)</f>
        <v>0</v>
      </c>
      <c r="J35" s="143"/>
      <c r="K35" s="129"/>
      <c r="Q35" s="143">
        <v>2.7000999999999999</v>
      </c>
      <c r="R35" s="143">
        <v>89.870127508802256</v>
      </c>
      <c r="S35" s="143"/>
      <c r="T35" s="143">
        <v>0.90010000000000001</v>
      </c>
      <c r="U35" s="143">
        <v>91.061793361274042</v>
      </c>
      <c r="V35" s="143"/>
    </row>
    <row r="36" spans="1:22" s="144" customFormat="1" ht="13" customHeight="1" x14ac:dyDescent="0.3">
      <c r="A36" s="168">
        <f>Imin+(Imax-Imin)*0.75</f>
        <v>2.2502499999999999</v>
      </c>
      <c r="B36" s="169">
        <f t="shared" si="3"/>
        <v>0.86600978770544856</v>
      </c>
      <c r="C36" s="170">
        <f t="shared" si="1"/>
        <v>92.853088875884865</v>
      </c>
      <c r="D36" s="171">
        <f>F69^2*Ron_u/'Power Loss'!$B$41/1000+Vin*(A36-0.5*E69)*'Power Loss'!$B$39*10^(-9)*B69/2+Vin*(A36+0.5*E69)*'Power Loss'!$B$40*10^(-9)*B69/2+Vin*B69*'Power Loss'!$B$35*10^(-9)*'Power Loss'!$B$41+0.5*'Power Loss'!$B$38*10^(-9)*Vin^2*B69*'Power Loss'!$B$41</f>
        <v>0.42595930934737852</v>
      </c>
      <c r="E36" s="171">
        <f>G69^2*'Power Loss'!$B$50/1000/'Power Loss'!$B$58+'Power Loss'!$B$51*B69*((A36+0.5*E69)*'Power Loss'!$B$56*10^(-9)+(A36-0.5*E69)*'Power Loss'!$B$57*10^(-9))+0.5*'Power Loss'!$B$52*Vin*B69*'Power Loss'!$B$58*10^(-9)+'Power Loss'!$B$55*10^(-9)*'Power Loss'!$B$58*Vin^2*B69/2</f>
        <v>0.21915354007678714</v>
      </c>
      <c r="F36" s="172">
        <f>B69*'Power Loss'!$B$66*'Power Loss'!$B$36*10^(-9)*'Power Loss'!$B$41+B69*'Power Loss'!$B$67*'Power Loss'!$B$53*10^(-9)*'Power Loss'!$B$58+'Power Loss'!$B$67*'Power Loss'!$B$68*0.001</f>
        <v>4.0800000000000003E-2</v>
      </c>
      <c r="G36" s="171">
        <f t="shared" si="2"/>
        <v>0.17993372874386868</v>
      </c>
      <c r="H36" s="171">
        <f>(0.5*E69/SQRT(3))^2*'Power Loss'!$B$20/'Power Loss'!$B$18/1000</f>
        <v>1.6320953741413307E-4</v>
      </c>
      <c r="I36" s="143">
        <f>IF('Power Loss'!$F$15&gt;3.2,0,(Vin-'Power Loss'!$B$66)*'Power Loss'!$B$68*10^(-3)*('Efficiency Summary'!B69/(Fs*10^3))^2)</f>
        <v>0</v>
      </c>
      <c r="J36" s="143"/>
      <c r="K36" s="129"/>
      <c r="Q36" s="143">
        <v>2.85005</v>
      </c>
      <c r="R36" s="143">
        <v>89.603951665862326</v>
      </c>
      <c r="S36" s="143"/>
      <c r="T36" s="143">
        <v>0.95004999999999995</v>
      </c>
      <c r="U36" s="143">
        <v>90.989531570207134</v>
      </c>
      <c r="V36" s="143"/>
    </row>
    <row r="37" spans="1:22" s="144" customFormat="1" ht="13" customHeight="1" x14ac:dyDescent="0.3">
      <c r="A37" s="168">
        <f>Imin+(Imax-Imin)*0.8</f>
        <v>2.4002000000000003</v>
      </c>
      <c r="B37" s="169">
        <f t="shared" si="3"/>
        <v>0.97133804486158504</v>
      </c>
      <c r="C37" s="170">
        <f t="shared" si="1"/>
        <v>92.512236101908101</v>
      </c>
      <c r="D37" s="171">
        <f>F70^2*Ron_u/'Power Loss'!$B$41/1000+Vin*(A37-0.5*E70)*'Power Loss'!$B$39*10^(-9)*B70/2+Vin*(A37+0.5*E70)*'Power Loss'!$B$40*10^(-9)*B70/2+Vin*B70*'Power Loss'!$B$35*10^(-9)*'Power Loss'!$B$41+0.5*'Power Loss'!$B$38*10^(-9)*Vin^2*B70*'Power Loss'!$B$41</f>
        <v>0.4832442116948325</v>
      </c>
      <c r="E37" s="171">
        <f>G70^2*'Power Loss'!$B$50/1000/'Power Loss'!$B$58+'Power Loss'!$B$51*B70*((A37+0.5*E70)*'Power Loss'!$B$56*10^(-9)+(A37-0.5*E70)*'Power Loss'!$B$57*10^(-9))+0.5*'Power Loss'!$B$52*Vin*B70*'Power Loss'!$B$58*10^(-9)+'Power Loss'!$B$55*10^(-9)*'Power Loss'!$B$58*Vin^2*B70/2</f>
        <v>0.24602347471716457</v>
      </c>
      <c r="F37" s="172">
        <f>B70*'Power Loss'!$B$66*'Power Loss'!$B$36*10^(-9)*'Power Loss'!$B$41+B70*'Power Loss'!$B$67*'Power Loss'!$B$53*10^(-9)*'Power Loss'!$B$58+'Power Loss'!$B$67*'Power Loss'!$B$68*0.001</f>
        <v>4.0800000000000003E-2</v>
      </c>
      <c r="G37" s="171">
        <f t="shared" si="2"/>
        <v>0.20110577807210769</v>
      </c>
      <c r="H37" s="171">
        <f>(0.5*E70/SQRT(3))^2*'Power Loss'!$B$20/'Power Loss'!$B$18/1000</f>
        <v>1.6458037748019318E-4</v>
      </c>
      <c r="I37" s="143">
        <f>IF('Power Loss'!$F$15&gt;3.2,0,(Vin-'Power Loss'!$B$66)*'Power Loss'!$B$68*10^(-3)*('Efficiency Summary'!B70/(Fs*10^3))^2)</f>
        <v>0</v>
      </c>
      <c r="J37" s="143"/>
      <c r="K37" s="129"/>
      <c r="Q37" s="143">
        <v>3</v>
      </c>
      <c r="R37" s="143">
        <v>89.331770979880361</v>
      </c>
      <c r="S37" s="143"/>
      <c r="T37" s="143">
        <v>1</v>
      </c>
      <c r="U37" s="143">
        <v>90.903324135380828</v>
      </c>
      <c r="V37" s="143"/>
    </row>
    <row r="38" spans="1:22" s="144" customFormat="1" ht="13" customHeight="1" x14ac:dyDescent="0.3">
      <c r="A38" s="168">
        <f>Imin+(Imax-Imin)*0.85</f>
        <v>2.5501499999999999</v>
      </c>
      <c r="B38" s="169">
        <f t="shared" si="3"/>
        <v>1.0835182300960484</v>
      </c>
      <c r="C38" s="170">
        <f t="shared" si="1"/>
        <v>92.167867413912901</v>
      </c>
      <c r="D38" s="171">
        <f>F71^2*Ron_u/'Power Loss'!$B$41/1000+Vin*(A38-0.5*E71)*'Power Loss'!$B$39*10^(-9)*B71/2+Vin*(A38+0.5*E71)*'Power Loss'!$B$40*10^(-9)*B71/2+Vin*B71*'Power Loss'!$B$35*10^(-9)*'Power Loss'!$B$41+0.5*'Power Loss'!$B$38*10^(-9)*Vin^2*B71*'Power Loss'!$B$41</f>
        <v>0.54449084947125181</v>
      </c>
      <c r="E38" s="171">
        <f>G71^2*'Power Loss'!$B$50/1000/'Power Loss'!$B$58+'Power Loss'!$B$51*B71*((A38+0.5*E71)*'Power Loss'!$B$56*10^(-9)+(A38-0.5*E71)*'Power Loss'!$B$57*10^(-9))+0.5*'Power Loss'!$B$52*Vin*B71*'Power Loss'!$B$58*10^(-9)+'Power Loss'!$B$55*10^(-9)*'Power Loss'!$B$58*Vin^2*B71/2</f>
        <v>0.27443260238208206</v>
      </c>
      <c r="F38" s="172">
        <f>B71*'Power Loss'!$B$66*'Power Loss'!$B$36*10^(-9)*'Power Loss'!$B$41+B71*'Power Loss'!$B$67*'Power Loss'!$B$53*10^(-9)*'Power Loss'!$B$58+'Power Loss'!$B$67*'Power Loss'!$B$68*0.001</f>
        <v>4.0800000000000003E-2</v>
      </c>
      <c r="G38" s="171">
        <f t="shared" si="2"/>
        <v>0.22362881760088146</v>
      </c>
      <c r="H38" s="171">
        <f>(0.5*E71/SQRT(3))^2*'Power Loss'!$B$20/'Power Loss'!$B$18/1000</f>
        <v>1.6596064183325776E-4</v>
      </c>
      <c r="I38" s="143">
        <f>IF('Power Loss'!$F$15&gt;3.2,0,(Vin-'Power Loss'!$B$66)*'Power Loss'!$B$68*10^(-3)*('Efficiency Summary'!B71/(Fs*10^3))^2)</f>
        <v>0</v>
      </c>
      <c r="J38" s="143"/>
      <c r="K38" s="129"/>
      <c r="Q38" s="129"/>
      <c r="R38" s="129"/>
    </row>
    <row r="39" spans="1:22" s="144" customFormat="1" ht="13" customHeight="1" x14ac:dyDescent="0.3">
      <c r="A39" s="168">
        <f>Imin+(Imax-Imin)*0.9</f>
        <v>2.7000999999999999</v>
      </c>
      <c r="B39" s="169">
        <f t="shared" si="3"/>
        <v>1.2025778944944425</v>
      </c>
      <c r="C39" s="170">
        <f t="shared" si="1"/>
        <v>91.820910539114081</v>
      </c>
      <c r="D39" s="171">
        <f>F72^2*Ron_u/'Power Loss'!$B$41/1000+Vin*(A39-0.5*E72)*'Power Loss'!$B$39*10^(-9)*B72/2+Vin*(A39+0.5*E72)*'Power Loss'!$B$40*10^(-9)*B72/2+Vin*B72*'Power Loss'!$B$35*10^(-9)*'Power Loss'!$B$41+0.5*'Power Loss'!$B$38*10^(-9)*Vin^2*B72*'Power Loss'!$B$41</f>
        <v>0.60974498658313792</v>
      </c>
      <c r="E39" s="171">
        <f>G72^2*'Power Loss'!$B$50/1000/'Power Loss'!$B$58+'Power Loss'!$B$51*B72*((A39+0.5*E72)*'Power Loss'!$B$56*10^(-9)+(A39-0.5*E72)*'Power Loss'!$B$57*10^(-9))+0.5*'Power Loss'!$B$52*Vin*B72*'Power Loss'!$B$58*10^(-9)+'Power Loss'!$B$55*10^(-9)*'Power Loss'!$B$58*Vin^2*B72/2</f>
        <v>0.30436269686576811</v>
      </c>
      <c r="F39" s="172">
        <f>B72*'Power Loss'!$B$66*'Power Loss'!$B$36*10^(-9)*'Power Loss'!$B$41+B72*'Power Loss'!$B$67*'Power Loss'!$B$53*10^(-9)*'Power Loss'!$B$58+'Power Loss'!$B$67*'Power Loss'!$B$68*0.001</f>
        <v>4.0800000000000003E-2</v>
      </c>
      <c r="G39" s="171">
        <f t="shared" si="2"/>
        <v>0.24750286065401819</v>
      </c>
      <c r="H39" s="171">
        <f>(0.5*E72/SQRT(3))^2*'Power Loss'!$B$20/'Power Loss'!$B$18/1000</f>
        <v>1.6735039151821978E-4</v>
      </c>
      <c r="I39" s="143">
        <f>IF('Power Loss'!$F$15&gt;3.2,0,(Vin-'Power Loss'!$B$66)*'Power Loss'!$B$68*10^(-3)*('Efficiency Summary'!B72/(Fs*10^3))^2)</f>
        <v>0</v>
      </c>
      <c r="J39" s="143"/>
      <c r="K39" s="129"/>
      <c r="Q39" s="129"/>
      <c r="R39" s="129"/>
    </row>
    <row r="40" spans="1:22" s="142" customFormat="1" ht="13" customHeight="1" x14ac:dyDescent="0.3">
      <c r="A40" s="168">
        <f>Imin+(Imax-Imin)*0.95</f>
        <v>2.85005</v>
      </c>
      <c r="B40" s="169">
        <f t="shared" si="3"/>
        <v>1.3285447370624346</v>
      </c>
      <c r="C40" s="170">
        <f t="shared" si="1"/>
        <v>91.4720955023447</v>
      </c>
      <c r="D40" s="171">
        <f>F73^2*Ron_u/'Power Loss'!$B$41/1000+Vin*(A40-0.5*E73)*'Power Loss'!$B$39*10^(-9)*B73/2+Vin*(A40+0.5*E73)*'Power Loss'!$B$40*10^(-9)*B73/2+Vin*B73*'Power Loss'!$B$35*10^(-9)*'Power Loss'!$B$41+0.5*'Power Loss'!$B$38*10^(-9)*Vin^2*B73*'Power Loss'!$B$41</f>
        <v>0.67905263257655013</v>
      </c>
      <c r="E40" s="171">
        <f>G73^2*'Power Loss'!$B$50/1000/'Power Loss'!$B$58+'Power Loss'!$B$51*B73*((A40+0.5*E73)*'Power Loss'!$B$56*10^(-9)+(A40-0.5*E73)*'Power Loss'!$B$57*10^(-9))+0.5*'Power Loss'!$B$52*Vin*B73*'Power Loss'!$B$58*10^(-9)+'Power Loss'!$B$55*10^(-9)*'Power Loss'!$B$58*Vin^2*B73/2</f>
        <v>0.33579543413832613</v>
      </c>
      <c r="F40" s="172">
        <f>B73*'Power Loss'!$B$66*'Power Loss'!$B$36*10^(-9)*'Power Loss'!$B$41+B73*'Power Loss'!$B$67*'Power Loss'!$B$53*10^(-9)*'Power Loss'!$B$58+'Power Loss'!$B$67*'Power Loss'!$B$68*0.001</f>
        <v>4.0800000000000003E-2</v>
      </c>
      <c r="G40" s="171">
        <f t="shared" si="2"/>
        <v>0.27272792065952622</v>
      </c>
      <c r="H40" s="171">
        <f>(0.5*E73/SQRT(3))^2*'Power Loss'!$B$20/'Power Loss'!$B$18/1000</f>
        <v>1.6874968803203423E-4</v>
      </c>
      <c r="I40" s="143">
        <f>IF('Power Loss'!$F$15&gt;3.2,0,(Vin-'Power Loss'!$B$66)*'Power Loss'!$B$68*10^(-3)*('Efficiency Summary'!B73/(Fs*10^3))^2)</f>
        <v>0</v>
      </c>
      <c r="J40" s="139"/>
      <c r="K40" s="117"/>
      <c r="Q40" s="117"/>
      <c r="R40" s="117"/>
    </row>
    <row r="41" spans="1:22" s="142" customFormat="1" ht="13" customHeight="1" x14ac:dyDescent="0.3">
      <c r="A41" s="168">
        <f>Imin+(Imax-Imin)</f>
        <v>3</v>
      </c>
      <c r="B41" s="169">
        <f t="shared" si="3"/>
        <v>1.4614466057199094</v>
      </c>
      <c r="C41" s="170">
        <f t="shared" si="1"/>
        <v>91.122003790285987</v>
      </c>
      <c r="D41" s="171">
        <f>F74^2*Ron_u/'Power Loss'!$B$41/1000+Vin*(A41-0.5*E74)*'Power Loss'!$B$39*10^(-9)*B74/2+Vin*(A41+0.5*E74)*'Power Loss'!$B$40*10^(-9)*B74/2+Vin*B74*'Power Loss'!$B$35*10^(-9)*'Power Loss'!$B$41+0.5*'Power Loss'!$B$38*10^(-9)*Vin^2*B74*'Power Loss'!$B$41</f>
        <v>0.75246004428755919</v>
      </c>
      <c r="E41" s="171">
        <f>G74^2*'Power Loss'!$B$50/1000/'Power Loss'!$B$58+'Power Loss'!$B$51*B74*((A41+0.5*E74)*'Power Loss'!$B$56*10^(-9)+(A41-0.5*E74)*'Power Loss'!$B$57*10^(-9))+0.5*'Power Loss'!$B$52*Vin*B74*'Power Loss'!$B$58*10^(-9)+'Power Loss'!$B$55*10^(-9)*'Power Loss'!$B$58*Vin^2*B74/2</f>
        <v>0.36871239168849501</v>
      </c>
      <c r="F41" s="172">
        <f>B74*'Power Loss'!$B$66*'Power Loss'!$B$36*10^(-9)*'Power Loss'!$B$41+B74*'Power Loss'!$B$67*'Power Loss'!$B$53*10^(-9)*'Power Loss'!$B$58+'Power Loss'!$B$67*'Power Loss'!$B$68*0.001</f>
        <v>4.0800000000000003E-2</v>
      </c>
      <c r="G41" s="171">
        <f t="shared" si="2"/>
        <v>0.29930401115052757</v>
      </c>
      <c r="H41" s="171">
        <f>(0.5*E74/SQRT(3))^2*'Power Loss'!$B$20/'Power Loss'!$B$18/1000</f>
        <v>1.701585933275919E-4</v>
      </c>
      <c r="I41" s="143">
        <f>IF('Power Loss'!$F$15&gt;3.2,0,(Vin-'Power Loss'!$B$66)*'Power Loss'!$B$68*10^(-3)*('Efficiency Summary'!B74/(Fs*10^3))^2)</f>
        <v>0</v>
      </c>
      <c r="J41" s="139"/>
      <c r="K41" s="117"/>
    </row>
    <row r="42" spans="1:22" s="142" customFormat="1" ht="13" customHeight="1" x14ac:dyDescent="0.3">
      <c r="A42" s="139"/>
      <c r="B42" s="139"/>
      <c r="C42" s="139"/>
      <c r="D42" s="139"/>
      <c r="E42" s="139"/>
      <c r="F42" s="139"/>
      <c r="G42" s="139"/>
      <c r="H42" s="139"/>
      <c r="I42" s="139"/>
      <c r="J42" s="139"/>
      <c r="K42" s="117"/>
    </row>
    <row r="43" spans="1:22" s="142" customFormat="1" ht="13" customHeight="1" x14ac:dyDescent="0.3">
      <c r="A43" s="139"/>
      <c r="B43" s="139"/>
      <c r="C43" s="139"/>
      <c r="D43" s="139"/>
      <c r="E43" s="139"/>
      <c r="F43" s="139"/>
      <c r="G43" s="139"/>
      <c r="H43" s="139"/>
      <c r="I43" s="139"/>
      <c r="J43" s="139"/>
      <c r="K43" s="117"/>
    </row>
    <row r="44" spans="1:22" s="142" customFormat="1" ht="13" customHeight="1" x14ac:dyDescent="0.3">
      <c r="A44" s="139" t="s">
        <v>255</v>
      </c>
      <c r="B44" s="139" t="s">
        <v>256</v>
      </c>
      <c r="C44" s="139" t="s">
        <v>254</v>
      </c>
      <c r="D44" s="139" t="s">
        <v>112</v>
      </c>
      <c r="E44" s="139" t="s">
        <v>113</v>
      </c>
      <c r="F44" s="139" t="s">
        <v>114</v>
      </c>
      <c r="G44" s="139" t="s">
        <v>115</v>
      </c>
      <c r="H44" s="139"/>
      <c r="I44" s="139"/>
      <c r="J44" s="139"/>
      <c r="K44" s="117"/>
      <c r="L44" s="117"/>
      <c r="M44" s="117"/>
    </row>
    <row r="45" spans="1:22" s="142" customFormat="1" ht="13" customHeight="1" x14ac:dyDescent="0.3">
      <c r="A45" s="139">
        <f>IF(A12&gt;$E$8, 0, 2/((Vin-Vout)*Vout/(2*Vin*Lout*0.000001*('Efficiency Summary'!$E$8-'Efficiency Summary'!A12))))</f>
        <v>4.9906742857142861E-6</v>
      </c>
      <c r="B45" s="173">
        <f>IF('Power Loss'!$F$16&gt;1.4, Fs, 1/(1/(Fs*1000)+'Efficiency Summary'!A45))</f>
        <v>133499.33021478896</v>
      </c>
      <c r="C45" s="168">
        <f>Imin</f>
        <v>1E-3</v>
      </c>
      <c r="D45" s="139">
        <f t="shared" ref="D45:D74" si="4">Vout/Vin*(1+(Ron_l+DCR)/1000*A12/Vout)/(1-A12*(Ron_u-Ron_l)/1000/Vin)</f>
        <v>0.41667857762474753</v>
      </c>
      <c r="E45" s="139">
        <f t="shared" ref="E45:E55" si="5">(Vin-Vout)/Lout/10^(-6)*D45/Fs/10^3</f>
        <v>1.0723345747695709</v>
      </c>
      <c r="F45" s="139">
        <f t="shared" ref="F45:F74" si="6">A12*SQRT(D45)*SQRT(1+1/3*(E45/2/A12)^2)</f>
        <v>0.19982164895087942</v>
      </c>
      <c r="G45" s="139">
        <f t="shared" ref="G45:G74" si="7">A12*SQRT(1-D45)*SQRT(1+1/3*(E45/2/A12)^2)</f>
        <v>0.23642637042231823</v>
      </c>
      <c r="H45" s="139"/>
      <c r="I45" s="139"/>
      <c r="J45" s="139"/>
      <c r="K45" s="117"/>
      <c r="L45" s="117"/>
      <c r="M45" s="117"/>
    </row>
    <row r="46" spans="1:22" s="142" customFormat="1" ht="13" customHeight="1" x14ac:dyDescent="0.3">
      <c r="A46" s="139">
        <f>IF(A13&gt;$E$8, 0, 2/((Vin-Vout)*Vout/(2*Vin*Lout*0.000001*('Efficiency Summary'!$E$8-'Efficiency Summary'!A13))))</f>
        <v>4.9627064685714297E-6</v>
      </c>
      <c r="B46" s="173">
        <f>IF('Power Loss'!$F$16&gt;1.4, Fs, 1/(1/(Fs*1000)+'Efficiency Summary'!A46))</f>
        <v>133999.64265128438</v>
      </c>
      <c r="C46" s="168">
        <f>Imin+(Imax-Imin)*0.001</f>
        <v>3.9990000000000008E-3</v>
      </c>
      <c r="D46" s="139">
        <f t="shared" si="4"/>
        <v>0.41671429983431835</v>
      </c>
      <c r="E46" s="139">
        <f t="shared" si="5"/>
        <v>1.0724265069265548</v>
      </c>
      <c r="F46" s="139">
        <f t="shared" si="6"/>
        <v>0.19986297541527362</v>
      </c>
      <c r="G46" s="139">
        <f t="shared" si="7"/>
        <v>0.23645789080167759</v>
      </c>
      <c r="H46" s="139"/>
      <c r="I46" s="139"/>
      <c r="J46" s="139"/>
      <c r="K46" s="117"/>
      <c r="L46" s="117"/>
      <c r="M46" s="117"/>
    </row>
    <row r="47" spans="1:22" s="142" customFormat="1" ht="13" customHeight="1" x14ac:dyDescent="0.3">
      <c r="A47" s="139">
        <f>IF(A14&gt;$E$8, 0, 2/((Vin-Vout)*Vout/(2*Vin*Lout*0.000001*('Efficiency Summary'!$E$8-'Efficiency Summary'!A14))))</f>
        <v>4.9347386514285725E-6</v>
      </c>
      <c r="B47" s="173">
        <f>IF('Power Loss'!$F$16&gt;1.4, Fs, 1/(1/(Fs*1000)+'Efficiency Summary'!A47))</f>
        <v>134503.71921383566</v>
      </c>
      <c r="C47" s="168">
        <f>Imin+(Imax-Imin)*0.002</f>
        <v>6.9980000000000007E-3</v>
      </c>
      <c r="D47" s="139">
        <f t="shared" si="4"/>
        <v>0.41675002391327676</v>
      </c>
      <c r="E47" s="139">
        <f t="shared" si="5"/>
        <v>1.0725184438944626</v>
      </c>
      <c r="F47" s="139">
        <f t="shared" si="6"/>
        <v>0.19992305110762615</v>
      </c>
      <c r="G47" s="139">
        <f t="shared" si="7"/>
        <v>0.23651158537014794</v>
      </c>
      <c r="H47" s="139"/>
      <c r="I47" s="139"/>
      <c r="J47" s="139"/>
      <c r="K47" s="117"/>
      <c r="L47" s="117"/>
      <c r="M47" s="117"/>
    </row>
    <row r="48" spans="1:22" s="142" customFormat="1" ht="13" customHeight="1" x14ac:dyDescent="0.3">
      <c r="A48" s="139">
        <f>IF(A15&gt;$E$8, 0, 2/((Vin-Vout)*Vout/(2*Vin*Lout*0.000001*('Efficiency Summary'!$E$8-'Efficiency Summary'!A15))))</f>
        <v>4.8788030171428572E-6</v>
      </c>
      <c r="B48" s="173">
        <f>IF('Power Loss'!$F$16&gt;1.4, Fs, 1/(1/(Fs*1000)+'Efficiency Summary'!A48))</f>
        <v>135523.33592274287</v>
      </c>
      <c r="C48" s="168">
        <f>Imin+(Imax-Imin)*0.004</f>
        <v>1.2996000000000001E-2</v>
      </c>
      <c r="D48" s="139">
        <f t="shared" si="4"/>
        <v>0.41682147767994399</v>
      </c>
      <c r="E48" s="139">
        <f t="shared" si="5"/>
        <v>1.0727023322645619</v>
      </c>
      <c r="F48" s="139">
        <f t="shared" si="6"/>
        <v>0.20009939663264525</v>
      </c>
      <c r="G48" s="139">
        <f t="shared" si="7"/>
        <v>0.23668541418319489</v>
      </c>
      <c r="H48" s="139"/>
      <c r="I48" s="139"/>
      <c r="J48" s="139"/>
      <c r="K48" s="117"/>
      <c r="L48" s="117"/>
      <c r="M48" s="117"/>
    </row>
    <row r="49" spans="1:13" s="142" customFormat="1" ht="13" customHeight="1" x14ac:dyDescent="0.3">
      <c r="A49" s="139">
        <f>IF(A16&gt;$E$8, 0, 2/((Vin-Vout)*Vout/(2*Vin*Lout*0.000001*('Efficiency Summary'!$E$8-'Efficiency Summary'!A16))))</f>
        <v>4.8228673828571445E-6</v>
      </c>
      <c r="B49" s="173">
        <f>IF('Power Loss'!$F$16&gt;1.4, Fs, 1/(1/(Fs*1000)+'Efficiency Summary'!A49))</f>
        <v>136558.52929154545</v>
      </c>
      <c r="C49" s="168">
        <f>Imin+(Imax-Imin)*0.006</f>
        <v>1.8994E-2</v>
      </c>
      <c r="D49" s="139">
        <f t="shared" si="4"/>
        <v>0.4168929389259235</v>
      </c>
      <c r="E49" s="139">
        <f t="shared" si="5"/>
        <v>1.0728862398828916</v>
      </c>
      <c r="F49" s="139">
        <f t="shared" si="6"/>
        <v>0.20035052614186577</v>
      </c>
      <c r="G49" s="139">
        <f t="shared" si="7"/>
        <v>0.23694762928021673</v>
      </c>
      <c r="H49" s="139"/>
      <c r="I49" s="139"/>
      <c r="J49" s="139"/>
      <c r="K49" s="117"/>
      <c r="L49" s="117"/>
      <c r="M49" s="117"/>
    </row>
    <row r="50" spans="1:13" s="142" customFormat="1" ht="13" customHeight="1" x14ac:dyDescent="0.3">
      <c r="A50" s="139">
        <f>IF(A17&gt;$E$8, 0, 2/((Vin-Vout)*Vout/(2*Vin*Lout*0.000001*('Efficiency Summary'!$E$8-'Efficiency Summary'!A17))))</f>
        <v>4.7669317485714292E-6</v>
      </c>
      <c r="B50" s="173">
        <f>IF('Power Loss'!$F$16&gt;1.4, Fs, 1/(1/(Fs*1000)+'Efficiency Summary'!A50))</f>
        <v>137609.65901414791</v>
      </c>
      <c r="C50" s="168">
        <f>Imin+(Imax-Imin)*0.008</f>
        <v>2.4992000000000004E-2</v>
      </c>
      <c r="D50" s="139">
        <f t="shared" si="4"/>
        <v>0.41696440765238935</v>
      </c>
      <c r="E50" s="139">
        <f t="shared" si="5"/>
        <v>1.0730701667524727</v>
      </c>
      <c r="F50" s="139">
        <f t="shared" si="6"/>
        <v>0.20067619733119843</v>
      </c>
      <c r="G50" s="139">
        <f t="shared" si="7"/>
        <v>0.23729790514570123</v>
      </c>
      <c r="H50" s="139"/>
      <c r="I50" s="139"/>
      <c r="J50" s="139"/>
      <c r="K50" s="117"/>
      <c r="L50" s="117"/>
      <c r="M50" s="117"/>
    </row>
    <row r="51" spans="1:13" s="142" customFormat="1" ht="13" customHeight="1" x14ac:dyDescent="0.3">
      <c r="A51" s="139">
        <f>IF(A18&gt;$E$8, 0, 2/((Vin-Vout)*Vout/(2*Vin*Lout*0.000001*('Efficiency Summary'!$E$8-'Efficiency Summary'!A18))))</f>
        <v>4.7109961142857156E-6</v>
      </c>
      <c r="B51" s="173">
        <f>IF('Power Loss'!$F$16&gt;1.4, Fs, 1/(1/(Fs*1000)+'Efficiency Summary'!A51))</f>
        <v>138677.09594502463</v>
      </c>
      <c r="C51" s="168">
        <f>Imin+(Imax-Imin)*0.01</f>
        <v>3.0990000000000004E-2</v>
      </c>
      <c r="D51" s="139">
        <f t="shared" si="4"/>
        <v>0.41703588386051643</v>
      </c>
      <c r="E51" s="139">
        <f t="shared" si="5"/>
        <v>1.0732541128763291</v>
      </c>
      <c r="F51" s="139">
        <f t="shared" si="6"/>
        <v>0.20107608639355951</v>
      </c>
      <c r="G51" s="139">
        <f t="shared" si="7"/>
        <v>0.23773582007727156</v>
      </c>
      <c r="H51" s="139"/>
      <c r="I51" s="139"/>
      <c r="J51" s="139"/>
      <c r="K51" s="117"/>
      <c r="L51" s="117"/>
      <c r="M51" s="117"/>
    </row>
    <row r="52" spans="1:13" s="142" customFormat="1" ht="13" customHeight="1" x14ac:dyDescent="0.3">
      <c r="A52" s="139">
        <f>IF(A19&gt;$E$8, 0, 2/((Vin-Vout)*Vout/(2*Vin*Lout*0.000001*('Efficiency Summary'!$E$8-'Efficiency Summary'!A19))))</f>
        <v>4.4313179428571426E-6</v>
      </c>
      <c r="B52" s="173">
        <f>IF('Power Loss'!$F$16&gt;1.4, Fs, 1/(1/(Fs*1000)+'Efficiency Summary'!A52))</f>
        <v>144272.70661137675</v>
      </c>
      <c r="C52" s="168">
        <f>Imin+(Imax-Imin)*0.02</f>
        <v>6.0980000000000006E-2</v>
      </c>
      <c r="D52" s="139">
        <f t="shared" si="4"/>
        <v>0.41739337716719915</v>
      </c>
      <c r="E52" s="139">
        <f t="shared" si="5"/>
        <v>1.0741741324155862</v>
      </c>
      <c r="F52" s="139">
        <f t="shared" si="6"/>
        <v>0.20417202834627382</v>
      </c>
      <c r="G52" s="139">
        <f t="shared" si="7"/>
        <v>0.24121881243012497</v>
      </c>
      <c r="H52" s="139"/>
      <c r="I52" s="139"/>
      <c r="J52" s="139"/>
      <c r="K52" s="117"/>
      <c r="L52" s="117"/>
      <c r="M52" s="117"/>
    </row>
    <row r="53" spans="1:13" s="142" customFormat="1" ht="13" customHeight="1" x14ac:dyDescent="0.3">
      <c r="A53" s="139">
        <f>IF(A20&gt;$E$8, 0, 2/((Vin-Vout)*Vout/(2*Vin*Lout*0.000001*('Efficiency Summary'!$E$8-'Efficiency Summary'!A20))))</f>
        <v>3.8719616E-6</v>
      </c>
      <c r="B53" s="173">
        <f>IF('Power Loss'!$F$16&gt;1.4, Fs, 1/(1/(Fs*1000)+'Efficiency Summary'!A53))</f>
        <v>156937.54337753696</v>
      </c>
      <c r="C53" s="168">
        <f>Imin+(Imax-Imin)*0.04</f>
        <v>0.12096000000000001</v>
      </c>
      <c r="D53" s="139">
        <f t="shared" si="4"/>
        <v>0.41810892558126922</v>
      </c>
      <c r="E53" s="139">
        <f t="shared" si="5"/>
        <v>1.076015617304737</v>
      </c>
      <c r="F53" s="139">
        <f t="shared" si="6"/>
        <v>0.21554202323493854</v>
      </c>
      <c r="G53" s="139">
        <f t="shared" si="7"/>
        <v>0.25427758823137314</v>
      </c>
      <c r="H53" s="139"/>
      <c r="I53" s="139"/>
      <c r="J53" s="139"/>
      <c r="K53" s="117"/>
      <c r="L53" s="117"/>
      <c r="M53" s="117"/>
    </row>
    <row r="54" spans="1:13" s="142" customFormat="1" ht="13" customHeight="1" x14ac:dyDescent="0.3">
      <c r="A54" s="139">
        <f>IF(A21&gt;$E$8, 0, 2/((Vin-Vout)*Vout/(2*Vin*Lout*0.000001*('Efficiency Summary'!$E$8-'Efficiency Summary'!A21))))</f>
        <v>3.3126052571428574E-6</v>
      </c>
      <c r="B54" s="173">
        <f>IF('Power Loss'!$F$16&gt;1.4, Fs, 1/(1/(Fs*1000)+'Efficiency Summary'!A54))</f>
        <v>172039.89532424268</v>
      </c>
      <c r="C54" s="168">
        <f>Imin+(Imax-Imin)*0.06</f>
        <v>0.18093999999999999</v>
      </c>
      <c r="D54" s="139">
        <f t="shared" si="4"/>
        <v>0.4188252240444264</v>
      </c>
      <c r="E54" s="139">
        <f t="shared" si="5"/>
        <v>1.0778590324672741</v>
      </c>
      <c r="F54" s="139">
        <f t="shared" si="6"/>
        <v>0.2329390588351177</v>
      </c>
      <c r="G54" s="139">
        <f t="shared" si="7"/>
        <v>0.27439695022287863</v>
      </c>
      <c r="H54" s="139"/>
      <c r="I54" s="139"/>
      <c r="J54" s="139"/>
      <c r="K54" s="117"/>
      <c r="L54" s="117"/>
      <c r="M54" s="117"/>
    </row>
    <row r="55" spans="1:13" s="142" customFormat="1" ht="13" customHeight="1" x14ac:dyDescent="0.3">
      <c r="A55" s="139">
        <f>IF(A22&gt;$E$8, 0, 2/((Vin-Vout)*Vout/(2*Vin*Lout*0.000001*('Efficiency Summary'!$E$8-'Efficiency Summary'!A22))))</f>
        <v>2.7532489142857147E-6</v>
      </c>
      <c r="B55" s="173">
        <f>IF('Power Loss'!$F$16&gt;1.4, Fs, 1/(1/(Fs*1000)+'Efficiency Summary'!A55))</f>
        <v>190358.38893538705</v>
      </c>
      <c r="C55" s="168">
        <f>Imin+(Imax-Imin)*0.08</f>
        <v>0.24092000000000002</v>
      </c>
      <c r="D55" s="139">
        <f t="shared" si="4"/>
        <v>0.41954227373660896</v>
      </c>
      <c r="E55" s="139">
        <f t="shared" si="5"/>
        <v>1.0797043809398026</v>
      </c>
      <c r="F55" s="139">
        <f t="shared" si="6"/>
        <v>0.25516357019321295</v>
      </c>
      <c r="G55" s="139">
        <f t="shared" si="7"/>
        <v>0.3001346276222891</v>
      </c>
      <c r="H55" s="139"/>
      <c r="I55" s="139"/>
      <c r="J55" s="139"/>
      <c r="K55" s="117"/>
      <c r="L55" s="117"/>
      <c r="M55" s="117"/>
    </row>
    <row r="56" spans="1:13" ht="13.5" customHeight="1" x14ac:dyDescent="0.3">
      <c r="A56" s="139">
        <f>IF(A23&gt;$E$8, 0, 2/((Vin-Vout)*Vout/(2*Vin*Lout*0.000001*('Efficiency Summary'!$E$8-'Efficiency Summary'!A23))))</f>
        <v>2.1938925714285717E-6</v>
      </c>
      <c r="B56" s="173">
        <f>IF('Power Loss'!$F$16&gt;1.4, Fs, 1/(1/(Fs*1000)+'Efficiency Summary'!A56))</f>
        <v>213042.79652392067</v>
      </c>
      <c r="C56" s="168">
        <f>Imin+(Imax-Imin)*0.1</f>
        <v>0.30090000000000006</v>
      </c>
      <c r="D56" s="139">
        <f t="shared" si="4"/>
        <v>0.42026007584023145</v>
      </c>
      <c r="E56" s="139">
        <f t="shared" ref="E56:E74" si="8">(Vin-Vout)/Lout/10^(-6)*D56/Fs/10^3</f>
        <v>1.0815516657653017</v>
      </c>
      <c r="F56" s="139">
        <f t="shared" si="6"/>
        <v>0.2811003912135614</v>
      </c>
      <c r="G56" s="139">
        <f t="shared" si="7"/>
        <v>0.33015584280188703</v>
      </c>
      <c r="H56" s="139"/>
      <c r="I56" s="139"/>
      <c r="J56" s="139"/>
      <c r="K56" s="139"/>
      <c r="L56" s="117"/>
      <c r="M56" s="117"/>
    </row>
    <row r="57" spans="1:13" ht="13.5" customHeight="1" x14ac:dyDescent="0.3">
      <c r="A57" s="139">
        <f>IF(A24&gt;$E$8, 0, 2/((Vin-Vout)*Vout/(2*Vin*Lout*0.000001*('Efficiency Summary'!$E$8-'Efficiency Summary'!A24))))</f>
        <v>7.9550171428571546E-7</v>
      </c>
      <c r="B57" s="173">
        <f>IF('Power Loss'!$F$16&gt;1.4, Fs, 1/(1/(Fs*1000)+'Efficiency Summary'!A57))</f>
        <v>303443.93257787917</v>
      </c>
      <c r="C57" s="168">
        <f>Imin+(Imax-Imin)*0.15</f>
        <v>0.45084999999999997</v>
      </c>
      <c r="D57" s="139">
        <f t="shared" si="4"/>
        <v>0.4220578806813528</v>
      </c>
      <c r="E57" s="139">
        <f t="shared" si="8"/>
        <v>1.0861783694005405</v>
      </c>
      <c r="F57" s="139">
        <f t="shared" si="6"/>
        <v>0.35676973237614312</v>
      </c>
      <c r="G57" s="139">
        <f t="shared" si="7"/>
        <v>0.41748816518921417</v>
      </c>
      <c r="H57" s="139"/>
      <c r="I57" s="139"/>
      <c r="J57" s="139"/>
      <c r="K57" s="139"/>
      <c r="L57" s="117"/>
      <c r="M57" s="117"/>
    </row>
    <row r="58" spans="1:13" ht="13.5" customHeight="1" x14ac:dyDescent="0.3">
      <c r="A58" s="139">
        <f>IF(A25&gt;$E$8, 0, 2/((Vin-Vout)*Vout/(2*Vin*Lout*0.000001*('Efficiency Summary'!$E$8-'Efficiency Summary'!A25))))</f>
        <v>0</v>
      </c>
      <c r="B58" s="173">
        <f>IF('Power Loss'!$F$16&gt;1.4, Fs, 1/(1/(Fs*1000)+'Efficiency Summary'!A58))</f>
        <v>399999.99999999994</v>
      </c>
      <c r="C58" s="168">
        <f>Imin+(Imax-Imin)*0.2</f>
        <v>0.60080000000000011</v>
      </c>
      <c r="D58" s="139">
        <f t="shared" si="4"/>
        <v>0.42386041408860836</v>
      </c>
      <c r="E58" s="139">
        <f t="shared" si="8"/>
        <v>1.090817242139801</v>
      </c>
      <c r="F58" s="139">
        <f t="shared" si="6"/>
        <v>0.44161701938441827</v>
      </c>
      <c r="G58" s="139">
        <f t="shared" si="7"/>
        <v>0.51487076323657432</v>
      </c>
      <c r="H58" s="139"/>
      <c r="I58" s="139"/>
      <c r="J58" s="139"/>
      <c r="K58" s="139"/>
      <c r="L58" s="117"/>
      <c r="M58" s="117"/>
    </row>
    <row r="59" spans="1:13" ht="13.5" customHeight="1" x14ac:dyDescent="0.3">
      <c r="A59" s="139">
        <f>IF(A26&gt;$E$8, 0, 2/((Vin-Vout)*Vout/(2*Vin*Lout*0.000001*('Efficiency Summary'!$E$8-'Efficiency Summary'!A26))))</f>
        <v>0</v>
      </c>
      <c r="B59" s="173">
        <f>IF('Power Loss'!$F$16&gt;1.4, Fs, 1/(1/(Fs*1000)+'Efficiency Summary'!A59))</f>
        <v>399999.99999999994</v>
      </c>
      <c r="C59" s="168">
        <f>Imin+(Imax-Imin)*0.25</f>
        <v>0.75075000000000003</v>
      </c>
      <c r="D59" s="139">
        <f t="shared" si="4"/>
        <v>0.42566769474209637</v>
      </c>
      <c r="E59" s="139">
        <f t="shared" si="8"/>
        <v>1.0954683320568659</v>
      </c>
      <c r="F59" s="139">
        <f t="shared" si="6"/>
        <v>0.53149390186045509</v>
      </c>
      <c r="G59" s="139">
        <f t="shared" si="7"/>
        <v>0.61736863676691323</v>
      </c>
      <c r="H59" s="139"/>
      <c r="I59" s="139"/>
      <c r="J59" s="139"/>
      <c r="K59" s="139"/>
      <c r="L59" s="117"/>
      <c r="M59" s="117"/>
    </row>
    <row r="60" spans="1:13" ht="13.5" customHeight="1" x14ac:dyDescent="0.3">
      <c r="A60" s="139">
        <f>IF(A27&gt;$E$8, 0, 2/((Vin-Vout)*Vout/(2*Vin*Lout*0.000001*('Efficiency Summary'!$E$8-'Efficiency Summary'!A27))))</f>
        <v>0</v>
      </c>
      <c r="B60" s="173">
        <f>IF('Power Loss'!$F$16&gt;1.4, Fs, 1/(1/(Fs*1000)+'Efficiency Summary'!A60))</f>
        <v>399999.99999999994</v>
      </c>
      <c r="C60" s="168">
        <f>Imin+(Imax-Imin)*0.3</f>
        <v>0.90069999999999995</v>
      </c>
      <c r="D60" s="139">
        <f t="shared" si="4"/>
        <v>0.4274797414204391</v>
      </c>
      <c r="E60" s="139">
        <f t="shared" si="8"/>
        <v>1.1001316874790714</v>
      </c>
      <c r="F60" s="139">
        <f t="shared" si="6"/>
        <v>0.62442930175044908</v>
      </c>
      <c r="G60" s="139">
        <f t="shared" si="7"/>
        <v>0.72263823217320111</v>
      </c>
      <c r="H60" s="139"/>
      <c r="I60" s="139"/>
      <c r="J60" s="139"/>
      <c r="K60" s="139"/>
      <c r="L60" s="117"/>
      <c r="M60" s="117"/>
    </row>
    <row r="61" spans="1:13" ht="13.5" customHeight="1" x14ac:dyDescent="0.3">
      <c r="A61" s="139">
        <f>IF(A28&gt;$E$8, 0, 2/((Vin-Vout)*Vout/(2*Vin*Lout*0.000001*('Efficiency Summary'!$E$8-'Efficiency Summary'!A28))))</f>
        <v>0</v>
      </c>
      <c r="B61" s="173">
        <f>IF('Power Loss'!$F$16&gt;1.4, Fs, 1/(1/(Fs*1000)+'Efficiency Summary'!A61))</f>
        <v>399999.99999999994</v>
      </c>
      <c r="C61" s="168">
        <f>Imin+(Imax-Imin)*0.35</f>
        <v>1.0506499999999999</v>
      </c>
      <c r="D61" s="139">
        <f t="shared" si="4"/>
        <v>0.42929657300143237</v>
      </c>
      <c r="E61" s="139">
        <f t="shared" si="8"/>
        <v>1.1048073569889807</v>
      </c>
      <c r="F61" s="139">
        <f t="shared" si="6"/>
        <v>0.71941103283713725</v>
      </c>
      <c r="G61" s="139">
        <f t="shared" si="7"/>
        <v>0.82947561527566993</v>
      </c>
      <c r="H61" s="139"/>
      <c r="I61" s="139"/>
      <c r="J61" s="139"/>
      <c r="K61" s="139"/>
      <c r="L61" s="117"/>
      <c r="M61" s="117"/>
    </row>
    <row r="62" spans="1:13" ht="13.5" customHeight="1" x14ac:dyDescent="0.3">
      <c r="A62" s="139">
        <f>IF(A29&gt;$E$8, 0, 2/((Vin-Vout)*Vout/(2*Vin*Lout*0.000001*('Efficiency Summary'!$E$8-'Efficiency Summary'!A29))))</f>
        <v>0</v>
      </c>
      <c r="B62" s="173">
        <f>IF('Power Loss'!$F$16&gt;1.4, Fs, 1/(1/(Fs*1000)+'Efficiency Summary'!A62))</f>
        <v>399999.99999999994</v>
      </c>
      <c r="C62" s="168">
        <f>Imin+(Imax-Imin)*0.4</f>
        <v>1.2006000000000001</v>
      </c>
      <c r="D62" s="139">
        <f t="shared" si="4"/>
        <v>0.43111820846270166</v>
      </c>
      <c r="E62" s="139">
        <f t="shared" si="8"/>
        <v>1.1094953894260706</v>
      </c>
      <c r="F62" s="139">
        <f t="shared" si="6"/>
        <v>0.81587744830443321</v>
      </c>
      <c r="G62" s="139">
        <f t="shared" si="7"/>
        <v>0.93721183177091272</v>
      </c>
      <c r="H62" s="139"/>
      <c r="I62" s="139"/>
      <c r="J62" s="139"/>
      <c r="K62" s="139"/>
      <c r="L62" s="117"/>
      <c r="M62" s="117"/>
    </row>
    <row r="63" spans="1:13" ht="13.5" customHeight="1" x14ac:dyDescent="0.3">
      <c r="A63" s="139">
        <f>IF(A30&gt;$E$8, 0, 2/((Vin-Vout)*Vout/(2*Vin*Lout*0.000001*('Efficiency Summary'!$E$8-'Efficiency Summary'!A30))))</f>
        <v>0</v>
      </c>
      <c r="B63" s="173">
        <f>IF('Power Loss'!$F$16&gt;1.4, Fs, 1/(1/(Fs*1000)+'Efficiency Summary'!A63))</f>
        <v>399999.99999999994</v>
      </c>
      <c r="C63" s="168">
        <f>Imin+(Imax-Imin)*0.45</f>
        <v>1.3505499999999999</v>
      </c>
      <c r="D63" s="139">
        <f t="shared" si="4"/>
        <v>0.43294466688236261</v>
      </c>
      <c r="E63" s="139">
        <f t="shared" si="8"/>
        <v>1.1141958338884332</v>
      </c>
      <c r="F63" s="139">
        <f t="shared" si="6"/>
        <v>0.91349548567602734</v>
      </c>
      <c r="G63" s="139">
        <f t="shared" si="7"/>
        <v>1.0454491840850262</v>
      </c>
      <c r="H63" s="139"/>
      <c r="I63" s="139"/>
      <c r="J63" s="139"/>
      <c r="K63" s="139"/>
      <c r="L63" s="117"/>
      <c r="M63" s="117"/>
    </row>
    <row r="64" spans="1:13" ht="13.5" customHeight="1" x14ac:dyDescent="0.3">
      <c r="A64" s="139">
        <f>IF(A31&gt;$E$8, 0, 2/((Vin-Vout)*Vout/(2*Vin*Lout*0.000001*('Efficiency Summary'!$E$8-'Efficiency Summary'!A31))))</f>
        <v>0</v>
      </c>
      <c r="B64" s="173">
        <f>IF('Power Loss'!$F$16&gt;1.4, Fs, 1/(1/(Fs*1000)+'Efficiency Summary'!A64))</f>
        <v>399999.99999999994</v>
      </c>
      <c r="C64" s="168">
        <f>Imin+(Imax-Imin)*0.5</f>
        <v>1.5004999999999999</v>
      </c>
      <c r="D64" s="139">
        <f t="shared" si="4"/>
        <v>0.43477596743968716</v>
      </c>
      <c r="E64" s="139">
        <f t="shared" si="8"/>
        <v>1.1189087397344892</v>
      </c>
      <c r="F64" s="139">
        <f t="shared" si="6"/>
        <v>1.0120564504821299</v>
      </c>
      <c r="G64" s="139">
        <f t="shared" si="7"/>
        <v>1.1539374860416101</v>
      </c>
      <c r="H64" s="139"/>
      <c r="I64" s="139"/>
      <c r="J64" s="139"/>
      <c r="K64" s="139"/>
      <c r="L64" s="117"/>
      <c r="M64" s="117"/>
    </row>
    <row r="65" spans="1:13" ht="13.5" customHeight="1" x14ac:dyDescent="0.3">
      <c r="A65" s="139">
        <f>IF(A32&gt;$E$8, 0, 2/((Vin-Vout)*Vout/(2*Vin*Lout*0.000001*('Efficiency Summary'!$E$8-'Efficiency Summary'!A32))))</f>
        <v>0</v>
      </c>
      <c r="B65" s="173">
        <f>IF('Power Loss'!$F$16&gt;1.4, Fs, 1/(1/(Fs*1000)+'Efficiency Summary'!A65))</f>
        <v>399999.99999999994</v>
      </c>
      <c r="C65" s="168">
        <f>Imin+(Imax-Imin)*0.55</f>
        <v>1.6504500000000002</v>
      </c>
      <c r="D65" s="139">
        <f t="shared" si="4"/>
        <v>0.43661212941577493</v>
      </c>
      <c r="E65" s="139">
        <f t="shared" si="8"/>
        <v>1.1236341565847152</v>
      </c>
      <c r="F65" s="139">
        <f t="shared" si="6"/>
        <v>1.1114234875591091</v>
      </c>
      <c r="G65" s="139">
        <f t="shared" si="7"/>
        <v>1.2625117201920415</v>
      </c>
      <c r="H65" s="139"/>
      <c r="I65" s="139"/>
      <c r="J65" s="139"/>
      <c r="K65" s="139"/>
      <c r="L65" s="117"/>
      <c r="M65" s="117"/>
    </row>
    <row r="66" spans="1:13" ht="13.5" customHeight="1" x14ac:dyDescent="0.3">
      <c r="A66" s="139">
        <f>IF(A33&gt;$E$8, 0, 2/((Vin-Vout)*Vout/(2*Vin*Lout*0.000001*('Efficiency Summary'!$E$8-'Efficiency Summary'!A33))))</f>
        <v>0</v>
      </c>
      <c r="B66" s="173">
        <f>IF('Power Loss'!$F$16&gt;1.4, Fs, 1/(1/(Fs*1000)+'Efficiency Summary'!A66))</f>
        <v>399999.99999999994</v>
      </c>
      <c r="C66" s="168">
        <f>Imin+(Imax-Imin)*0.6</f>
        <v>1.8003999999999998</v>
      </c>
      <c r="D66" s="139">
        <f t="shared" si="4"/>
        <v>0.43845317219422963</v>
      </c>
      <c r="E66" s="139">
        <f t="shared" si="8"/>
        <v>1.1283721343233855</v>
      </c>
      <c r="F66" s="139">
        <f t="shared" si="6"/>
        <v>1.211503391318812</v>
      </c>
      <c r="G66" s="139">
        <f t="shared" si="7"/>
        <v>1.3710585930645496</v>
      </c>
      <c r="H66" s="139"/>
      <c r="I66" s="139"/>
      <c r="J66" s="139"/>
      <c r="K66" s="139"/>
      <c r="L66" s="117"/>
      <c r="M66" s="117"/>
    </row>
    <row r="67" spans="1:13" ht="13.5" customHeight="1" x14ac:dyDescent="0.3">
      <c r="A67" s="139">
        <f>IF(A34&gt;$E$8, 0, 2/((Vin-Vout)*Vout/(2*Vin*Lout*0.000001*('Efficiency Summary'!$E$8-'Efficiency Summary'!A34))))</f>
        <v>0</v>
      </c>
      <c r="B67" s="173">
        <f>IF('Power Loss'!$F$16&gt;1.4, Fs, 1/(1/(Fs*1000)+'Efficiency Summary'!A67))</f>
        <v>399999.99999999994</v>
      </c>
      <c r="C67" s="168">
        <f>Imin+(Imax-Imin)*0.65</f>
        <v>1.95035</v>
      </c>
      <c r="D67" s="139">
        <f t="shared" si="4"/>
        <v>0.44029911526184151</v>
      </c>
      <c r="E67" s="139">
        <f t="shared" si="8"/>
        <v>1.1331227231003276</v>
      </c>
      <c r="F67" s="139">
        <f t="shared" si="6"/>
        <v>1.3122306376538537</v>
      </c>
      <c r="G67" s="139">
        <f t="shared" si="7"/>
        <v>1.4794975954367366</v>
      </c>
      <c r="H67" s="139"/>
      <c r="I67" s="139"/>
      <c r="J67" s="139"/>
      <c r="K67" s="139"/>
      <c r="L67" s="117"/>
      <c r="M67" s="117"/>
    </row>
    <row r="68" spans="1:13" ht="13.5" customHeight="1" x14ac:dyDescent="0.3">
      <c r="A68" s="139">
        <f>IF(A35&gt;$E$8, 0, 2/((Vin-Vout)*Vout/(2*Vin*Lout*0.000001*('Efficiency Summary'!$E$8-'Efficiency Summary'!A35))))</f>
        <v>0</v>
      </c>
      <c r="B68" s="173">
        <f>IF('Power Loss'!$F$16&gt;1.4, Fs, 1/(1/(Fs*1000)+'Efficiency Summary'!A68))</f>
        <v>399999.99999999994</v>
      </c>
      <c r="C68" s="168">
        <f>Imin+(Imax-Imin)*0.7</f>
        <v>2.1002999999999998</v>
      </c>
      <c r="D68" s="139">
        <f t="shared" si="4"/>
        <v>0.44214997820927465</v>
      </c>
      <c r="E68" s="139">
        <f t="shared" si="8"/>
        <v>1.1378859733326925</v>
      </c>
      <c r="F68" s="139">
        <f t="shared" si="6"/>
        <v>1.4135579095942645</v>
      </c>
      <c r="G68" s="139">
        <f t="shared" si="7"/>
        <v>1.5877697671836533</v>
      </c>
      <c r="H68" s="139"/>
      <c r="I68" s="139"/>
      <c r="J68" s="139"/>
      <c r="K68" s="139"/>
      <c r="L68" s="117"/>
      <c r="M68" s="117"/>
    </row>
    <row r="69" spans="1:13" ht="13.5" customHeight="1" x14ac:dyDescent="0.3">
      <c r="A69" s="139">
        <f>IF(A36&gt;$E$8, 0, 2/((Vin-Vout)*Vout/(2*Vin*Lout*0.000001*('Efficiency Summary'!$E$8-'Efficiency Summary'!A36))))</f>
        <v>0</v>
      </c>
      <c r="B69" s="173">
        <f>IF('Power Loss'!$F$16&gt;1.4, Fs, 1/(1/(Fs*1000)+'Efficiency Summary'!A69))</f>
        <v>399999.99999999994</v>
      </c>
      <c r="C69" s="168">
        <f>Imin+(Imax-Imin)*0.75</f>
        <v>2.2502499999999999</v>
      </c>
      <c r="D69" s="139">
        <f t="shared" si="4"/>
        <v>0.44400578073176017</v>
      </c>
      <c r="E69" s="139">
        <f t="shared" si="8"/>
        <v>1.1426619357067358</v>
      </c>
      <c r="F69" s="139">
        <f t="shared" si="6"/>
        <v>1.5154502470431599</v>
      </c>
      <c r="G69" s="139">
        <f t="shared" si="7"/>
        <v>1.6958307608699972</v>
      </c>
      <c r="H69" s="139"/>
      <c r="I69" s="139"/>
      <c r="J69" s="139"/>
      <c r="K69" s="139"/>
      <c r="L69" s="117"/>
      <c r="M69" s="117"/>
    </row>
    <row r="70" spans="1:13" ht="13.5" customHeight="1" x14ac:dyDescent="0.3">
      <c r="A70" s="139">
        <f>IF(A37&gt;$E$8, 0, 2/((Vin-Vout)*Vout/(2*Vin*Lout*0.000001*('Efficiency Summary'!$E$8-'Efficiency Summary'!A37))))</f>
        <v>0</v>
      </c>
      <c r="B70" s="173">
        <f>IF('Power Loss'!$F$16&gt;1.4, Fs, 1/(1/(Fs*1000)+'Efficiency Summary'!A70))</f>
        <v>399999.99999999994</v>
      </c>
      <c r="C70" s="168">
        <f>Imin+(Imax-Imin)*0.8</f>
        <v>2.4002000000000003</v>
      </c>
      <c r="D70" s="139">
        <f t="shared" si="4"/>
        <v>0.44586654262979475</v>
      </c>
      <c r="E70" s="139">
        <f t="shared" si="8"/>
        <v>1.1474506611796191</v>
      </c>
      <c r="F70" s="139">
        <f t="shared" si="6"/>
        <v>1.6178813073042175</v>
      </c>
      <c r="G70" s="139">
        <f t="shared" si="7"/>
        <v>1.8036464085648991</v>
      </c>
      <c r="H70" s="139"/>
      <c r="I70" s="139"/>
      <c r="J70" s="139"/>
      <c r="K70" s="139"/>
      <c r="L70" s="117"/>
      <c r="M70" s="117"/>
    </row>
    <row r="71" spans="1:13" ht="13.5" customHeight="1" x14ac:dyDescent="0.3">
      <c r="A71" s="139">
        <f>IF(A38&gt;$E$8, 0, 2/((Vin-Vout)*Vout/(2*Vin*Lout*0.000001*('Efficiency Summary'!$E$8-'Efficiency Summary'!A38))))</f>
        <v>0</v>
      </c>
      <c r="B71" s="173">
        <f>IF('Power Loss'!$F$16&gt;1.4, Fs, 1/(1/(Fs*1000)+'Efficiency Summary'!A71))</f>
        <v>399999.99999999994</v>
      </c>
      <c r="C71" s="168">
        <f>Imin+(Imax-Imin)*0.85</f>
        <v>2.5501499999999999</v>
      </c>
      <c r="D71" s="139">
        <f t="shared" si="4"/>
        <v>0.44773228380984481</v>
      </c>
      <c r="E71" s="139">
        <f t="shared" si="8"/>
        <v>1.1522522009812184</v>
      </c>
      <c r="F71" s="139">
        <f t="shared" si="6"/>
        <v>1.7208309016881858</v>
      </c>
      <c r="G71" s="139">
        <f t="shared" si="7"/>
        <v>1.9111898017161624</v>
      </c>
      <c r="H71" s="139"/>
      <c r="I71" s="139"/>
      <c r="J71" s="139"/>
      <c r="K71" s="139"/>
      <c r="L71" s="117"/>
      <c r="M71" s="117"/>
    </row>
    <row r="72" spans="1:13" ht="13.5" customHeight="1" x14ac:dyDescent="0.3">
      <c r="A72" s="139">
        <f>IF(A39&gt;$E$8, 0, 2/((Vin-Vout)*Vout/(2*Vin*Lout*0.000001*('Efficiency Summary'!$E$8-'Efficiency Summary'!A39))))</f>
        <v>0</v>
      </c>
      <c r="B72" s="173">
        <f>IF('Power Loss'!$F$16&gt;1.4, Fs, 1/(1/(Fs*1000)+'Efficiency Summary'!A72))</f>
        <v>399999.99999999994</v>
      </c>
      <c r="C72" s="168">
        <f>Imin+(Imax-Imin)*0.9</f>
        <v>2.7000999999999999</v>
      </c>
      <c r="D72" s="139">
        <f t="shared" si="4"/>
        <v>0.44960302428505622</v>
      </c>
      <c r="E72" s="139">
        <f t="shared" si="8"/>
        <v>1.1570666066159536</v>
      </c>
      <c r="F72" s="139">
        <f t="shared" si="6"/>
        <v>1.8242833292177485</v>
      </c>
      <c r="G72" s="139">
        <f t="shared" si="7"/>
        <v>2.0184393160105221</v>
      </c>
      <c r="H72" s="139"/>
      <c r="I72" s="139"/>
      <c r="J72" s="139"/>
      <c r="K72" s="139"/>
      <c r="L72" s="117"/>
      <c r="M72" s="117"/>
    </row>
    <row r="73" spans="1:13" ht="13.5" customHeight="1" x14ac:dyDescent="0.3">
      <c r="A73" s="139">
        <f>IF(A40&gt;$E$8, 0, 2/((Vin-Vout)*Vout/(2*Vin*Lout*0.000001*('Efficiency Summary'!$E$8-'Efficiency Summary'!A40))))</f>
        <v>0</v>
      </c>
      <c r="B73" s="173">
        <f>IF('Power Loss'!$F$16&gt;1.4, Fs, 1/(1/(Fs*1000)+'Efficiency Summary'!A73))</f>
        <v>399999.99999999994</v>
      </c>
      <c r="C73" s="168">
        <f>Imin+(Imax-Imin)*0.95</f>
        <v>2.85005</v>
      </c>
      <c r="D73" s="139">
        <f t="shared" si="4"/>
        <v>0.45147878417597037</v>
      </c>
      <c r="E73" s="139">
        <f t="shared" si="8"/>
        <v>1.1618939298646298</v>
      </c>
      <c r="F73" s="139">
        <f t="shared" si="6"/>
        <v>1.928226222820693</v>
      </c>
      <c r="G73" s="139">
        <f t="shared" si="7"/>
        <v>2.125377243725922</v>
      </c>
      <c r="H73" s="139"/>
      <c r="I73" s="139"/>
      <c r="J73" s="139"/>
      <c r="K73" s="139"/>
      <c r="L73" s="117"/>
      <c r="M73" s="117"/>
    </row>
    <row r="74" spans="1:13" ht="13.5" customHeight="1" x14ac:dyDescent="0.3">
      <c r="A74" s="139">
        <f>IF(A41&gt;$E$8, 0, 2/((Vin-Vout)*Vout/(2*Vin*Lout*0.000001*('Efficiency Summary'!$E$8-'Efficiency Summary'!A41))))</f>
        <v>0</v>
      </c>
      <c r="B74" s="173">
        <f>IF('Power Loss'!$F$16&gt;1.4, Fs, 1/(1/(Fs*1000)+'Efficiency Summary'!A74))</f>
        <v>399999.99999999994</v>
      </c>
      <c r="C74" s="168">
        <f>Imin+(Imax-Imin)</f>
        <v>3</v>
      </c>
      <c r="D74" s="139">
        <f t="shared" si="4"/>
        <v>0.45335958371124518</v>
      </c>
      <c r="E74" s="139">
        <f t="shared" si="8"/>
        <v>1.1667342227862929</v>
      </c>
      <c r="F74" s="139">
        <f t="shared" si="6"/>
        <v>2.0326497335805627</v>
      </c>
      <c r="G74" s="139">
        <f t="shared" si="7"/>
        <v>2.2319888267626395</v>
      </c>
      <c r="H74" s="139"/>
      <c r="I74" s="139"/>
      <c r="J74" s="139"/>
      <c r="K74" s="139"/>
      <c r="L74" s="117"/>
      <c r="M74" s="117"/>
    </row>
    <row r="75" spans="1:13" ht="22.5" customHeight="1" x14ac:dyDescent="0.3">
      <c r="A75" s="139"/>
      <c r="B75" s="139"/>
      <c r="C75" s="139"/>
      <c r="D75" s="139"/>
      <c r="E75" s="139"/>
      <c r="F75" s="139"/>
      <c r="G75" s="139"/>
      <c r="H75" s="139"/>
      <c r="I75" s="139"/>
      <c r="J75" s="139"/>
      <c r="K75" s="117"/>
    </row>
    <row r="76" spans="1:13" ht="22.5" customHeight="1" x14ac:dyDescent="0.3">
      <c r="A76" s="139"/>
      <c r="B76" s="139"/>
      <c r="C76" s="139"/>
      <c r="D76" s="139"/>
      <c r="E76" s="139"/>
      <c r="F76" s="139"/>
      <c r="G76" s="139"/>
      <c r="H76" s="139"/>
      <c r="I76" s="139"/>
      <c r="J76" s="139"/>
      <c r="K76" s="117"/>
    </row>
    <row r="77" spans="1:13" ht="22.5" customHeight="1" x14ac:dyDescent="0.3">
      <c r="A77" s="139"/>
      <c r="B77" s="139"/>
      <c r="C77" s="139"/>
      <c r="D77" s="139"/>
      <c r="E77" s="139"/>
      <c r="F77" s="139"/>
      <c r="G77" s="139"/>
      <c r="H77" s="139"/>
      <c r="I77" s="139"/>
      <c r="J77" s="139"/>
      <c r="K77" s="117"/>
    </row>
    <row r="78" spans="1:13" ht="22.5" customHeight="1" x14ac:dyDescent="0.3">
      <c r="A78" s="139"/>
      <c r="B78" s="139"/>
      <c r="C78" s="139"/>
      <c r="D78" s="139"/>
      <c r="E78" s="139"/>
      <c r="F78" s="139"/>
      <c r="G78" s="139"/>
      <c r="H78" s="139"/>
      <c r="I78" s="139"/>
      <c r="J78" s="139"/>
      <c r="K78" s="117"/>
    </row>
    <row r="79" spans="1:13" ht="22.5" customHeight="1" x14ac:dyDescent="0.3">
      <c r="A79" s="139"/>
      <c r="B79" s="139"/>
      <c r="C79" s="139"/>
      <c r="D79" s="139"/>
      <c r="E79" s="139"/>
      <c r="F79" s="139"/>
      <c r="G79" s="139"/>
      <c r="H79" s="139"/>
      <c r="I79" s="139"/>
      <c r="J79" s="139"/>
      <c r="K79" s="117"/>
    </row>
    <row r="80" spans="1:13" ht="22.5" customHeight="1" x14ac:dyDescent="0.3">
      <c r="A80" s="139"/>
      <c r="B80" s="139"/>
      <c r="C80" s="139"/>
      <c r="D80" s="139"/>
      <c r="E80" s="139"/>
      <c r="F80" s="139"/>
      <c r="G80" s="139"/>
      <c r="H80" s="139"/>
      <c r="I80" s="139"/>
      <c r="J80" s="139"/>
      <c r="K80" s="117"/>
    </row>
    <row r="81" spans="1:11" ht="22.5" customHeight="1" x14ac:dyDescent="0.3">
      <c r="A81" s="139"/>
      <c r="B81" s="139"/>
      <c r="C81" s="139"/>
      <c r="D81" s="139"/>
      <c r="E81" s="139"/>
      <c r="F81" s="139"/>
      <c r="G81" s="139"/>
      <c r="H81" s="139"/>
      <c r="I81" s="139"/>
      <c r="J81" s="139"/>
      <c r="K81" s="117"/>
    </row>
    <row r="82" spans="1:11" ht="22.5" customHeight="1" x14ac:dyDescent="0.3">
      <c r="A82" s="139"/>
      <c r="B82" s="139"/>
      <c r="C82" s="139"/>
      <c r="D82" s="139"/>
      <c r="E82" s="139"/>
      <c r="F82" s="139"/>
      <c r="G82" s="139"/>
      <c r="H82" s="139"/>
      <c r="I82" s="139"/>
      <c r="J82" s="139"/>
      <c r="K82" s="117"/>
    </row>
    <row r="83" spans="1:11" ht="22.5" customHeight="1" x14ac:dyDescent="0.3">
      <c r="A83" s="139"/>
      <c r="B83" s="139"/>
      <c r="C83" s="139"/>
      <c r="D83" s="139"/>
      <c r="E83" s="139"/>
      <c r="F83" s="139"/>
      <c r="G83" s="139"/>
      <c r="H83" s="139"/>
      <c r="I83" s="139"/>
      <c r="J83" s="139"/>
      <c r="K83" s="117"/>
    </row>
    <row r="84" spans="1:11" ht="22.5" customHeight="1" x14ac:dyDescent="0.3">
      <c r="A84" s="139"/>
      <c r="B84" s="139"/>
      <c r="C84" s="139"/>
      <c r="D84" s="139"/>
      <c r="E84" s="139"/>
      <c r="F84" s="139"/>
      <c r="G84" s="139"/>
      <c r="H84" s="139"/>
      <c r="I84" s="139"/>
      <c r="J84" s="139"/>
      <c r="K84" s="117"/>
    </row>
    <row r="85" spans="1:11" ht="22.5" customHeight="1" x14ac:dyDescent="0.3">
      <c r="A85" s="139"/>
      <c r="B85" s="139"/>
      <c r="C85" s="139"/>
      <c r="D85" s="139"/>
      <c r="E85" s="139"/>
      <c r="F85" s="139"/>
      <c r="G85" s="139"/>
      <c r="H85" s="139"/>
      <c r="I85" s="139"/>
      <c r="J85" s="117"/>
      <c r="K85" s="117"/>
    </row>
    <row r="86" spans="1:11" ht="22.5" customHeight="1" x14ac:dyDescent="0.3">
      <c r="A86" s="139"/>
      <c r="B86" s="139"/>
      <c r="C86" s="139"/>
      <c r="D86" s="139"/>
      <c r="E86" s="139"/>
      <c r="F86" s="139"/>
      <c r="G86" s="139"/>
      <c r="H86" s="139"/>
      <c r="I86" s="139"/>
      <c r="J86" s="117"/>
      <c r="K86" s="117"/>
    </row>
    <row r="87" spans="1:11" ht="22.5" customHeight="1" x14ac:dyDescent="0.3">
      <c r="A87" s="139"/>
      <c r="B87" s="139"/>
      <c r="C87" s="139"/>
      <c r="D87" s="139"/>
      <c r="E87" s="139"/>
      <c r="F87" s="139"/>
      <c r="G87" s="139"/>
      <c r="H87" s="139"/>
      <c r="I87" s="139"/>
      <c r="J87" s="117"/>
      <c r="K87" s="117"/>
    </row>
    <row r="88" spans="1:11" ht="22.5" customHeight="1" x14ac:dyDescent="0.3">
      <c r="A88" s="139"/>
      <c r="B88" s="139"/>
      <c r="C88" s="139"/>
      <c r="D88" s="139"/>
      <c r="E88" s="139"/>
      <c r="F88" s="139"/>
      <c r="G88" s="139"/>
      <c r="H88" s="139"/>
      <c r="I88" s="139"/>
      <c r="J88" s="117"/>
      <c r="K88" s="117"/>
    </row>
    <row r="89" spans="1:11" ht="22.5" customHeight="1" x14ac:dyDescent="0.3">
      <c r="A89" s="139"/>
      <c r="B89" s="139"/>
      <c r="C89" s="139"/>
      <c r="D89" s="139"/>
      <c r="E89" s="139"/>
      <c r="F89" s="139"/>
      <c r="G89" s="139"/>
      <c r="H89" s="139"/>
      <c r="I89" s="139"/>
      <c r="J89" s="117"/>
      <c r="K89" s="117"/>
    </row>
    <row r="90" spans="1:11" ht="22.5" customHeight="1" x14ac:dyDescent="0.3">
      <c r="A90" s="139"/>
      <c r="B90" s="139"/>
      <c r="C90" s="139"/>
      <c r="D90" s="139"/>
      <c r="E90" s="139"/>
      <c r="F90" s="139"/>
      <c r="G90" s="139"/>
      <c r="H90" s="139"/>
      <c r="I90" s="139"/>
      <c r="J90" s="117"/>
      <c r="K90" s="117"/>
    </row>
    <row r="91" spans="1:11" ht="22.5" customHeight="1" x14ac:dyDescent="0.3">
      <c r="A91" s="139"/>
      <c r="B91" s="139"/>
      <c r="C91" s="139"/>
      <c r="D91" s="139"/>
      <c r="E91" s="139"/>
      <c r="F91" s="139"/>
      <c r="G91" s="139"/>
      <c r="H91" s="139"/>
      <c r="I91" s="139"/>
      <c r="J91" s="117"/>
      <c r="K91" s="117"/>
    </row>
    <row r="92" spans="1:11" ht="22.5" customHeight="1" x14ac:dyDescent="0.3">
      <c r="A92" s="139"/>
      <c r="B92" s="139"/>
      <c r="C92" s="139"/>
      <c r="D92" s="139"/>
      <c r="E92" s="139"/>
      <c r="F92" s="139"/>
      <c r="G92" s="139"/>
      <c r="H92" s="139"/>
      <c r="I92" s="139"/>
      <c r="J92" s="117"/>
      <c r="K92" s="117"/>
    </row>
    <row r="93" spans="1:11" ht="22.5" customHeight="1" x14ac:dyDescent="0.3">
      <c r="A93" s="139"/>
      <c r="B93" s="139"/>
      <c r="C93" s="139"/>
      <c r="D93" s="139"/>
      <c r="E93" s="139"/>
      <c r="F93" s="139"/>
      <c r="G93" s="139"/>
      <c r="H93" s="139"/>
      <c r="I93" s="139"/>
      <c r="J93" s="117"/>
      <c r="K93" s="117"/>
    </row>
    <row r="94" spans="1:11" ht="22.5" customHeight="1" x14ac:dyDescent="0.3">
      <c r="A94" s="139"/>
      <c r="B94" s="139"/>
      <c r="C94" s="139"/>
      <c r="D94" s="139"/>
      <c r="E94" s="139"/>
      <c r="F94" s="139"/>
      <c r="G94" s="139"/>
      <c r="H94" s="139"/>
      <c r="I94" s="139"/>
      <c r="J94" s="117"/>
      <c r="K94" s="117"/>
    </row>
    <row r="95" spans="1:11" ht="22.5" customHeight="1" x14ac:dyDescent="0.3">
      <c r="A95" s="139"/>
      <c r="B95" s="139"/>
      <c r="C95" s="139"/>
      <c r="D95" s="139"/>
      <c r="E95" s="139"/>
      <c r="F95" s="139"/>
      <c r="G95" s="139"/>
      <c r="H95" s="139"/>
      <c r="I95" s="139"/>
      <c r="J95" s="117"/>
      <c r="K95" s="117"/>
    </row>
    <row r="96" spans="1:11" ht="22.5" customHeight="1" x14ac:dyDescent="0.3">
      <c r="A96" s="139"/>
      <c r="B96" s="139"/>
      <c r="C96" s="139"/>
      <c r="D96" s="139"/>
      <c r="E96" s="139"/>
      <c r="F96" s="139"/>
      <c r="G96" s="139"/>
      <c r="H96" s="139"/>
      <c r="I96" s="139"/>
      <c r="J96" s="117"/>
      <c r="K96" s="117"/>
    </row>
    <row r="97" spans="1:18" ht="22.5" customHeight="1" x14ac:dyDescent="0.3">
      <c r="A97" s="139"/>
      <c r="B97" s="139"/>
      <c r="C97" s="139"/>
      <c r="D97" s="139"/>
      <c r="E97" s="139"/>
      <c r="F97" s="139"/>
      <c r="G97" s="139"/>
      <c r="H97" s="139"/>
      <c r="I97" s="139"/>
      <c r="J97" s="117"/>
      <c r="K97" s="117"/>
    </row>
    <row r="98" spans="1:18" ht="22.5" customHeight="1" x14ac:dyDescent="0.3">
      <c r="A98" s="139"/>
      <c r="B98" s="139"/>
      <c r="C98" s="139"/>
      <c r="D98" s="139"/>
      <c r="E98" s="139"/>
      <c r="F98" s="139"/>
      <c r="G98" s="139"/>
      <c r="H98" s="139"/>
      <c r="I98" s="139"/>
      <c r="J98" s="117"/>
      <c r="K98" s="117"/>
    </row>
    <row r="99" spans="1:18" ht="22.5" customHeight="1" x14ac:dyDescent="0.3">
      <c r="A99" s="139"/>
      <c r="B99" s="139"/>
      <c r="C99" s="139"/>
      <c r="D99" s="139"/>
      <c r="E99" s="139"/>
      <c r="F99" s="139"/>
      <c r="G99" s="139"/>
      <c r="H99" s="139"/>
      <c r="I99" s="139"/>
      <c r="J99" s="117"/>
      <c r="K99" s="117"/>
    </row>
    <row r="100" spans="1:18" ht="22.5" customHeight="1" x14ac:dyDescent="0.3">
      <c r="A100" s="139"/>
      <c r="B100" s="139"/>
      <c r="C100" s="139"/>
      <c r="D100" s="139"/>
      <c r="E100" s="139"/>
      <c r="F100" s="139"/>
      <c r="G100" s="139"/>
      <c r="H100" s="139"/>
      <c r="I100" s="139"/>
      <c r="J100" s="117"/>
      <c r="K100" s="117"/>
    </row>
    <row r="101" spans="1:18" ht="20.25" customHeight="1" x14ac:dyDescent="0.3"/>
    <row r="102" spans="1:18" ht="13" customHeight="1" x14ac:dyDescent="0.35">
      <c r="A102" s="174" t="s">
        <v>116</v>
      </c>
      <c r="B102" s="139"/>
      <c r="C102" s="139"/>
      <c r="D102" s="139"/>
      <c r="E102" s="139"/>
      <c r="F102" s="139"/>
      <c r="G102" s="139"/>
      <c r="H102" s="139"/>
      <c r="I102" s="139"/>
      <c r="J102" s="139"/>
      <c r="K102" s="139"/>
      <c r="L102" s="139"/>
      <c r="M102" s="139"/>
      <c r="N102" s="139"/>
      <c r="O102" s="139"/>
      <c r="P102" s="139"/>
      <c r="Q102" s="139"/>
    </row>
    <row r="103" spans="1:18" ht="13" customHeight="1" x14ac:dyDescent="0.3">
      <c r="A103" s="139"/>
      <c r="B103" s="139"/>
      <c r="C103" s="139"/>
      <c r="D103" s="139"/>
      <c r="E103" s="139"/>
      <c r="F103" s="139"/>
      <c r="G103" s="139"/>
      <c r="H103" s="139"/>
      <c r="I103" s="139"/>
      <c r="J103" s="139"/>
      <c r="K103" s="139"/>
      <c r="L103" s="139"/>
      <c r="M103" s="139"/>
      <c r="N103" s="139"/>
      <c r="O103" s="139"/>
      <c r="P103" s="139"/>
      <c r="Q103" s="139"/>
    </row>
    <row r="104" spans="1:18" ht="13" customHeight="1" x14ac:dyDescent="0.3">
      <c r="A104" s="139" t="s">
        <v>117</v>
      </c>
      <c r="B104" s="175">
        <v>1</v>
      </c>
      <c r="C104" s="175" t="s">
        <v>10</v>
      </c>
      <c r="D104" s="139"/>
      <c r="E104" s="139"/>
      <c r="F104" s="139"/>
      <c r="G104" s="139"/>
      <c r="H104" s="139"/>
      <c r="I104" s="139"/>
      <c r="J104" s="176" t="s">
        <v>118</v>
      </c>
      <c r="K104" s="175">
        <v>1</v>
      </c>
      <c r="L104" s="175" t="s">
        <v>5</v>
      </c>
      <c r="M104" s="139"/>
      <c r="N104" s="139"/>
      <c r="O104" s="139"/>
      <c r="P104" s="139"/>
      <c r="Q104" s="139"/>
    </row>
    <row r="105" spans="1:18" ht="13" customHeight="1" x14ac:dyDescent="0.3">
      <c r="A105" s="139" t="s">
        <v>119</v>
      </c>
      <c r="B105" s="175">
        <f>1.015*Vout</f>
        <v>5.0749999999999993</v>
      </c>
      <c r="C105" s="175" t="s">
        <v>5</v>
      </c>
      <c r="D105" s="139"/>
      <c r="E105" s="139"/>
      <c r="F105" s="139"/>
      <c r="G105" s="139"/>
      <c r="H105" s="139"/>
      <c r="I105" s="139"/>
      <c r="J105" s="176" t="s">
        <v>120</v>
      </c>
      <c r="K105" s="175">
        <v>5</v>
      </c>
      <c r="L105" s="175" t="s">
        <v>121</v>
      </c>
      <c r="M105" s="139"/>
      <c r="N105" s="139"/>
      <c r="O105" s="139"/>
      <c r="P105" s="139"/>
      <c r="Q105" s="139"/>
    </row>
    <row r="106" spans="1:18" ht="13" customHeight="1" x14ac:dyDescent="0.3">
      <c r="A106" s="139" t="s">
        <v>122</v>
      </c>
      <c r="B106" s="175">
        <v>0.2</v>
      </c>
      <c r="C106" s="175" t="s">
        <v>10</v>
      </c>
      <c r="D106" s="139"/>
      <c r="E106" s="139"/>
      <c r="F106" s="139"/>
      <c r="G106" s="139"/>
      <c r="H106" s="139"/>
      <c r="I106" s="139"/>
      <c r="J106" s="139" t="s">
        <v>84</v>
      </c>
      <c r="K106" s="175">
        <v>1000</v>
      </c>
      <c r="L106" s="175" t="s">
        <v>123</v>
      </c>
      <c r="M106" s="139"/>
      <c r="N106" s="139"/>
      <c r="O106" s="139"/>
      <c r="P106" s="139"/>
      <c r="Q106" s="139"/>
    </row>
    <row r="107" spans="1:18" ht="13" customHeight="1" x14ac:dyDescent="0.3">
      <c r="A107" s="139"/>
      <c r="B107" s="139"/>
      <c r="C107" s="139"/>
      <c r="D107" s="139"/>
      <c r="E107" s="139"/>
      <c r="F107" s="139"/>
      <c r="G107" s="139"/>
      <c r="H107" s="139"/>
      <c r="I107" s="139"/>
      <c r="J107" s="139"/>
      <c r="K107" s="139"/>
      <c r="L107" s="139"/>
      <c r="M107" s="139"/>
      <c r="N107" s="139"/>
      <c r="O107" s="139"/>
      <c r="P107" s="139"/>
      <c r="Q107" s="139"/>
    </row>
    <row r="108" spans="1:18" ht="13" customHeight="1" x14ac:dyDescent="0.3">
      <c r="A108" s="139" t="s">
        <v>124</v>
      </c>
      <c r="B108" s="148">
        <f>+$B$104*Lout*0.000001/(Vin-Vout)</f>
        <v>9.7142857142857126E-7</v>
      </c>
      <c r="C108" s="139" t="s">
        <v>125</v>
      </c>
      <c r="D108" s="139"/>
      <c r="E108" s="139"/>
      <c r="F108" s="139"/>
      <c r="G108" s="139"/>
      <c r="H108" s="139"/>
      <c r="I108" s="139" t="s">
        <v>126</v>
      </c>
      <c r="J108" s="139"/>
      <c r="K108" s="139"/>
      <c r="L108" s="139"/>
      <c r="M108" s="139"/>
      <c r="N108" s="139"/>
      <c r="O108" s="139"/>
      <c r="P108" s="139"/>
      <c r="Q108" s="139"/>
      <c r="R108" s="142"/>
    </row>
    <row r="109" spans="1:18" ht="13" customHeight="1" x14ac:dyDescent="0.3">
      <c r="A109" s="139" t="s">
        <v>127</v>
      </c>
      <c r="B109" s="148">
        <f>+$B$104*Lout*0.000001/(Vout)</f>
        <v>1.3599999999999999E-6</v>
      </c>
      <c r="C109" s="139" t="s">
        <v>125</v>
      </c>
      <c r="D109" s="139"/>
      <c r="E109" s="139"/>
      <c r="F109" s="139"/>
      <c r="G109" s="139"/>
      <c r="H109" s="139"/>
      <c r="I109" s="139" t="s">
        <v>128</v>
      </c>
      <c r="J109" s="139"/>
      <c r="K109" s="139"/>
      <c r="L109" s="139"/>
      <c r="M109" s="139"/>
      <c r="N109" s="139"/>
      <c r="O109" s="139"/>
      <c r="P109" s="139"/>
      <c r="Q109" s="139"/>
      <c r="R109" s="142"/>
    </row>
    <row r="110" spans="1:18" ht="13" customHeight="1" x14ac:dyDescent="0.3">
      <c r="A110" s="139" t="s">
        <v>129</v>
      </c>
      <c r="B110" s="148">
        <f>1/(B108+B109)</f>
        <v>428921.56862745096</v>
      </c>
      <c r="C110" s="139" t="s">
        <v>130</v>
      </c>
      <c r="D110" s="139"/>
      <c r="E110" s="139"/>
      <c r="F110" s="139"/>
      <c r="G110" s="139"/>
      <c r="H110" s="139"/>
      <c r="I110" s="149" t="s">
        <v>131</v>
      </c>
      <c r="J110" s="139"/>
      <c r="K110" s="139"/>
      <c r="L110" s="139"/>
      <c r="M110" s="139"/>
      <c r="N110" s="139"/>
      <c r="O110" s="139"/>
      <c r="P110" s="139"/>
      <c r="Q110" s="139"/>
      <c r="R110" s="142"/>
    </row>
    <row r="111" spans="1:18" ht="13" customHeight="1" x14ac:dyDescent="0.3">
      <c r="A111" s="139" t="s">
        <v>132</v>
      </c>
      <c r="B111" s="148">
        <f>2*B106*($B$104/2-B106)/(($B$105-Vout)*$B$104*cap)</f>
        <v>7.2727272727273418E-2</v>
      </c>
      <c r="C111" s="139" t="s">
        <v>130</v>
      </c>
      <c r="D111" s="139"/>
      <c r="E111" s="139"/>
      <c r="F111" s="139"/>
      <c r="G111" s="139"/>
      <c r="H111" s="139"/>
      <c r="I111" s="149" t="s">
        <v>133</v>
      </c>
      <c r="J111" s="139"/>
      <c r="K111" s="139"/>
      <c r="L111" s="139"/>
      <c r="M111" s="139"/>
      <c r="N111" s="139"/>
      <c r="O111" s="139"/>
      <c r="P111" s="139"/>
      <c r="Q111" s="139"/>
      <c r="R111" s="142"/>
    </row>
    <row r="112" spans="1:18" ht="13" customHeight="1" x14ac:dyDescent="0.3">
      <c r="A112" s="139" t="s">
        <v>134</v>
      </c>
      <c r="B112" s="148">
        <f>+DCR*0.001*2*'Efficiency Summary'!B45*'Efficiency Summary'!$B$43/3</f>
        <v>0</v>
      </c>
      <c r="C112" s="139" t="s">
        <v>40</v>
      </c>
      <c r="D112" s="139"/>
      <c r="E112" s="139"/>
      <c r="F112" s="139"/>
      <c r="G112" s="139"/>
      <c r="H112" s="139"/>
      <c r="I112" s="139" t="s">
        <v>135</v>
      </c>
      <c r="J112" s="139"/>
      <c r="K112" s="139"/>
      <c r="L112" s="139"/>
      <c r="M112" s="139"/>
      <c r="N112" s="139"/>
      <c r="O112" s="139"/>
      <c r="P112" s="139"/>
      <c r="Q112" s="139"/>
      <c r="R112" s="142"/>
    </row>
    <row r="113" spans="1:30" ht="13" customHeight="1" x14ac:dyDescent="0.3">
      <c r="A113" s="139" t="s">
        <v>136</v>
      </c>
      <c r="B113" s="148">
        <f>+DCR*0.001*$B$104*B106/6</f>
        <v>1E-3</v>
      </c>
      <c r="C113" s="139" t="s">
        <v>40</v>
      </c>
      <c r="D113" s="139"/>
      <c r="E113" s="139"/>
      <c r="F113" s="139"/>
      <c r="G113" s="139"/>
      <c r="H113" s="139"/>
      <c r="I113" s="139" t="s">
        <v>135</v>
      </c>
      <c r="J113" s="139"/>
      <c r="K113" s="139"/>
      <c r="L113" s="139"/>
      <c r="M113" s="139"/>
      <c r="N113" s="139"/>
      <c r="O113" s="139"/>
      <c r="P113" s="139"/>
      <c r="Q113" s="139"/>
      <c r="R113" s="142"/>
    </row>
    <row r="114" spans="1:30" ht="13" customHeight="1" x14ac:dyDescent="0.3">
      <c r="A114" s="139" t="s">
        <v>137</v>
      </c>
      <c r="B114" s="139">
        <f>2*Ron_u*0.001*'Efficiency Summary'!B45*'Efficiency Summary'!$B$43*Vout/(3*Vin)</f>
        <v>0</v>
      </c>
      <c r="C114" s="139" t="s">
        <v>40</v>
      </c>
      <c r="D114" s="139"/>
      <c r="E114" s="139"/>
      <c r="F114" s="139"/>
      <c r="G114" s="139"/>
      <c r="H114" s="139"/>
      <c r="I114" s="139" t="s">
        <v>138</v>
      </c>
      <c r="J114" s="139"/>
      <c r="K114" s="139"/>
      <c r="L114" s="139"/>
      <c r="M114" s="139"/>
      <c r="N114" s="139"/>
      <c r="O114" s="139"/>
      <c r="P114" s="139"/>
      <c r="Q114" s="139"/>
      <c r="R114" s="142"/>
    </row>
    <row r="115" spans="1:30" ht="13" customHeight="1" x14ac:dyDescent="0.3">
      <c r="A115" s="139" t="s">
        <v>139</v>
      </c>
      <c r="B115" s="148" t="e">
        <f>+B106*(Vout*(Vin-Vout)/('Efficiency Summary'!$B$43*Lout*0.000001))*'Power Loss'!$B$40*0.000000001</f>
        <v>#DIV/0!</v>
      </c>
      <c r="C115" s="139" t="s">
        <v>40</v>
      </c>
      <c r="D115" s="139"/>
      <c r="E115" s="139"/>
      <c r="F115" s="139"/>
      <c r="G115" s="139"/>
      <c r="H115" s="139"/>
      <c r="I115" s="139" t="s">
        <v>140</v>
      </c>
      <c r="J115" s="139"/>
      <c r="K115" s="139"/>
      <c r="L115" s="139"/>
      <c r="M115" s="139"/>
      <c r="N115" s="139"/>
      <c r="O115" s="139"/>
      <c r="P115" s="139"/>
      <c r="Q115" s="139"/>
      <c r="R115" s="142"/>
    </row>
    <row r="116" spans="1:30" ht="13" customHeight="1" x14ac:dyDescent="0.3">
      <c r="A116" s="139" t="s">
        <v>141</v>
      </c>
      <c r="B116" s="139" t="e">
        <f>+'Power Loss'!$B$37*0.000000001*Vin^2*2*'Efficiency Summary'!B45*Vout*(Vin-Vout)/(Lout*0.000001*'Power Loss'!$B$66*'Efficiency Summary'!$B$43^2)</f>
        <v>#DIV/0!</v>
      </c>
      <c r="C116" s="139" t="s">
        <v>40</v>
      </c>
      <c r="D116" s="139"/>
      <c r="E116" s="139"/>
      <c r="F116" s="139"/>
      <c r="G116" s="139"/>
      <c r="H116" s="139"/>
      <c r="I116" s="139" t="s">
        <v>142</v>
      </c>
      <c r="J116" s="139"/>
      <c r="K116" s="139"/>
      <c r="L116" s="139"/>
      <c r="M116" s="139"/>
      <c r="N116" s="139"/>
      <c r="O116" s="139"/>
      <c r="P116" s="139"/>
      <c r="Q116" s="139"/>
      <c r="R116" s="142"/>
    </row>
    <row r="117" spans="1:30" ht="13" customHeight="1" x14ac:dyDescent="0.3">
      <c r="A117" s="139" t="s">
        <v>143</v>
      </c>
      <c r="B117" s="139">
        <f>2*Ron_l*0.001*'Efficiency Summary'!$B$45*'Efficiency Summary'!$B$43*(Vin-Vout)/(3*Vin)</f>
        <v>0</v>
      </c>
      <c r="C117" s="139" t="s">
        <v>40</v>
      </c>
      <c r="D117" s="139"/>
      <c r="E117" s="139"/>
      <c r="F117" s="139"/>
      <c r="G117" s="139"/>
      <c r="H117" s="139"/>
      <c r="I117" s="139" t="s">
        <v>144</v>
      </c>
      <c r="J117" s="139"/>
      <c r="K117" s="139"/>
      <c r="L117" s="139"/>
      <c r="M117" s="139"/>
      <c r="N117" s="139"/>
      <c r="O117" s="139"/>
      <c r="P117" s="139"/>
      <c r="Q117" s="139"/>
      <c r="R117" s="142"/>
    </row>
    <row r="118" spans="1:30" ht="13" customHeight="1" x14ac:dyDescent="0.3">
      <c r="A118" s="139" t="s">
        <v>145</v>
      </c>
      <c r="B118" s="139" t="e">
        <f>+'Power Loss'!$B$54*0.000000001*Vin^2*2*'Efficiency Summary'!B45*Vout*(Vin-Vout)/(Lout*0.000001*'Power Loss'!$B$66*'Efficiency Summary'!$B$43^2)</f>
        <v>#DIV/0!</v>
      </c>
      <c r="C118" s="139" t="s">
        <v>40</v>
      </c>
      <c r="D118" s="139"/>
      <c r="E118" s="139"/>
      <c r="F118" s="139"/>
      <c r="G118" s="139"/>
      <c r="H118" s="139"/>
      <c r="I118" s="139" t="s">
        <v>146</v>
      </c>
      <c r="J118" s="139"/>
      <c r="K118" s="139"/>
      <c r="L118" s="139"/>
      <c r="M118" s="139"/>
      <c r="N118" s="139"/>
      <c r="O118" s="139"/>
      <c r="P118" s="139"/>
      <c r="Q118" s="139"/>
      <c r="R118" s="142"/>
    </row>
    <row r="119" spans="1:30" ht="13" customHeight="1" x14ac:dyDescent="0.3">
      <c r="A119" s="139" t="s">
        <v>147</v>
      </c>
      <c r="B119" s="139" t="e">
        <f>+$K$104*$K$105*0.000000001*2*B106*Vout*(Vin-Vout)/('Efficiency Summary'!$B$43^2*Lout*0.000001*Vin)</f>
        <v>#DIV/0!</v>
      </c>
      <c r="C119" s="139" t="s">
        <v>40</v>
      </c>
      <c r="D119" s="139"/>
      <c r="E119" s="139"/>
      <c r="F119" s="139"/>
      <c r="G119" s="139"/>
      <c r="H119" s="139"/>
      <c r="I119" s="139" t="s">
        <v>148</v>
      </c>
      <c r="J119" s="139"/>
      <c r="K119" s="139"/>
      <c r="L119" s="139"/>
      <c r="M119" s="139"/>
      <c r="N119" s="139"/>
      <c r="O119" s="139"/>
      <c r="P119" s="139"/>
      <c r="Q119" s="139"/>
      <c r="R119" s="142"/>
    </row>
    <row r="120" spans="1:30" ht="13" customHeight="1" x14ac:dyDescent="0.3">
      <c r="A120" s="139" t="s">
        <v>149</v>
      </c>
      <c r="B120" s="139">
        <f>+esr*0.001*B106*$B$104/(6*ncap)</f>
        <v>5.0000000000000002E-5</v>
      </c>
      <c r="C120" s="139" t="s">
        <v>40</v>
      </c>
      <c r="D120" s="139"/>
      <c r="E120" s="139"/>
      <c r="F120" s="139"/>
      <c r="G120" s="139"/>
      <c r="H120" s="139"/>
      <c r="I120" s="139" t="s">
        <v>150</v>
      </c>
      <c r="J120" s="139"/>
      <c r="K120" s="139"/>
      <c r="L120" s="139"/>
      <c r="M120" s="139"/>
      <c r="N120" s="139"/>
      <c r="O120" s="139"/>
      <c r="P120" s="139"/>
      <c r="Q120" s="139"/>
      <c r="R120" s="142"/>
    </row>
    <row r="121" spans="1:30" ht="13" customHeight="1" x14ac:dyDescent="0.3">
      <c r="A121" s="139" t="s">
        <v>151</v>
      </c>
      <c r="B121" s="139">
        <f>+$K$106*0.000001*(1+20*B106)*Vin</f>
        <v>0.06</v>
      </c>
      <c r="C121" s="139" t="s">
        <v>40</v>
      </c>
      <c r="D121" s="139"/>
      <c r="E121" s="139"/>
      <c r="F121" s="139"/>
      <c r="G121" s="139"/>
      <c r="H121" s="139"/>
      <c r="I121" s="139" t="s">
        <v>152</v>
      </c>
      <c r="J121" s="139"/>
      <c r="K121" s="139"/>
      <c r="L121" s="139"/>
      <c r="M121" s="139"/>
      <c r="N121" s="139"/>
      <c r="O121" s="139"/>
      <c r="P121" s="139"/>
      <c r="Q121" s="139"/>
      <c r="R121" s="142"/>
    </row>
    <row r="122" spans="1:30" ht="13" customHeight="1" x14ac:dyDescent="0.3">
      <c r="A122" s="139"/>
      <c r="B122" s="139"/>
      <c r="C122" s="139"/>
      <c r="D122" s="139"/>
      <c r="E122" s="139"/>
      <c r="F122" s="139"/>
      <c r="G122" s="139"/>
      <c r="H122" s="139"/>
      <c r="I122" s="139"/>
      <c r="J122" s="139"/>
      <c r="K122" s="139"/>
      <c r="L122" s="139"/>
      <c r="M122" s="139"/>
      <c r="N122" s="139"/>
      <c r="O122" s="139"/>
      <c r="P122" s="139"/>
      <c r="Q122" s="139"/>
      <c r="R122" s="142"/>
    </row>
    <row r="123" spans="1:30" ht="13" customHeight="1" x14ac:dyDescent="0.3">
      <c r="A123" s="139" t="s">
        <v>153</v>
      </c>
      <c r="B123" s="148" t="e">
        <f>SUM(B112:B121)</f>
        <v>#DIV/0!</v>
      </c>
      <c r="C123" s="139" t="s">
        <v>40</v>
      </c>
      <c r="D123" s="139"/>
      <c r="E123" s="139"/>
      <c r="F123" s="139"/>
      <c r="G123" s="139"/>
      <c r="H123" s="139"/>
      <c r="I123" s="139"/>
      <c r="J123" s="139"/>
      <c r="K123" s="139"/>
      <c r="L123" s="139"/>
      <c r="M123" s="139"/>
      <c r="N123" s="139"/>
      <c r="O123" s="139"/>
      <c r="P123" s="139"/>
      <c r="Q123" s="139"/>
      <c r="R123" s="142"/>
    </row>
    <row r="124" spans="1:30" ht="13" customHeight="1" x14ac:dyDescent="0.3">
      <c r="A124" s="139"/>
      <c r="B124" s="139"/>
      <c r="C124" s="139"/>
      <c r="D124" s="139"/>
      <c r="E124" s="139"/>
      <c r="F124" s="139"/>
      <c r="G124" s="139"/>
      <c r="H124" s="139"/>
      <c r="I124" s="139"/>
      <c r="J124" s="139"/>
      <c r="K124" s="139"/>
      <c r="L124" s="139"/>
      <c r="M124" s="139"/>
      <c r="N124" s="139"/>
      <c r="O124" s="139"/>
      <c r="P124" s="139"/>
      <c r="Q124" s="139"/>
      <c r="R124" s="142"/>
    </row>
    <row r="125" spans="1:30" ht="13" customHeight="1" x14ac:dyDescent="0.3">
      <c r="A125" s="139" t="s">
        <v>154</v>
      </c>
      <c r="B125" s="148">
        <f>+Vout*B106/(Vout*B106+'Efficiency Summary'!B62)</f>
        <v>2.4999937500156254E-6</v>
      </c>
      <c r="C125" s="139" t="s">
        <v>15</v>
      </c>
      <c r="D125" s="139"/>
      <c r="E125" s="139"/>
      <c r="F125" s="139"/>
      <c r="G125" s="139"/>
      <c r="H125" s="139"/>
      <c r="I125" s="139"/>
      <c r="J125" s="139"/>
      <c r="K125" s="139"/>
      <c r="L125" s="139"/>
      <c r="M125" s="139"/>
      <c r="N125" s="139"/>
      <c r="O125" s="139"/>
      <c r="P125" s="139"/>
      <c r="Q125" s="139"/>
      <c r="R125" s="142"/>
    </row>
    <row r="126" spans="1:30" ht="13" customHeight="1" x14ac:dyDescent="0.3">
      <c r="A126" s="143"/>
      <c r="B126" s="143"/>
      <c r="C126" s="143"/>
      <c r="D126" s="143"/>
      <c r="E126" s="143"/>
      <c r="F126" s="143"/>
      <c r="G126" s="143"/>
      <c r="H126" s="143"/>
      <c r="I126" s="143"/>
      <c r="J126" s="143"/>
      <c r="K126" s="143"/>
      <c r="L126" s="143"/>
      <c r="M126" s="143"/>
      <c r="N126" s="143"/>
      <c r="O126" s="143"/>
      <c r="P126" s="143"/>
      <c r="Q126" s="143"/>
      <c r="R126" s="144"/>
      <c r="S126" s="146"/>
      <c r="T126" s="146"/>
      <c r="U126" s="146"/>
      <c r="V126" s="146"/>
      <c r="W126" s="146"/>
      <c r="X126" s="146"/>
      <c r="Y126" s="146"/>
      <c r="Z126" s="146"/>
      <c r="AA126" s="146"/>
      <c r="AB126" s="146"/>
      <c r="AC126" s="146"/>
      <c r="AD126" s="146"/>
    </row>
    <row r="127" spans="1:30" ht="13" customHeight="1" x14ac:dyDescent="0.3">
      <c r="A127" s="143" t="s">
        <v>155</v>
      </c>
      <c r="B127" s="143" t="s">
        <v>156</v>
      </c>
      <c r="C127" s="143" t="s">
        <v>124</v>
      </c>
      <c r="D127" s="143" t="s">
        <v>127</v>
      </c>
      <c r="E127" s="143" t="s">
        <v>129</v>
      </c>
      <c r="F127" s="143" t="s">
        <v>132</v>
      </c>
      <c r="G127" s="143" t="s">
        <v>134</v>
      </c>
      <c r="H127" s="143" t="s">
        <v>136</v>
      </c>
      <c r="I127" s="143" t="s">
        <v>137</v>
      </c>
      <c r="J127" s="143" t="s">
        <v>139</v>
      </c>
      <c r="K127" s="143" t="s">
        <v>141</v>
      </c>
      <c r="L127" s="143" t="s">
        <v>143</v>
      </c>
      <c r="M127" s="143" t="s">
        <v>145</v>
      </c>
      <c r="N127" s="143" t="s">
        <v>147</v>
      </c>
      <c r="O127" s="143" t="s">
        <v>149</v>
      </c>
      <c r="P127" s="143" t="s">
        <v>151</v>
      </c>
      <c r="Q127" s="143" t="s">
        <v>38</v>
      </c>
      <c r="R127" s="144"/>
      <c r="S127" s="146"/>
      <c r="T127" s="146"/>
      <c r="U127" s="146"/>
      <c r="V127" s="146"/>
      <c r="W127" s="146"/>
      <c r="X127" s="146"/>
      <c r="Y127" s="146"/>
      <c r="Z127" s="146"/>
      <c r="AA127" s="146"/>
      <c r="AB127" s="146"/>
      <c r="AC127" s="146"/>
      <c r="AD127" s="146"/>
    </row>
    <row r="128" spans="1:30" ht="13" customHeight="1" x14ac:dyDescent="0.3">
      <c r="A128" s="143">
        <v>1</v>
      </c>
      <c r="B128" s="143">
        <f>+Imin</f>
        <v>1E-3</v>
      </c>
      <c r="C128" s="150">
        <f t="shared" ref="C128:C171" si="9">+$B$104*Lout*0.000001/(Vin-Vout)</f>
        <v>9.7142857142857126E-7</v>
      </c>
      <c r="D128" s="150">
        <f t="shared" ref="D128:D171" si="10">+$B$104*Lout*0.000001/(Vout)</f>
        <v>1.3599999999999999E-6</v>
      </c>
      <c r="E128" s="150">
        <f>1/(C128+D128)</f>
        <v>428921.56862745096</v>
      </c>
      <c r="F128" s="150">
        <f t="shared" ref="F128:F171" si="11">2*B128*($B$104/2-B128)/(($B$105-Vout)*$B$104*cap)</f>
        <v>6.0484848484849052E-4</v>
      </c>
      <c r="G128" s="150">
        <f>+DCR*0.001*2*'Efficiency Summary'!B128*'Efficiency Summary'!$B$104/3</f>
        <v>2.0000000000000002E-5</v>
      </c>
      <c r="H128" s="150">
        <f t="shared" ref="H128" si="12">+DCR*0.001*$B$104*B128/6</f>
        <v>5.0000000000000004E-6</v>
      </c>
      <c r="I128" s="143">
        <f>2*Ron_u*0.001*'Efficiency Summary'!B128*'Efficiency Summary'!$B$104*Vout/(3*Vin)</f>
        <v>4.833333333333334E-5</v>
      </c>
      <c r="J128" s="150">
        <f>+B128*(Vout*(Vin-Vout)/('Efficiency Summary'!$B$104*Lout*0.000001))*'Power Loss'!$B$40*0.000000001</f>
        <v>1.0294117647058824E-5</v>
      </c>
      <c r="K128" s="143">
        <f>+'Power Loss'!$B$37*0.000000001*Vin^2*2*'Efficiency Summary'!B128*Vout*(Vin-Vout)/(Lout*0.000001*'Power Loss'!$B$66*'Efficiency Summary'!$B$104^2)</f>
        <v>5.111561866125762E-5</v>
      </c>
      <c r="L128" s="143">
        <f>2*Ron_l*0.001*'Efficiency Summary'!$B$106*'Efficiency Summary'!$B$104*(Vin-Vout)/(3*Vin)</f>
        <v>5.3907E-3</v>
      </c>
      <c r="M128" s="143">
        <f>+'Power Loss'!$B$54*0.000000001*Vin^2*2*'Efficiency Summary'!B128*Vout*(Vin-Vout)/(Lout*0.000001*'Power Loss'!$B$66*'Efficiency Summary'!$B$104^2)</f>
        <v>1.2832558032952179E-4</v>
      </c>
      <c r="N128" s="143">
        <f>+$K$104*$K$105*0.000000001*2*B128*Vout*(Vin-Vout)/('Efficiency Summary'!$B$104^2*Lout*0.000001*Vin)</f>
        <v>4.2892156862745106E-6</v>
      </c>
      <c r="O128" s="143">
        <f t="shared" ref="O128:O171" si="13">+esr*0.001*B128*$B$104/(6*ncap)</f>
        <v>2.4999999999999999E-7</v>
      </c>
      <c r="P128" s="143">
        <f t="shared" ref="P128" si="14">+$K$106*0.000001*(1+20*B128)*Vin</f>
        <v>1.2240000000000001E-2</v>
      </c>
      <c r="Q128" s="150">
        <f>+B128*Vout*100/(Vout*'Efficiency Summary'!B128+SUM('Efficiency Summary'!G128:P128))</f>
        <v>21.83567462423251</v>
      </c>
      <c r="R128" s="144"/>
      <c r="S128" s="146"/>
      <c r="T128" s="146"/>
      <c r="U128" s="146"/>
      <c r="V128" s="146"/>
      <c r="W128" s="146"/>
      <c r="X128" s="146"/>
      <c r="Y128" s="146"/>
      <c r="Z128" s="146"/>
      <c r="AA128" s="146"/>
      <c r="AB128" s="146"/>
      <c r="AC128" s="146"/>
      <c r="AD128" s="146"/>
    </row>
    <row r="129" spans="1:30" ht="13" customHeight="1" x14ac:dyDescent="0.3">
      <c r="A129" s="143">
        <f>+A128+2</f>
        <v>3</v>
      </c>
      <c r="B129" s="143">
        <f t="shared" ref="B129:B170" si="15">+Imin+($B$104-Imin)*0.01*A129/2</f>
        <v>1.5985000000000003E-2</v>
      </c>
      <c r="C129" s="150">
        <f t="shared" si="9"/>
        <v>9.7142857142857126E-7</v>
      </c>
      <c r="D129" s="150">
        <f t="shared" si="10"/>
        <v>1.3599999999999999E-6</v>
      </c>
      <c r="E129" s="150">
        <f>1/(C129+D129)</f>
        <v>428921.56862745096</v>
      </c>
      <c r="F129" s="150">
        <f t="shared" si="11"/>
        <v>9.3781573030303923E-3</v>
      </c>
      <c r="G129" s="150">
        <f>+DCR*0.001*2*'Efficiency Summary'!B129*'Efficiency Summary'!$B$104/3</f>
        <v>3.1970000000000007E-4</v>
      </c>
      <c r="H129" s="150">
        <f t="shared" ref="H129:H171" si="16">+DCR*0.001*$B$104*B129/6</f>
        <v>7.9925000000000018E-5</v>
      </c>
      <c r="I129" s="143">
        <f>2*Ron_u*0.001*'Efficiency Summary'!B129*'Efficiency Summary'!$B$104*Vout/(3*Vin)</f>
        <v>7.7260833333333363E-4</v>
      </c>
      <c r="J129" s="150">
        <f>+B129*(Vout*(Vin-Vout)/('Efficiency Summary'!$B$104*Lout*0.000001))*'Power Loss'!$B$40*0.000000001</f>
        <v>1.6455147058823535E-4</v>
      </c>
      <c r="K129" s="143">
        <f>+'Power Loss'!$B$37*0.000000001*Vin^2*2*'Efficiency Summary'!B129*Vout*(Vin-Vout)/(Lout*0.000001*'Power Loss'!$B$66*'Efficiency Summary'!$B$104^2)</f>
        <v>8.1708316430020313E-4</v>
      </c>
      <c r="L129" s="143">
        <f>2*Ron_l*0.001*'Efficiency Summary'!$B$106*'Efficiency Summary'!$B$104*(Vin-Vout)/(3*Vin)</f>
        <v>5.3907E-3</v>
      </c>
      <c r="M129" s="143">
        <f>+'Power Loss'!$B$54*0.000000001*Vin^2*2*'Efficiency Summary'!B129*Vout*(Vin-Vout)/(Lout*0.000001*'Power Loss'!$B$66*'Efficiency Summary'!$B$104^2)</f>
        <v>2.0512844015674056E-3</v>
      </c>
      <c r="N129" s="143">
        <f>+$K$104*$K$105*0.000000001*2*B129*Vout*(Vin-Vout)/('Efficiency Summary'!$B$104^2*Lout*0.000001*Vin)</f>
        <v>6.8563112745098062E-5</v>
      </c>
      <c r="O129" s="143">
        <f t="shared" si="13"/>
        <v>3.9962500000000009E-6</v>
      </c>
      <c r="P129" s="143">
        <f t="shared" ref="P129:P171" si="17">+$K$106*0.000001*(1+20*B129)*Vin</f>
        <v>1.58364E-2</v>
      </c>
      <c r="Q129" s="150">
        <f>+B129*Vout*100/(Vout*'Efficiency Summary'!B129+SUM('Efficiency Summary'!G129:P129))</f>
        <v>75.808728751941956</v>
      </c>
      <c r="R129" s="144"/>
      <c r="S129" s="146"/>
      <c r="T129" s="146"/>
      <c r="U129" s="146"/>
      <c r="V129" s="146"/>
      <c r="W129" s="146"/>
      <c r="X129" s="146"/>
      <c r="Y129" s="146"/>
      <c r="Z129" s="146"/>
      <c r="AA129" s="146"/>
      <c r="AB129" s="146"/>
      <c r="AC129" s="146"/>
      <c r="AD129" s="146"/>
    </row>
    <row r="130" spans="1:30" ht="13" customHeight="1" x14ac:dyDescent="0.3">
      <c r="A130" s="143">
        <f t="shared" ref="A130:A171" si="18">+A129+2</f>
        <v>5</v>
      </c>
      <c r="B130" s="143">
        <f t="shared" si="15"/>
        <v>2.5975000000000002E-2</v>
      </c>
      <c r="C130" s="150">
        <f t="shared" si="9"/>
        <v>9.7142857142857126E-7</v>
      </c>
      <c r="D130" s="150">
        <f t="shared" si="10"/>
        <v>1.3599999999999999E-6</v>
      </c>
      <c r="E130" s="150">
        <f t="shared" ref="E130:E171" si="19">1/(C130+D130)</f>
        <v>428921.56862745096</v>
      </c>
      <c r="F130" s="150">
        <f t="shared" si="11"/>
        <v>1.4924605303030445E-2</v>
      </c>
      <c r="G130" s="150">
        <f>+DCR*0.001*2*'Efficiency Summary'!B130*'Efficiency Summary'!$B$104/3</f>
        <v>5.195E-4</v>
      </c>
      <c r="H130" s="150">
        <f t="shared" si="16"/>
        <v>1.29875E-4</v>
      </c>
      <c r="I130" s="143">
        <f>2*Ron_u*0.001*'Efficiency Summary'!B130*'Efficiency Summary'!$B$104*Vout/(3*Vin)</f>
        <v>1.2554583333333335E-3</v>
      </c>
      <c r="J130" s="150">
        <f>+B130*(Vout*(Vin-Vout)/('Efficiency Summary'!$B$104*Lout*0.000001))*'Power Loss'!$B$40*0.000000001</f>
        <v>2.6738970588235299E-4</v>
      </c>
      <c r="K130" s="143">
        <f>+'Power Loss'!$B$37*0.000000001*Vin^2*2*'Efficiency Summary'!B130*Vout*(Vin-Vout)/(Lout*0.000001*'Power Loss'!$B$66*'Efficiency Summary'!$B$104^2)</f>
        <v>1.3277281947261666E-3</v>
      </c>
      <c r="L130" s="143">
        <f>2*Ron_l*0.001*'Efficiency Summary'!$B$106*'Efficiency Summary'!$B$104*(Vin-Vout)/(3*Vin)</f>
        <v>5.3907E-3</v>
      </c>
      <c r="M130" s="143">
        <f>+'Power Loss'!$B$54*0.000000001*Vin^2*2*'Efficiency Summary'!B130*Vout*(Vin-Vout)/(Lout*0.000001*'Power Loss'!$B$66*'Efficiency Summary'!$B$104^2)</f>
        <v>3.3332569490593282E-3</v>
      </c>
      <c r="N130" s="143">
        <f>+$K$104*$K$105*0.000000001*2*B130*Vout*(Vin-Vout)/('Efficiency Summary'!$B$104^2*Lout*0.000001*Vin)</f>
        <v>1.1141237745098041E-4</v>
      </c>
      <c r="O130" s="143">
        <f t="shared" si="13"/>
        <v>6.4937500000000011E-6</v>
      </c>
      <c r="P130" s="143">
        <f t="shared" si="17"/>
        <v>1.8234E-2</v>
      </c>
      <c r="Q130" s="150">
        <f>+B130*Vout*100/(Vout*'Efficiency Summary'!B130+SUM('Efficiency Summary'!G130:P130))</f>
        <v>80.943808579686106</v>
      </c>
      <c r="R130" s="144"/>
      <c r="S130" s="146"/>
      <c r="T130" s="146"/>
      <c r="U130" s="146"/>
      <c r="V130" s="146"/>
      <c r="W130" s="146"/>
      <c r="X130" s="146"/>
      <c r="Y130" s="146"/>
      <c r="Z130" s="146"/>
      <c r="AA130" s="146"/>
      <c r="AB130" s="146"/>
      <c r="AC130" s="146"/>
      <c r="AD130" s="146"/>
    </row>
    <row r="131" spans="1:30" ht="13" customHeight="1" x14ac:dyDescent="0.3">
      <c r="A131" s="143">
        <f t="shared" si="18"/>
        <v>7</v>
      </c>
      <c r="B131" s="143">
        <f t="shared" si="15"/>
        <v>3.5965000000000004E-2</v>
      </c>
      <c r="C131" s="150">
        <f t="shared" si="9"/>
        <v>9.7142857142857126E-7</v>
      </c>
      <c r="D131" s="150">
        <f t="shared" si="10"/>
        <v>1.3599999999999999E-6</v>
      </c>
      <c r="E131" s="150">
        <f t="shared" si="19"/>
        <v>428921.56862745096</v>
      </c>
      <c r="F131" s="150">
        <f t="shared" si="11"/>
        <v>2.0229113666666861E-2</v>
      </c>
      <c r="G131" s="150">
        <f>+DCR*0.001*2*'Efficiency Summary'!B131*'Efficiency Summary'!$B$104/3</f>
        <v>7.1930000000000008E-4</v>
      </c>
      <c r="H131" s="150">
        <f t="shared" si="16"/>
        <v>1.7982500000000002E-4</v>
      </c>
      <c r="I131" s="143">
        <f>2*Ron_u*0.001*'Efficiency Summary'!B131*'Efficiency Summary'!$B$104*Vout/(3*Vin)</f>
        <v>1.7383083333333336E-3</v>
      </c>
      <c r="J131" s="150">
        <f>+B131*(Vout*(Vin-Vout)/('Efficiency Summary'!$B$104*Lout*0.000001))*'Power Loss'!$B$40*0.000000001</f>
        <v>3.7022794117647068E-4</v>
      </c>
      <c r="K131" s="143">
        <f>+'Power Loss'!$B$37*0.000000001*Vin^2*2*'Efficiency Summary'!B131*Vout*(Vin-Vout)/(Lout*0.000001*'Power Loss'!$B$66*'Efficiency Summary'!$B$104^2)</f>
        <v>1.8383732251521306E-3</v>
      </c>
      <c r="L131" s="143">
        <f>2*Ron_l*0.001*'Efficiency Summary'!$B$106*'Efficiency Summary'!$B$104*(Vin-Vout)/(3*Vin)</f>
        <v>5.3907E-3</v>
      </c>
      <c r="M131" s="143">
        <f>+'Power Loss'!$B$54*0.000000001*Vin^2*2*'Efficiency Summary'!B131*Vout*(Vin-Vout)/(Lout*0.000001*'Power Loss'!$B$66*'Efficiency Summary'!$B$104^2)</f>
        <v>4.6152294965512508E-3</v>
      </c>
      <c r="N131" s="143">
        <f>+$K$104*$K$105*0.000000001*2*B131*Vout*(Vin-Vout)/('Efficiency Summary'!$B$104^2*Lout*0.000001*Vin)</f>
        <v>1.5426164215686278E-4</v>
      </c>
      <c r="O131" s="143">
        <f t="shared" si="13"/>
        <v>8.9912500000000014E-6</v>
      </c>
      <c r="P131" s="143">
        <f t="shared" si="17"/>
        <v>2.06316E-2</v>
      </c>
      <c r="Q131" s="150">
        <f>+B131*Vout*100/(Vout*'Efficiency Summary'!B131+SUM('Efficiency Summary'!G131:P131))</f>
        <v>83.456390073121412</v>
      </c>
      <c r="R131" s="144"/>
      <c r="S131" s="146"/>
      <c r="T131" s="146"/>
      <c r="U131" s="146"/>
      <c r="V131" s="146"/>
      <c r="W131" s="146"/>
      <c r="X131" s="146"/>
      <c r="Y131" s="146"/>
      <c r="Z131" s="146"/>
      <c r="AA131" s="146"/>
      <c r="AB131" s="146"/>
      <c r="AC131" s="146"/>
      <c r="AD131" s="146"/>
    </row>
    <row r="132" spans="1:30" ht="13" customHeight="1" x14ac:dyDescent="0.3">
      <c r="A132" s="143">
        <f t="shared" si="18"/>
        <v>9</v>
      </c>
      <c r="B132" s="143">
        <f t="shared" si="15"/>
        <v>4.5955000000000003E-2</v>
      </c>
      <c r="C132" s="150">
        <f t="shared" si="9"/>
        <v>9.7142857142857126E-7</v>
      </c>
      <c r="D132" s="150">
        <f t="shared" si="10"/>
        <v>1.3599999999999999E-6</v>
      </c>
      <c r="E132" s="150">
        <f t="shared" si="19"/>
        <v>428921.56862745096</v>
      </c>
      <c r="F132" s="150">
        <f t="shared" si="11"/>
        <v>2.5291682393939634E-2</v>
      </c>
      <c r="G132" s="150">
        <f>+DCR*0.001*2*'Efficiency Summary'!B132*'Efficiency Summary'!$B$104/3</f>
        <v>9.1909999999999995E-4</v>
      </c>
      <c r="H132" s="150">
        <f t="shared" si="16"/>
        <v>2.2977499999999999E-4</v>
      </c>
      <c r="I132" s="143">
        <f>2*Ron_u*0.001*'Efficiency Summary'!B132*'Efficiency Summary'!$B$104*Vout/(3*Vin)</f>
        <v>2.2211583333333331E-3</v>
      </c>
      <c r="J132" s="150">
        <f>+B132*(Vout*(Vin-Vout)/('Efficiency Summary'!$B$104*Lout*0.000001))*'Power Loss'!$B$40*0.000000001</f>
        <v>4.7306617647058832E-4</v>
      </c>
      <c r="K132" s="143">
        <f>+'Power Loss'!$B$37*0.000000001*Vin^2*2*'Efficiency Summary'!B132*Vout*(Vin-Vout)/(Lout*0.000001*'Power Loss'!$B$66*'Efficiency Summary'!$B$104^2)</f>
        <v>2.3490182555780939E-3</v>
      </c>
      <c r="L132" s="143">
        <f>2*Ron_l*0.001*'Efficiency Summary'!$B$106*'Efficiency Summary'!$B$104*(Vin-Vout)/(3*Vin)</f>
        <v>5.3907E-3</v>
      </c>
      <c r="M132" s="143">
        <f>+'Power Loss'!$B$54*0.000000001*Vin^2*2*'Efficiency Summary'!B132*Vout*(Vin-Vout)/(Lout*0.000001*'Power Loss'!$B$66*'Efficiency Summary'!$B$104^2)</f>
        <v>5.8972020440431734E-3</v>
      </c>
      <c r="N132" s="143">
        <f>+$K$104*$K$105*0.000000001*2*B132*Vout*(Vin-Vout)/('Efficiency Summary'!$B$104^2*Lout*0.000001*Vin)</f>
        <v>1.9711090686274512E-4</v>
      </c>
      <c r="O132" s="143">
        <f t="shared" si="13"/>
        <v>1.1488750000000001E-5</v>
      </c>
      <c r="P132" s="143">
        <f t="shared" si="17"/>
        <v>2.30292E-2</v>
      </c>
      <c r="Q132" s="150">
        <f>+B132*Vout*100/(Vout*'Efficiency Summary'!B132+SUM('Efficiency Summary'!G132:P132))</f>
        <v>84.946802082721206</v>
      </c>
      <c r="R132" s="144"/>
      <c r="S132" s="146"/>
      <c r="T132" s="146"/>
      <c r="U132" s="146"/>
      <c r="V132" s="146"/>
      <c r="W132" s="146"/>
      <c r="X132" s="146"/>
      <c r="Y132" s="146"/>
      <c r="Z132" s="146"/>
      <c r="AA132" s="146"/>
      <c r="AB132" s="146"/>
      <c r="AC132" s="146"/>
      <c r="AD132" s="146"/>
    </row>
    <row r="133" spans="1:30" ht="13" customHeight="1" x14ac:dyDescent="0.3">
      <c r="A133" s="143">
        <f t="shared" si="18"/>
        <v>11</v>
      </c>
      <c r="B133" s="143">
        <f t="shared" si="15"/>
        <v>5.5945000000000002E-2</v>
      </c>
      <c r="C133" s="150">
        <f t="shared" si="9"/>
        <v>9.7142857142857126E-7</v>
      </c>
      <c r="D133" s="150">
        <f t="shared" si="10"/>
        <v>1.3599999999999999E-6</v>
      </c>
      <c r="E133" s="150">
        <f t="shared" si="19"/>
        <v>428921.56862745096</v>
      </c>
      <c r="F133" s="150">
        <f t="shared" si="11"/>
        <v>3.0112311484848768E-2</v>
      </c>
      <c r="G133" s="150">
        <f>+DCR*0.001*2*'Efficiency Summary'!B133*'Efficiency Summary'!$B$104/3</f>
        <v>1.1188999999999999E-3</v>
      </c>
      <c r="H133" s="150">
        <f t="shared" si="16"/>
        <v>2.7972499999999998E-4</v>
      </c>
      <c r="I133" s="143">
        <f>2*Ron_u*0.001*'Efficiency Summary'!B133*'Efficiency Summary'!$B$104*Vout/(3*Vin)</f>
        <v>2.7040083333333335E-3</v>
      </c>
      <c r="J133" s="150">
        <f>+B133*(Vout*(Vin-Vout)/('Efficiency Summary'!$B$104*Lout*0.000001))*'Power Loss'!$B$40*0.000000001</f>
        <v>5.759044117647059E-4</v>
      </c>
      <c r="K133" s="143">
        <f>+'Power Loss'!$B$37*0.000000001*Vin^2*2*'Efficiency Summary'!B133*Vout*(Vin-Vout)/(Lout*0.000001*'Power Loss'!$B$66*'Efficiency Summary'!$B$104^2)</f>
        <v>2.8596632860040569E-3</v>
      </c>
      <c r="L133" s="143">
        <f>2*Ron_l*0.001*'Efficiency Summary'!$B$106*'Efficiency Summary'!$B$104*(Vin-Vout)/(3*Vin)</f>
        <v>5.3907E-3</v>
      </c>
      <c r="M133" s="143">
        <f>+'Power Loss'!$B$54*0.000000001*Vin^2*2*'Efficiency Summary'!B133*Vout*(Vin-Vout)/(Lout*0.000001*'Power Loss'!$B$66*'Efficiency Summary'!$B$104^2)</f>
        <v>7.1791745915350943E-3</v>
      </c>
      <c r="N133" s="143">
        <f>+$K$104*$K$105*0.000000001*2*B133*Vout*(Vin-Vout)/('Efficiency Summary'!$B$104^2*Lout*0.000001*Vin)</f>
        <v>2.399601715686275E-4</v>
      </c>
      <c r="O133" s="143">
        <f t="shared" si="13"/>
        <v>1.3986250000000002E-5</v>
      </c>
      <c r="P133" s="143">
        <f t="shared" si="17"/>
        <v>2.5426799999999999E-2</v>
      </c>
      <c r="Q133" s="150">
        <f>+B133*Vout*100/(Vout*'Efficiency Summary'!B133+SUM('Efficiency Summary'!G133:P133))</f>
        <v>85.933370891394119</v>
      </c>
      <c r="R133" s="144"/>
      <c r="S133" s="146"/>
      <c r="T133" s="146"/>
      <c r="U133" s="146"/>
      <c r="V133" s="146"/>
      <c r="W133" s="146"/>
      <c r="X133" s="146"/>
      <c r="Y133" s="146"/>
      <c r="Z133" s="146"/>
      <c r="AA133" s="146"/>
      <c r="AB133" s="146"/>
      <c r="AC133" s="146"/>
      <c r="AD133" s="146"/>
    </row>
    <row r="134" spans="1:30" ht="13" customHeight="1" x14ac:dyDescent="0.3">
      <c r="A134" s="143">
        <f t="shared" si="18"/>
        <v>13</v>
      </c>
      <c r="B134" s="143">
        <f t="shared" si="15"/>
        <v>6.5935000000000007E-2</v>
      </c>
      <c r="C134" s="150">
        <f t="shared" si="9"/>
        <v>9.7142857142857126E-7</v>
      </c>
      <c r="D134" s="150">
        <f t="shared" si="10"/>
        <v>1.3599999999999999E-6</v>
      </c>
      <c r="E134" s="150">
        <f t="shared" si="19"/>
        <v>428921.56862745096</v>
      </c>
      <c r="F134" s="150">
        <f t="shared" si="11"/>
        <v>3.469100093939427E-2</v>
      </c>
      <c r="G134" s="150">
        <f>+DCR*0.001*2*'Efficiency Summary'!B134*'Efficiency Summary'!$B$104/3</f>
        <v>1.3187000000000001E-3</v>
      </c>
      <c r="H134" s="150">
        <f t="shared" si="16"/>
        <v>3.2967500000000003E-4</v>
      </c>
      <c r="I134" s="143">
        <f>2*Ron_u*0.001*'Efficiency Summary'!B134*'Efficiency Summary'!$B$104*Vout/(3*Vin)</f>
        <v>3.1868583333333339E-3</v>
      </c>
      <c r="J134" s="150">
        <f>+B134*(Vout*(Vin-Vout)/('Efficiency Summary'!$B$104*Lout*0.000001))*'Power Loss'!$B$40*0.000000001</f>
        <v>6.787426470588237E-4</v>
      </c>
      <c r="K134" s="143">
        <f>+'Power Loss'!$B$37*0.000000001*Vin^2*2*'Efficiency Summary'!B134*Vout*(Vin-Vout)/(Lout*0.000001*'Power Loss'!$B$66*'Efficiency Summary'!$B$104^2)</f>
        <v>3.3703083164300213E-3</v>
      </c>
      <c r="L134" s="143">
        <f>2*Ron_l*0.001*'Efficiency Summary'!$B$106*'Efficiency Summary'!$B$104*(Vin-Vout)/(3*Vin)</f>
        <v>5.3907E-3</v>
      </c>
      <c r="M134" s="143">
        <f>+'Power Loss'!$B$54*0.000000001*Vin^2*2*'Efficiency Summary'!B134*Vout*(Vin-Vout)/(Lout*0.000001*'Power Loss'!$B$66*'Efficiency Summary'!$B$104^2)</f>
        <v>8.4611471390270178E-3</v>
      </c>
      <c r="N134" s="143">
        <f>+$K$104*$K$105*0.000000001*2*B134*Vout*(Vin-Vout)/('Efficiency Summary'!$B$104^2*Lout*0.000001*Vin)</f>
        <v>2.8280943627450992E-4</v>
      </c>
      <c r="O134" s="143">
        <f t="shared" si="13"/>
        <v>1.6483750000000003E-5</v>
      </c>
      <c r="P134" s="143">
        <f t="shared" si="17"/>
        <v>2.7824400000000006E-2</v>
      </c>
      <c r="Q134" s="150">
        <f>+B134*Vout*100/(Vout*'Efficiency Summary'!B134+SUM('Efficiency Summary'!G134:P134))</f>
        <v>86.634646468262616</v>
      </c>
      <c r="R134" s="144"/>
      <c r="S134" s="146"/>
      <c r="T134" s="146"/>
      <c r="U134" s="146"/>
      <c r="V134" s="146"/>
      <c r="W134" s="146"/>
      <c r="X134" s="146"/>
      <c r="Y134" s="146"/>
      <c r="Z134" s="146"/>
      <c r="AA134" s="146"/>
      <c r="AB134" s="146"/>
      <c r="AC134" s="146"/>
      <c r="AD134" s="146"/>
    </row>
    <row r="135" spans="1:30" ht="13" customHeight="1" x14ac:dyDescent="0.3">
      <c r="A135" s="143">
        <f t="shared" si="18"/>
        <v>15</v>
      </c>
      <c r="B135" s="143">
        <f t="shared" si="15"/>
        <v>7.5925000000000006E-2</v>
      </c>
      <c r="C135" s="150">
        <f t="shared" si="9"/>
        <v>9.7142857142857126E-7</v>
      </c>
      <c r="D135" s="150">
        <f t="shared" si="10"/>
        <v>1.3599999999999999E-6</v>
      </c>
      <c r="E135" s="150">
        <f t="shared" si="19"/>
        <v>428921.56862745096</v>
      </c>
      <c r="F135" s="150">
        <f t="shared" si="11"/>
        <v>3.9027750757576127E-2</v>
      </c>
      <c r="G135" s="150">
        <f>+DCR*0.001*2*'Efficiency Summary'!B135*'Efficiency Summary'!$B$104/3</f>
        <v>1.5185000000000001E-3</v>
      </c>
      <c r="H135" s="150">
        <f t="shared" si="16"/>
        <v>3.7962500000000003E-4</v>
      </c>
      <c r="I135" s="143">
        <f>2*Ron_u*0.001*'Efficiency Summary'!B135*'Efficiency Summary'!$B$104*Vout/(3*Vin)</f>
        <v>3.6697083333333338E-3</v>
      </c>
      <c r="J135" s="150">
        <f>+B135*(Vout*(Vin-Vout)/('Efficiency Summary'!$B$104*Lout*0.000001))*'Power Loss'!$B$40*0.000000001</f>
        <v>7.815808823529414E-4</v>
      </c>
      <c r="K135" s="143">
        <f>+'Power Loss'!$B$37*0.000000001*Vin^2*2*'Efficiency Summary'!B135*Vout*(Vin-Vout)/(Lout*0.000001*'Power Loss'!$B$66*'Efficiency Summary'!$B$104^2)</f>
        <v>3.8809533468559848E-3</v>
      </c>
      <c r="L135" s="143">
        <f>2*Ron_l*0.001*'Efficiency Summary'!$B$106*'Efficiency Summary'!$B$104*(Vin-Vout)/(3*Vin)</f>
        <v>5.3907E-3</v>
      </c>
      <c r="M135" s="143">
        <f>+'Power Loss'!$B$54*0.000000001*Vin^2*2*'Efficiency Summary'!B135*Vout*(Vin-Vout)/(Lout*0.000001*'Power Loss'!$B$66*'Efficiency Summary'!$B$104^2)</f>
        <v>9.7431196865189404E-3</v>
      </c>
      <c r="N135" s="143">
        <f>+$K$104*$K$105*0.000000001*2*B135*Vout*(Vin-Vout)/('Efficiency Summary'!$B$104^2*Lout*0.000001*Vin)</f>
        <v>3.2565870098039221E-4</v>
      </c>
      <c r="O135" s="143">
        <f t="shared" si="13"/>
        <v>1.8981250000000001E-5</v>
      </c>
      <c r="P135" s="143">
        <f t="shared" si="17"/>
        <v>3.0222000000000006E-2</v>
      </c>
      <c r="Q135" s="150">
        <f>+B135*Vout*100/(Vout*'Efficiency Summary'!B135+SUM('Efficiency Summary'!G135:P135))</f>
        <v>87.158746661801928</v>
      </c>
      <c r="R135" s="144"/>
      <c r="S135" s="146"/>
      <c r="T135" s="146"/>
      <c r="U135" s="146"/>
      <c r="V135" s="146"/>
      <c r="W135" s="146"/>
      <c r="X135" s="146"/>
      <c r="Y135" s="146"/>
      <c r="Z135" s="146"/>
      <c r="AA135" s="146"/>
      <c r="AB135" s="146"/>
      <c r="AC135" s="146"/>
      <c r="AD135" s="146"/>
    </row>
    <row r="136" spans="1:30" ht="13" customHeight="1" x14ac:dyDescent="0.3">
      <c r="A136" s="143">
        <f t="shared" si="18"/>
        <v>17</v>
      </c>
      <c r="B136" s="143">
        <f t="shared" si="15"/>
        <v>8.5915000000000005E-2</v>
      </c>
      <c r="C136" s="150">
        <f t="shared" si="9"/>
        <v>9.7142857142857126E-7</v>
      </c>
      <c r="D136" s="150">
        <f t="shared" si="10"/>
        <v>1.3599999999999999E-6</v>
      </c>
      <c r="E136" s="150">
        <f t="shared" si="19"/>
        <v>428921.56862745096</v>
      </c>
      <c r="F136" s="150">
        <f t="shared" si="11"/>
        <v>4.3122560939394351E-2</v>
      </c>
      <c r="G136" s="150">
        <f>+DCR*0.001*2*'Efficiency Summary'!B136*'Efficiency Summary'!$B$104/3</f>
        <v>1.7183000000000001E-3</v>
      </c>
      <c r="H136" s="150">
        <f t="shared" si="16"/>
        <v>4.2957500000000002E-4</v>
      </c>
      <c r="I136" s="143">
        <f>2*Ron_u*0.001*'Efficiency Summary'!B136*'Efficiency Summary'!$B$104*Vout/(3*Vin)</f>
        <v>4.1525583333333338E-3</v>
      </c>
      <c r="J136" s="150">
        <f>+B136*(Vout*(Vin-Vout)/('Efficiency Summary'!$B$104*Lout*0.000001))*'Power Loss'!$B$40*0.000000001</f>
        <v>8.8441911764705898E-4</v>
      </c>
      <c r="K136" s="143">
        <f>+'Power Loss'!$B$37*0.000000001*Vin^2*2*'Efficiency Summary'!B136*Vout*(Vin-Vout)/(Lout*0.000001*'Power Loss'!$B$66*'Efficiency Summary'!$B$104^2)</f>
        <v>4.3915983772819488E-3</v>
      </c>
      <c r="L136" s="143">
        <f>2*Ron_l*0.001*'Efficiency Summary'!$B$106*'Efficiency Summary'!$B$104*(Vin-Vout)/(3*Vin)</f>
        <v>5.3907E-3</v>
      </c>
      <c r="M136" s="143">
        <f>+'Power Loss'!$B$54*0.000000001*Vin^2*2*'Efficiency Summary'!B136*Vout*(Vin-Vout)/(Lout*0.000001*'Power Loss'!$B$66*'Efficiency Summary'!$B$104^2)</f>
        <v>1.1025092234010863E-2</v>
      </c>
      <c r="N136" s="143">
        <f>+$K$104*$K$105*0.000000001*2*B136*Vout*(Vin-Vout)/('Efficiency Summary'!$B$104^2*Lout*0.000001*Vin)</f>
        <v>3.6850796568627461E-4</v>
      </c>
      <c r="O136" s="143">
        <f t="shared" si="13"/>
        <v>2.1478750000000002E-5</v>
      </c>
      <c r="P136" s="143">
        <f t="shared" si="17"/>
        <v>3.2619600000000006E-2</v>
      </c>
      <c r="Q136" s="150">
        <f>+B136*Vout*100/(Vout*'Efficiency Summary'!B136+SUM('Efficiency Summary'!G136:P136))</f>
        <v>87.56528517550052</v>
      </c>
      <c r="R136" s="144"/>
      <c r="S136" s="146"/>
      <c r="T136" s="146"/>
      <c r="U136" s="146"/>
      <c r="V136" s="146"/>
      <c r="W136" s="146"/>
      <c r="X136" s="146"/>
      <c r="Y136" s="146"/>
      <c r="Z136" s="146"/>
      <c r="AA136" s="146"/>
      <c r="AB136" s="146"/>
      <c r="AC136" s="146"/>
      <c r="AD136" s="146"/>
    </row>
    <row r="137" spans="1:30" ht="13" customHeight="1" x14ac:dyDescent="0.3">
      <c r="A137" s="143">
        <f t="shared" si="18"/>
        <v>19</v>
      </c>
      <c r="B137" s="143">
        <f t="shared" si="15"/>
        <v>9.5905000000000004E-2</v>
      </c>
      <c r="C137" s="150">
        <f t="shared" si="9"/>
        <v>9.7142857142857126E-7</v>
      </c>
      <c r="D137" s="150">
        <f t="shared" si="10"/>
        <v>1.3599999999999999E-6</v>
      </c>
      <c r="E137" s="150">
        <f t="shared" si="19"/>
        <v>428921.56862745096</v>
      </c>
      <c r="F137" s="150">
        <f t="shared" si="11"/>
        <v>4.697543148484893E-2</v>
      </c>
      <c r="G137" s="150">
        <f>+DCR*0.001*2*'Efficiency Summary'!B137*'Efficiency Summary'!$B$104/3</f>
        <v>1.9181000000000001E-3</v>
      </c>
      <c r="H137" s="150">
        <f t="shared" si="16"/>
        <v>4.7952500000000001E-4</v>
      </c>
      <c r="I137" s="143">
        <f>2*Ron_u*0.001*'Efficiency Summary'!B137*'Efficiency Summary'!$B$104*Vout/(3*Vin)</f>
        <v>4.6354083333333346E-3</v>
      </c>
      <c r="J137" s="150">
        <f>+B137*(Vout*(Vin-Vout)/('Efficiency Summary'!$B$104*Lout*0.000001))*'Power Loss'!$B$40*0.000000001</f>
        <v>9.8725735294117678E-4</v>
      </c>
      <c r="K137" s="143">
        <f>+'Power Loss'!$B$37*0.000000001*Vin^2*2*'Efficiency Summary'!B137*Vout*(Vin-Vout)/(Lout*0.000001*'Power Loss'!$B$66*'Efficiency Summary'!$B$104^2)</f>
        <v>4.9022434077079114E-3</v>
      </c>
      <c r="L137" s="143">
        <f>2*Ron_l*0.001*'Efficiency Summary'!$B$106*'Efficiency Summary'!$B$104*(Vin-Vout)/(3*Vin)</f>
        <v>5.3907E-3</v>
      </c>
      <c r="M137" s="143">
        <f>+'Power Loss'!$B$54*0.000000001*Vin^2*2*'Efficiency Summary'!B137*Vout*(Vin-Vout)/(Lout*0.000001*'Power Loss'!$B$66*'Efficiency Summary'!$B$104^2)</f>
        <v>1.2307064781502786E-2</v>
      </c>
      <c r="N137" s="143">
        <f>+$K$104*$K$105*0.000000001*2*B137*Vout*(Vin-Vout)/('Efficiency Summary'!$B$104^2*Lout*0.000001*Vin)</f>
        <v>4.1135723039215696E-4</v>
      </c>
      <c r="O137" s="143">
        <f t="shared" si="13"/>
        <v>2.3976250000000003E-5</v>
      </c>
      <c r="P137" s="143">
        <f t="shared" si="17"/>
        <v>3.5017199999999998E-2</v>
      </c>
      <c r="Q137" s="150">
        <f>+B137*Vout*100/(Vout*'Efficiency Summary'!B137+SUM('Efficiency Summary'!G137:P137))</f>
        <v>87.88982865445476</v>
      </c>
      <c r="R137" s="144"/>
      <c r="S137" s="146"/>
      <c r="T137" s="146"/>
      <c r="U137" s="146"/>
      <c r="V137" s="146"/>
      <c r="W137" s="146"/>
      <c r="X137" s="146"/>
      <c r="Y137" s="146"/>
      <c r="Z137" s="146"/>
      <c r="AA137" s="146"/>
      <c r="AB137" s="146"/>
      <c r="AC137" s="146"/>
      <c r="AD137" s="146"/>
    </row>
    <row r="138" spans="1:30" ht="13" customHeight="1" x14ac:dyDescent="0.3">
      <c r="A138" s="143">
        <f t="shared" si="18"/>
        <v>21</v>
      </c>
      <c r="B138" s="143">
        <f t="shared" si="15"/>
        <v>0.105895</v>
      </c>
      <c r="C138" s="150">
        <f t="shared" si="9"/>
        <v>9.7142857142857126E-7</v>
      </c>
      <c r="D138" s="150">
        <f t="shared" si="10"/>
        <v>1.3599999999999999E-6</v>
      </c>
      <c r="E138" s="150">
        <f t="shared" si="19"/>
        <v>428921.56862745096</v>
      </c>
      <c r="F138" s="150">
        <f t="shared" si="11"/>
        <v>5.058636239393987E-2</v>
      </c>
      <c r="G138" s="150">
        <f>+DCR*0.001*2*'Efficiency Summary'!B138*'Efficiency Summary'!$B$104/3</f>
        <v>2.1179000000000003E-3</v>
      </c>
      <c r="H138" s="150">
        <f t="shared" si="16"/>
        <v>5.2947500000000006E-4</v>
      </c>
      <c r="I138" s="143">
        <f>2*Ron_u*0.001*'Efficiency Summary'!B138*'Efficiency Summary'!$B$104*Vout/(3*Vin)</f>
        <v>5.1182583333333337E-3</v>
      </c>
      <c r="J138" s="150">
        <f>+B138*(Vout*(Vin-Vout)/('Efficiency Summary'!$B$104*Lout*0.000001))*'Power Loss'!$B$40*0.000000001</f>
        <v>1.0900955882352944E-3</v>
      </c>
      <c r="K138" s="143">
        <f>+'Power Loss'!$B$37*0.000000001*Vin^2*2*'Efficiency Summary'!B138*Vout*(Vin-Vout)/(Lout*0.000001*'Power Loss'!$B$66*'Efficiency Summary'!$B$104^2)</f>
        <v>5.4128884381338749E-3</v>
      </c>
      <c r="L138" s="143">
        <f>2*Ron_l*0.001*'Efficiency Summary'!$B$106*'Efficiency Summary'!$B$104*(Vin-Vout)/(3*Vin)</f>
        <v>5.3907E-3</v>
      </c>
      <c r="M138" s="143">
        <f>+'Power Loss'!$B$54*0.000000001*Vin^2*2*'Efficiency Summary'!B138*Vout*(Vin-Vout)/(Lout*0.000001*'Power Loss'!$B$66*'Efficiency Summary'!$B$104^2)</f>
        <v>1.3589037328994708E-2</v>
      </c>
      <c r="N138" s="143">
        <f>+$K$104*$K$105*0.000000001*2*B138*Vout*(Vin-Vout)/('Efficiency Summary'!$B$104^2*Lout*0.000001*Vin)</f>
        <v>4.5420649509803936E-4</v>
      </c>
      <c r="O138" s="143">
        <f t="shared" si="13"/>
        <v>2.647375E-5</v>
      </c>
      <c r="P138" s="143">
        <f t="shared" si="17"/>
        <v>3.7414800000000005E-2</v>
      </c>
      <c r="Q138" s="150">
        <f>+B138*Vout*100/(Vout*'Efficiency Summary'!B138+SUM('Efficiency Summary'!G138:P138))</f>
        <v>88.154911102373731</v>
      </c>
      <c r="R138" s="144"/>
      <c r="S138" s="146"/>
      <c r="T138" s="146"/>
      <c r="U138" s="146"/>
      <c r="V138" s="146"/>
      <c r="W138" s="146"/>
      <c r="X138" s="146"/>
      <c r="Y138" s="146"/>
      <c r="Z138" s="146"/>
      <c r="AA138" s="146"/>
      <c r="AB138" s="146"/>
      <c r="AC138" s="146"/>
      <c r="AD138" s="146"/>
    </row>
    <row r="139" spans="1:30" ht="13" customHeight="1" x14ac:dyDescent="0.3">
      <c r="A139" s="143">
        <f t="shared" si="18"/>
        <v>23</v>
      </c>
      <c r="B139" s="143">
        <f t="shared" si="15"/>
        <v>0.115885</v>
      </c>
      <c r="C139" s="150">
        <f t="shared" si="9"/>
        <v>9.7142857142857126E-7</v>
      </c>
      <c r="D139" s="150">
        <f t="shared" si="10"/>
        <v>1.3599999999999999E-6</v>
      </c>
      <c r="E139" s="150">
        <f t="shared" si="19"/>
        <v>428921.56862745096</v>
      </c>
      <c r="F139" s="150">
        <f t="shared" si="11"/>
        <v>5.3955353666667177E-2</v>
      </c>
      <c r="G139" s="150">
        <f>+DCR*0.001*2*'Efficiency Summary'!B139*'Efficiency Summary'!$B$104/3</f>
        <v>2.3177000000000002E-3</v>
      </c>
      <c r="H139" s="150">
        <f t="shared" si="16"/>
        <v>5.7942500000000006E-4</v>
      </c>
      <c r="I139" s="143">
        <f>2*Ron_u*0.001*'Efficiency Summary'!B139*'Efficiency Summary'!$B$104*Vout/(3*Vin)</f>
        <v>5.6011083333333345E-3</v>
      </c>
      <c r="J139" s="150">
        <f>+B139*(Vout*(Vin-Vout)/('Efficiency Summary'!$B$104*Lout*0.000001))*'Power Loss'!$B$40*0.000000001</f>
        <v>1.192933823529412E-3</v>
      </c>
      <c r="K139" s="143">
        <f>+'Power Loss'!$B$37*0.000000001*Vin^2*2*'Efficiency Summary'!B139*Vout*(Vin-Vout)/(Lout*0.000001*'Power Loss'!$B$66*'Efficiency Summary'!$B$104^2)</f>
        <v>5.9235334685598376E-3</v>
      </c>
      <c r="L139" s="143">
        <f>2*Ron_l*0.001*'Efficiency Summary'!$B$106*'Efficiency Summary'!$B$104*(Vin-Vout)/(3*Vin)</f>
        <v>5.3907E-3</v>
      </c>
      <c r="M139" s="143">
        <f>+'Power Loss'!$B$54*0.000000001*Vin^2*2*'Efficiency Summary'!B139*Vout*(Vin-Vout)/(Lout*0.000001*'Power Loss'!$B$66*'Efficiency Summary'!$B$104^2)</f>
        <v>1.4871009876486631E-2</v>
      </c>
      <c r="N139" s="143">
        <f>+$K$104*$K$105*0.000000001*2*B139*Vout*(Vin-Vout)/('Efficiency Summary'!$B$104^2*Lout*0.000001*Vin)</f>
        <v>4.9705575980392165E-4</v>
      </c>
      <c r="O139" s="143">
        <f t="shared" si="13"/>
        <v>2.8971249999999998E-5</v>
      </c>
      <c r="P139" s="143">
        <f t="shared" si="17"/>
        <v>3.9812399999999998E-2</v>
      </c>
      <c r="Q139" s="150">
        <f>+B139*Vout*100/(Vout*'Efficiency Summary'!B139+SUM('Efficiency Summary'!G139:P139))</f>
        <v>88.375502348825549</v>
      </c>
      <c r="R139" s="144"/>
      <c r="S139" s="146"/>
      <c r="T139" s="146"/>
      <c r="U139" s="146"/>
      <c r="V139" s="146"/>
      <c r="W139" s="146"/>
      <c r="X139" s="146"/>
      <c r="Y139" s="146"/>
      <c r="Z139" s="146"/>
      <c r="AA139" s="146"/>
      <c r="AB139" s="146"/>
      <c r="AC139" s="146"/>
      <c r="AD139" s="146"/>
    </row>
    <row r="140" spans="1:30" ht="13" customHeight="1" x14ac:dyDescent="0.3">
      <c r="A140" s="143">
        <f t="shared" si="18"/>
        <v>25</v>
      </c>
      <c r="B140" s="143">
        <f t="shared" si="15"/>
        <v>0.12587500000000001</v>
      </c>
      <c r="C140" s="150">
        <f t="shared" si="9"/>
        <v>9.7142857142857126E-7</v>
      </c>
      <c r="D140" s="150">
        <f t="shared" si="10"/>
        <v>1.3599999999999999E-6</v>
      </c>
      <c r="E140" s="150">
        <f t="shared" si="19"/>
        <v>428921.56862745096</v>
      </c>
      <c r="F140" s="150">
        <f t="shared" si="11"/>
        <v>5.7082405303030846E-2</v>
      </c>
      <c r="G140" s="150">
        <f>+DCR*0.001*2*'Efficiency Summary'!B140*'Efficiency Summary'!$B$104/3</f>
        <v>2.5175000000000002E-3</v>
      </c>
      <c r="H140" s="150">
        <f t="shared" si="16"/>
        <v>6.2937500000000005E-4</v>
      </c>
      <c r="I140" s="143">
        <f>2*Ron_u*0.001*'Efficiency Summary'!B140*'Efficiency Summary'!$B$104*Vout/(3*Vin)</f>
        <v>6.0839583333333353E-3</v>
      </c>
      <c r="J140" s="150">
        <f>+B140*(Vout*(Vin-Vout)/('Efficiency Summary'!$B$104*Lout*0.000001))*'Power Loss'!$B$40*0.000000001</f>
        <v>1.2957720588235298E-3</v>
      </c>
      <c r="K140" s="143">
        <f>+'Power Loss'!$B$37*0.000000001*Vin^2*2*'Efficiency Summary'!B140*Vout*(Vin-Vout)/(Lout*0.000001*'Power Loss'!$B$66*'Efficiency Summary'!$B$104^2)</f>
        <v>6.4341784989858037E-3</v>
      </c>
      <c r="L140" s="143">
        <f>2*Ron_l*0.001*'Efficiency Summary'!$B$106*'Efficiency Summary'!$B$104*(Vin-Vout)/(3*Vin)</f>
        <v>5.3907E-3</v>
      </c>
      <c r="M140" s="143">
        <f>+'Power Loss'!$B$54*0.000000001*Vin^2*2*'Efficiency Summary'!B140*Vout*(Vin-Vout)/(Lout*0.000001*'Power Loss'!$B$66*'Efficiency Summary'!$B$104^2)</f>
        <v>1.6152982423978553E-2</v>
      </c>
      <c r="N140" s="143">
        <f>+$K$104*$K$105*0.000000001*2*B140*Vout*(Vin-Vout)/('Efficiency Summary'!$B$104^2*Lout*0.000001*Vin)</f>
        <v>5.3990502450980405E-4</v>
      </c>
      <c r="O140" s="143">
        <f t="shared" si="13"/>
        <v>3.1468750000000003E-5</v>
      </c>
      <c r="P140" s="143">
        <f t="shared" si="17"/>
        <v>4.2210000000000004E-2</v>
      </c>
      <c r="Q140" s="150">
        <f>+B140*Vout*100/(Vout*'Efficiency Summary'!B140+SUM('Efficiency Summary'!G140:P140))</f>
        <v>88.561936228345019</v>
      </c>
      <c r="R140" s="144"/>
      <c r="S140" s="146"/>
      <c r="T140" s="146"/>
      <c r="U140" s="146"/>
      <c r="V140" s="146"/>
      <c r="W140" s="146"/>
      <c r="X140" s="146"/>
      <c r="Y140" s="146"/>
      <c r="Z140" s="146"/>
      <c r="AA140" s="146"/>
      <c r="AB140" s="146"/>
      <c r="AC140" s="146"/>
      <c r="AD140" s="146"/>
    </row>
    <row r="141" spans="1:30" ht="13" customHeight="1" x14ac:dyDescent="0.3">
      <c r="A141" s="143">
        <f t="shared" si="18"/>
        <v>27</v>
      </c>
      <c r="B141" s="143">
        <f t="shared" si="15"/>
        <v>0.13586500000000001</v>
      </c>
      <c r="C141" s="150">
        <f t="shared" si="9"/>
        <v>9.7142857142857126E-7</v>
      </c>
      <c r="D141" s="150">
        <f t="shared" si="10"/>
        <v>1.3599999999999999E-6</v>
      </c>
      <c r="E141" s="150">
        <f t="shared" si="19"/>
        <v>428921.56862745096</v>
      </c>
      <c r="F141" s="150">
        <f t="shared" si="11"/>
        <v>5.9967517303030876E-2</v>
      </c>
      <c r="G141" s="150">
        <f>+DCR*0.001*2*'Efficiency Summary'!B141*'Efficiency Summary'!$B$104/3</f>
        <v>2.7173000000000002E-3</v>
      </c>
      <c r="H141" s="150">
        <f t="shared" si="16"/>
        <v>6.7932500000000005E-4</v>
      </c>
      <c r="I141" s="143">
        <f>2*Ron_u*0.001*'Efficiency Summary'!B141*'Efficiency Summary'!$B$104*Vout/(3*Vin)</f>
        <v>6.5668083333333344E-3</v>
      </c>
      <c r="J141" s="150">
        <f>+B141*(Vout*(Vin-Vout)/('Efficiency Summary'!$B$104*Lout*0.000001))*'Power Loss'!$B$40*0.000000001</f>
        <v>1.3986102941176473E-3</v>
      </c>
      <c r="K141" s="143">
        <f>+'Power Loss'!$B$37*0.000000001*Vin^2*2*'Efficiency Summary'!B141*Vout*(Vin-Vout)/(Lout*0.000001*'Power Loss'!$B$66*'Efficiency Summary'!$B$104^2)</f>
        <v>6.9448235294117663E-3</v>
      </c>
      <c r="L141" s="143">
        <f>2*Ron_l*0.001*'Efficiency Summary'!$B$106*'Efficiency Summary'!$B$104*(Vin-Vout)/(3*Vin)</f>
        <v>5.3907E-3</v>
      </c>
      <c r="M141" s="143">
        <f>+'Power Loss'!$B$54*0.000000001*Vin^2*2*'Efficiency Summary'!B141*Vout*(Vin-Vout)/(Lout*0.000001*'Power Loss'!$B$66*'Efficiency Summary'!$B$104^2)</f>
        <v>1.7434954971470476E-2</v>
      </c>
      <c r="N141" s="143">
        <f>+$K$104*$K$105*0.000000001*2*B141*Vout*(Vin-Vout)/('Efficiency Summary'!$B$104^2*Lout*0.000001*Vin)</f>
        <v>5.8275428921568645E-4</v>
      </c>
      <c r="O141" s="143">
        <f t="shared" si="13"/>
        <v>3.3966250000000004E-5</v>
      </c>
      <c r="P141" s="143">
        <f t="shared" si="17"/>
        <v>4.4607600000000004E-2</v>
      </c>
      <c r="Q141" s="150">
        <f>+B141*Vout*100/(Vout*'Efficiency Summary'!B141+SUM('Efficiency Summary'!G141:P141))</f>
        <v>88.721576266365219</v>
      </c>
      <c r="R141" s="144"/>
      <c r="S141" s="146"/>
      <c r="T141" s="146"/>
      <c r="U141" s="146"/>
      <c r="V141" s="146"/>
      <c r="W141" s="146"/>
      <c r="X141" s="146"/>
      <c r="Y141" s="146"/>
      <c r="Z141" s="146"/>
      <c r="AA141" s="146"/>
      <c r="AB141" s="146"/>
      <c r="AC141" s="146"/>
      <c r="AD141" s="146"/>
    </row>
    <row r="142" spans="1:30" ht="13" customHeight="1" x14ac:dyDescent="0.3">
      <c r="A142" s="143">
        <f t="shared" si="18"/>
        <v>29</v>
      </c>
      <c r="B142" s="143">
        <f t="shared" si="15"/>
        <v>0.14585500000000001</v>
      </c>
      <c r="C142" s="150">
        <f t="shared" si="9"/>
        <v>9.7142857142857126E-7</v>
      </c>
      <c r="D142" s="150">
        <f t="shared" si="10"/>
        <v>1.3599999999999999E-6</v>
      </c>
      <c r="E142" s="150">
        <f t="shared" si="19"/>
        <v>428921.56862745096</v>
      </c>
      <c r="F142" s="150">
        <f t="shared" si="11"/>
        <v>6.261068966666726E-2</v>
      </c>
      <c r="G142" s="150">
        <f>+DCR*0.001*2*'Efficiency Summary'!B142*'Efficiency Summary'!$B$104/3</f>
        <v>2.9171000000000002E-3</v>
      </c>
      <c r="H142" s="150">
        <f t="shared" si="16"/>
        <v>7.2927500000000004E-4</v>
      </c>
      <c r="I142" s="143">
        <f>2*Ron_u*0.001*'Efficiency Summary'!B142*'Efficiency Summary'!$B$104*Vout/(3*Vin)</f>
        <v>7.0496583333333352E-3</v>
      </c>
      <c r="J142" s="150">
        <f>+B142*(Vout*(Vin-Vout)/('Efficiency Summary'!$B$104*Lout*0.000001))*'Power Loss'!$B$40*0.000000001</f>
        <v>1.5014485294117649E-3</v>
      </c>
      <c r="K142" s="143">
        <f>+'Power Loss'!$B$37*0.000000001*Vin^2*2*'Efficiency Summary'!B142*Vout*(Vin-Vout)/(Lout*0.000001*'Power Loss'!$B$66*'Efficiency Summary'!$B$104^2)</f>
        <v>7.4554685598377298E-3</v>
      </c>
      <c r="L142" s="143">
        <f>2*Ron_l*0.001*'Efficiency Summary'!$B$106*'Efficiency Summary'!$B$104*(Vin-Vout)/(3*Vin)</f>
        <v>5.3907E-3</v>
      </c>
      <c r="M142" s="143">
        <f>+'Power Loss'!$B$54*0.000000001*Vin^2*2*'Efficiency Summary'!B142*Vout*(Vin-Vout)/(Lout*0.000001*'Power Loss'!$B$66*'Efficiency Summary'!$B$104^2)</f>
        <v>1.8716927518962399E-2</v>
      </c>
      <c r="N142" s="143">
        <f>+$K$104*$K$105*0.000000001*2*B142*Vout*(Vin-Vout)/('Efficiency Summary'!$B$104^2*Lout*0.000001*Vin)</f>
        <v>6.2560355392156874E-4</v>
      </c>
      <c r="O142" s="143">
        <f t="shared" si="13"/>
        <v>3.6463750000000005E-5</v>
      </c>
      <c r="P142" s="143">
        <f t="shared" si="17"/>
        <v>4.7005200000000011E-2</v>
      </c>
      <c r="Q142" s="150">
        <f>+B142*Vout*100/(Vout*'Efficiency Summary'!B142+SUM('Efficiency Summary'!G142:P142))</f>
        <v>88.85981134644156</v>
      </c>
      <c r="R142" s="144"/>
      <c r="S142" s="146"/>
      <c r="T142" s="146"/>
      <c r="U142" s="146"/>
      <c r="V142" s="146"/>
      <c r="W142" s="146"/>
      <c r="X142" s="146"/>
      <c r="Y142" s="146"/>
      <c r="Z142" s="146"/>
      <c r="AA142" s="146"/>
      <c r="AB142" s="146"/>
      <c r="AC142" s="146"/>
      <c r="AD142" s="146"/>
    </row>
    <row r="143" spans="1:30" ht="13" customHeight="1" x14ac:dyDescent="0.3">
      <c r="A143" s="143">
        <f t="shared" si="18"/>
        <v>31</v>
      </c>
      <c r="B143" s="143">
        <f t="shared" si="15"/>
        <v>0.15584500000000001</v>
      </c>
      <c r="C143" s="150">
        <f t="shared" si="9"/>
        <v>9.7142857142857126E-7</v>
      </c>
      <c r="D143" s="150">
        <f t="shared" si="10"/>
        <v>1.3599999999999999E-6</v>
      </c>
      <c r="E143" s="150">
        <f t="shared" si="19"/>
        <v>428921.56862745096</v>
      </c>
      <c r="F143" s="150">
        <f t="shared" si="11"/>
        <v>6.5011922393940019E-2</v>
      </c>
      <c r="G143" s="150">
        <f>+DCR*0.001*2*'Efficiency Summary'!B143*'Efficiency Summary'!$B$104/3</f>
        <v>3.1169000000000001E-3</v>
      </c>
      <c r="H143" s="150">
        <f t="shared" si="16"/>
        <v>7.7922500000000003E-4</v>
      </c>
      <c r="I143" s="143">
        <f>2*Ron_u*0.001*'Efficiency Summary'!B143*'Efficiency Summary'!$B$104*Vout/(3*Vin)</f>
        <v>7.5325083333333343E-3</v>
      </c>
      <c r="J143" s="150">
        <f>+B143*(Vout*(Vin-Vout)/('Efficiency Summary'!$B$104*Lout*0.000001))*'Power Loss'!$B$40*0.000000001</f>
        <v>1.6042867647058827E-3</v>
      </c>
      <c r="K143" s="143">
        <f>+'Power Loss'!$B$37*0.000000001*Vin^2*2*'Efficiency Summary'!B143*Vout*(Vin-Vout)/(Lout*0.000001*'Power Loss'!$B$66*'Efficiency Summary'!$B$104^2)</f>
        <v>7.9661135902636942E-3</v>
      </c>
      <c r="L143" s="143">
        <f>2*Ron_l*0.001*'Efficiency Summary'!$B$106*'Efficiency Summary'!$B$104*(Vin-Vout)/(3*Vin)</f>
        <v>5.3907E-3</v>
      </c>
      <c r="M143" s="143">
        <f>+'Power Loss'!$B$54*0.000000001*Vin^2*2*'Efficiency Summary'!B143*Vout*(Vin-Vout)/(Lout*0.000001*'Power Loss'!$B$66*'Efficiency Summary'!$B$104^2)</f>
        <v>1.9998900066454318E-2</v>
      </c>
      <c r="N143" s="143">
        <f>+$K$104*$K$105*0.000000001*2*B143*Vout*(Vin-Vout)/('Efficiency Summary'!$B$104^2*Lout*0.000001*Vin)</f>
        <v>6.6845281862745114E-4</v>
      </c>
      <c r="O143" s="143">
        <f t="shared" si="13"/>
        <v>3.8961250000000006E-5</v>
      </c>
      <c r="P143" s="143">
        <f t="shared" si="17"/>
        <v>4.9402800000000011E-2</v>
      </c>
      <c r="Q143" s="150">
        <f>+B143*Vout*100/(Vout*'Efficiency Summary'!B143+SUM('Efficiency Summary'!G143:P143))</f>
        <v>88.98067603580364</v>
      </c>
      <c r="R143" s="144"/>
      <c r="S143" s="146"/>
      <c r="T143" s="146"/>
      <c r="U143" s="146"/>
      <c r="V143" s="146"/>
      <c r="W143" s="146"/>
      <c r="X143" s="146"/>
      <c r="Y143" s="146"/>
      <c r="Z143" s="146"/>
      <c r="AA143" s="146"/>
      <c r="AB143" s="146"/>
      <c r="AC143" s="146"/>
      <c r="AD143" s="146"/>
    </row>
    <row r="144" spans="1:30" ht="13" customHeight="1" x14ac:dyDescent="0.3">
      <c r="A144" s="143">
        <f t="shared" si="18"/>
        <v>33</v>
      </c>
      <c r="B144" s="143">
        <f t="shared" si="15"/>
        <v>0.16583500000000001</v>
      </c>
      <c r="C144" s="150">
        <f t="shared" si="9"/>
        <v>9.7142857142857126E-7</v>
      </c>
      <c r="D144" s="150">
        <f t="shared" si="10"/>
        <v>1.3599999999999999E-6</v>
      </c>
      <c r="E144" s="150">
        <f t="shared" si="19"/>
        <v>428921.56862745096</v>
      </c>
      <c r="F144" s="150">
        <f t="shared" si="11"/>
        <v>6.7171215484849126E-2</v>
      </c>
      <c r="G144" s="150">
        <f>+DCR*0.001*2*'Efficiency Summary'!B144*'Efficiency Summary'!$B$104/3</f>
        <v>3.3167000000000001E-3</v>
      </c>
      <c r="H144" s="150">
        <f t="shared" si="16"/>
        <v>8.2917500000000003E-4</v>
      </c>
      <c r="I144" s="143">
        <f>2*Ron_u*0.001*'Efficiency Summary'!B144*'Efficiency Summary'!$B$104*Vout/(3*Vin)</f>
        <v>8.0153583333333351E-3</v>
      </c>
      <c r="J144" s="150">
        <f>+B144*(Vout*(Vin-Vout)/('Efficiency Summary'!$B$104*Lout*0.000001))*'Power Loss'!$B$40*0.000000001</f>
        <v>1.7071250000000003E-3</v>
      </c>
      <c r="K144" s="143">
        <f>+'Power Loss'!$B$37*0.000000001*Vin^2*2*'Efficiency Summary'!B144*Vout*(Vin-Vout)/(Lout*0.000001*'Power Loss'!$B$66*'Efficiency Summary'!$B$104^2)</f>
        <v>8.4767586206896568E-3</v>
      </c>
      <c r="L144" s="143">
        <f>2*Ron_l*0.001*'Efficiency Summary'!$B$106*'Efficiency Summary'!$B$104*(Vin-Vout)/(3*Vin)</f>
        <v>5.3907E-3</v>
      </c>
      <c r="M144" s="143">
        <f>+'Power Loss'!$B$54*0.000000001*Vin^2*2*'Efficiency Summary'!B144*Vout*(Vin-Vout)/(Lout*0.000001*'Power Loss'!$B$66*'Efficiency Summary'!$B$104^2)</f>
        <v>2.128087261394624E-2</v>
      </c>
      <c r="N144" s="143">
        <f>+$K$104*$K$105*0.000000001*2*B144*Vout*(Vin-Vout)/('Efficiency Summary'!$B$104^2*Lout*0.000001*Vin)</f>
        <v>7.1130208333333343E-4</v>
      </c>
      <c r="O144" s="143">
        <f t="shared" si="13"/>
        <v>4.1458750000000007E-5</v>
      </c>
      <c r="P144" s="143">
        <f t="shared" si="17"/>
        <v>5.1800399999999996E-2</v>
      </c>
      <c r="Q144" s="150">
        <f>+B144*Vout*100/(Vout*'Efficiency Summary'!B144+SUM('Efficiency Summary'!G144:P144))</f>
        <v>89.087250887554276</v>
      </c>
      <c r="R144" s="144"/>
      <c r="S144" s="146"/>
      <c r="T144" s="146"/>
      <c r="U144" s="146"/>
      <c r="V144" s="146"/>
      <c r="W144" s="146"/>
      <c r="X144" s="146"/>
      <c r="Y144" s="146"/>
      <c r="Z144" s="146"/>
      <c r="AA144" s="146"/>
      <c r="AB144" s="146"/>
      <c r="AC144" s="146"/>
      <c r="AD144" s="146"/>
    </row>
    <row r="145" spans="1:30" ht="13" customHeight="1" x14ac:dyDescent="0.3">
      <c r="A145" s="143">
        <f t="shared" si="18"/>
        <v>35</v>
      </c>
      <c r="B145" s="143">
        <f t="shared" si="15"/>
        <v>0.17582500000000001</v>
      </c>
      <c r="C145" s="150">
        <f t="shared" si="9"/>
        <v>9.7142857142857126E-7</v>
      </c>
      <c r="D145" s="150">
        <f t="shared" si="10"/>
        <v>1.3599999999999999E-6</v>
      </c>
      <c r="E145" s="150">
        <f t="shared" si="19"/>
        <v>428921.56862745096</v>
      </c>
      <c r="F145" s="150">
        <f t="shared" si="11"/>
        <v>6.9088568939394593E-2</v>
      </c>
      <c r="G145" s="150">
        <f>+DCR*0.001*2*'Efficiency Summary'!B145*'Efficiency Summary'!$B$104/3</f>
        <v>3.5165000000000001E-3</v>
      </c>
      <c r="H145" s="150">
        <f t="shared" si="16"/>
        <v>8.7912500000000002E-4</v>
      </c>
      <c r="I145" s="143">
        <f>2*Ron_u*0.001*'Efficiency Summary'!B145*'Efficiency Summary'!$B$104*Vout/(3*Vin)</f>
        <v>8.4982083333333333E-3</v>
      </c>
      <c r="J145" s="150">
        <f>+B145*(Vout*(Vin-Vout)/('Efficiency Summary'!$B$104*Lout*0.000001))*'Power Loss'!$B$40*0.000000001</f>
        <v>1.8099632352941179E-3</v>
      </c>
      <c r="K145" s="143">
        <f>+'Power Loss'!$B$37*0.000000001*Vin^2*2*'Efficiency Summary'!B145*Vout*(Vin-Vout)/(Lout*0.000001*'Power Loss'!$B$66*'Efficiency Summary'!$B$104^2)</f>
        <v>8.9874036511156212E-3</v>
      </c>
      <c r="L145" s="143">
        <f>2*Ron_l*0.001*'Efficiency Summary'!$B$106*'Efficiency Summary'!$B$104*(Vin-Vout)/(3*Vin)</f>
        <v>5.3907E-3</v>
      </c>
      <c r="M145" s="143">
        <f>+'Power Loss'!$B$54*0.000000001*Vin^2*2*'Efficiency Summary'!B145*Vout*(Vin-Vout)/(Lout*0.000001*'Power Loss'!$B$66*'Efficiency Summary'!$B$104^2)</f>
        <v>2.2562845161438163E-2</v>
      </c>
      <c r="N145" s="143">
        <f>+$K$104*$K$105*0.000000001*2*B145*Vout*(Vin-Vout)/('Efficiency Summary'!$B$104^2*Lout*0.000001*Vin)</f>
        <v>7.5415134803921593E-4</v>
      </c>
      <c r="O145" s="143">
        <f t="shared" si="13"/>
        <v>4.3956250000000001E-5</v>
      </c>
      <c r="P145" s="143">
        <f t="shared" si="17"/>
        <v>5.419800000000001E-2</v>
      </c>
      <c r="Q145" s="150">
        <f>+B145*Vout*100/(Vout*'Efficiency Summary'!B145+SUM('Efficiency Summary'!G145:P145))</f>
        <v>89.181928684491737</v>
      </c>
      <c r="R145" s="144"/>
      <c r="S145" s="146"/>
      <c r="T145" s="146"/>
      <c r="U145" s="146"/>
      <c r="V145" s="146"/>
      <c r="W145" s="146"/>
      <c r="X145" s="146"/>
      <c r="Y145" s="146"/>
      <c r="Z145" s="146"/>
      <c r="AA145" s="146"/>
      <c r="AB145" s="146"/>
      <c r="AC145" s="146"/>
      <c r="AD145" s="146"/>
    </row>
    <row r="146" spans="1:30" ht="13" customHeight="1" x14ac:dyDescent="0.3">
      <c r="A146" s="143">
        <f t="shared" si="18"/>
        <v>37</v>
      </c>
      <c r="B146" s="143">
        <f t="shared" si="15"/>
        <v>0.18581500000000001</v>
      </c>
      <c r="C146" s="150">
        <f t="shared" si="9"/>
        <v>9.7142857142857126E-7</v>
      </c>
      <c r="D146" s="150">
        <f t="shared" si="10"/>
        <v>1.3599999999999999E-6</v>
      </c>
      <c r="E146" s="150">
        <f t="shared" si="19"/>
        <v>428921.56862745096</v>
      </c>
      <c r="F146" s="150">
        <f t="shared" si="11"/>
        <v>7.0763982757576421E-2</v>
      </c>
      <c r="G146" s="150">
        <f>+DCR*0.001*2*'Efficiency Summary'!B146*'Efficiency Summary'!$B$104/3</f>
        <v>3.7163000000000001E-3</v>
      </c>
      <c r="H146" s="150">
        <f t="shared" si="16"/>
        <v>9.2907500000000002E-4</v>
      </c>
      <c r="I146" s="143">
        <f>2*Ron_u*0.001*'Efficiency Summary'!B146*'Efficiency Summary'!$B$104*Vout/(3*Vin)</f>
        <v>8.981058333333335E-3</v>
      </c>
      <c r="J146" s="150">
        <f>+B146*(Vout*(Vin-Vout)/('Efficiency Summary'!$B$104*Lout*0.000001))*'Power Loss'!$B$40*0.000000001</f>
        <v>1.9128014705882355E-3</v>
      </c>
      <c r="K146" s="143">
        <f>+'Power Loss'!$B$37*0.000000001*Vin^2*2*'Efficiency Summary'!B146*Vout*(Vin-Vout)/(Lout*0.000001*'Power Loss'!$B$66*'Efficiency Summary'!$B$104^2)</f>
        <v>9.4980486815415838E-3</v>
      </c>
      <c r="L146" s="143">
        <f>2*Ron_l*0.001*'Efficiency Summary'!$B$106*'Efficiency Summary'!$B$104*(Vin-Vout)/(3*Vin)</f>
        <v>5.3907E-3</v>
      </c>
      <c r="M146" s="143">
        <f>+'Power Loss'!$B$54*0.000000001*Vin^2*2*'Efficiency Summary'!B146*Vout*(Vin-Vout)/(Lout*0.000001*'Power Loss'!$B$66*'Efficiency Summary'!$B$104^2)</f>
        <v>2.3844817708930086E-2</v>
      </c>
      <c r="N146" s="143">
        <f>+$K$104*$K$105*0.000000001*2*B146*Vout*(Vin-Vout)/('Efficiency Summary'!$B$104^2*Lout*0.000001*Vin)</f>
        <v>7.9700061274509822E-4</v>
      </c>
      <c r="O146" s="143">
        <f t="shared" si="13"/>
        <v>4.6453750000000002E-5</v>
      </c>
      <c r="P146" s="143">
        <f t="shared" si="17"/>
        <v>5.659560000000001E-2</v>
      </c>
      <c r="Q146" s="150">
        <f>+B146*Vout*100/(Vout*'Efficiency Summary'!B146+SUM('Efficiency Summary'!G146:P146))</f>
        <v>89.266596233352857</v>
      </c>
      <c r="R146" s="144"/>
      <c r="S146" s="146"/>
      <c r="T146" s="146"/>
      <c r="U146" s="146"/>
      <c r="V146" s="146"/>
      <c r="W146" s="146"/>
      <c r="X146" s="146"/>
      <c r="Y146" s="146"/>
      <c r="Z146" s="146"/>
      <c r="AA146" s="146"/>
      <c r="AB146" s="146"/>
      <c r="AC146" s="146"/>
      <c r="AD146" s="146"/>
    </row>
    <row r="147" spans="1:30" ht="13" customHeight="1" x14ac:dyDescent="0.3">
      <c r="A147" s="143">
        <f t="shared" si="18"/>
        <v>39</v>
      </c>
      <c r="B147" s="143">
        <f t="shared" si="15"/>
        <v>0.19580500000000001</v>
      </c>
      <c r="C147" s="150">
        <f t="shared" si="9"/>
        <v>9.7142857142857126E-7</v>
      </c>
      <c r="D147" s="150">
        <f t="shared" si="10"/>
        <v>1.3599999999999999E-6</v>
      </c>
      <c r="E147" s="150">
        <f t="shared" si="19"/>
        <v>428921.56862745096</v>
      </c>
      <c r="F147" s="150">
        <f t="shared" si="11"/>
        <v>7.2197456939394625E-2</v>
      </c>
      <c r="G147" s="150">
        <f>+DCR*0.001*2*'Efficiency Summary'!B147*'Efficiency Summary'!$B$104/3</f>
        <v>3.9160999999999996E-3</v>
      </c>
      <c r="H147" s="150">
        <f t="shared" si="16"/>
        <v>9.790249999999999E-4</v>
      </c>
      <c r="I147" s="143">
        <f>2*Ron_u*0.001*'Efficiency Summary'!B147*'Efficiency Summary'!$B$104*Vout/(3*Vin)</f>
        <v>9.4639083333333332E-3</v>
      </c>
      <c r="J147" s="150">
        <f>+B147*(Vout*(Vin-Vout)/('Efficiency Summary'!$B$104*Lout*0.000001))*'Power Loss'!$B$40*0.000000001</f>
        <v>2.0156397058823531E-3</v>
      </c>
      <c r="K147" s="143">
        <f>+'Power Loss'!$B$37*0.000000001*Vin^2*2*'Efficiency Summary'!B147*Vout*(Vin-Vout)/(Lout*0.000001*'Power Loss'!$B$66*'Efficiency Summary'!$B$104^2)</f>
        <v>1.0008693711967548E-2</v>
      </c>
      <c r="L147" s="143">
        <f>2*Ron_l*0.001*'Efficiency Summary'!$B$106*'Efficiency Summary'!$B$104*(Vin-Vout)/(3*Vin)</f>
        <v>5.3907E-3</v>
      </c>
      <c r="M147" s="143">
        <f>+'Power Loss'!$B$54*0.000000001*Vin^2*2*'Efficiency Summary'!B147*Vout*(Vin-Vout)/(Lout*0.000001*'Power Loss'!$B$66*'Efficiency Summary'!$B$104^2)</f>
        <v>2.5126790256422012E-2</v>
      </c>
      <c r="N147" s="143">
        <f>+$K$104*$K$105*0.000000001*2*B147*Vout*(Vin-Vout)/('Efficiency Summary'!$B$104^2*Lout*0.000001*Vin)</f>
        <v>8.3984987745098051E-4</v>
      </c>
      <c r="O147" s="143">
        <f t="shared" si="13"/>
        <v>4.8951249999999997E-5</v>
      </c>
      <c r="P147" s="143">
        <f t="shared" si="17"/>
        <v>5.899320000000001E-2</v>
      </c>
      <c r="Q147" s="150">
        <f>+B147*Vout*100/(Vout*'Efficiency Summary'!B147+SUM('Efficiency Summary'!G147:P147))</f>
        <v>89.342761391234433</v>
      </c>
      <c r="R147" s="144"/>
      <c r="S147" s="146"/>
      <c r="T147" s="146"/>
      <c r="U147" s="146"/>
      <c r="V147" s="146"/>
      <c r="W147" s="146"/>
      <c r="X147" s="146"/>
      <c r="Y147" s="146"/>
      <c r="Z147" s="146"/>
      <c r="AA147" s="146"/>
      <c r="AB147" s="146"/>
      <c r="AC147" s="146"/>
      <c r="AD147" s="146"/>
    </row>
    <row r="148" spans="1:30" ht="13" customHeight="1" x14ac:dyDescent="0.3">
      <c r="A148" s="143">
        <f t="shared" si="18"/>
        <v>41</v>
      </c>
      <c r="B148" s="143">
        <f t="shared" si="15"/>
        <v>0.20579500000000001</v>
      </c>
      <c r="C148" s="150">
        <f t="shared" si="9"/>
        <v>9.7142857142857126E-7</v>
      </c>
      <c r="D148" s="150">
        <f t="shared" si="10"/>
        <v>1.3599999999999999E-6</v>
      </c>
      <c r="E148" s="150">
        <f t="shared" si="19"/>
        <v>428921.56862745096</v>
      </c>
      <c r="F148" s="150">
        <f t="shared" si="11"/>
        <v>7.3388991484849189E-2</v>
      </c>
      <c r="G148" s="150">
        <f>+DCR*0.001*2*'Efficiency Summary'!B148*'Efficiency Summary'!$B$104/3</f>
        <v>4.1158999999999996E-3</v>
      </c>
      <c r="H148" s="150">
        <f t="shared" si="16"/>
        <v>1.0289749999999999E-3</v>
      </c>
      <c r="I148" s="143">
        <f>2*Ron_u*0.001*'Efficiency Summary'!B148*'Efficiency Summary'!$B$104*Vout/(3*Vin)</f>
        <v>9.9467583333333349E-3</v>
      </c>
      <c r="J148" s="150">
        <f>+B148*(Vout*(Vin-Vout)/('Efficiency Summary'!$B$104*Lout*0.000001))*'Power Loss'!$B$40*0.000000001</f>
        <v>2.1184779411764711E-3</v>
      </c>
      <c r="K148" s="143">
        <f>+'Power Loss'!$B$37*0.000000001*Vin^2*2*'Efficiency Summary'!B148*Vout*(Vin-Vout)/(Lout*0.000001*'Power Loss'!$B$66*'Efficiency Summary'!$B$104^2)</f>
        <v>1.0519338742393513E-2</v>
      </c>
      <c r="L148" s="143">
        <f>2*Ron_l*0.001*'Efficiency Summary'!$B$106*'Efficiency Summary'!$B$104*(Vin-Vout)/(3*Vin)</f>
        <v>5.3907E-3</v>
      </c>
      <c r="M148" s="143">
        <f>+'Power Loss'!$B$54*0.000000001*Vin^2*2*'Efficiency Summary'!B148*Vout*(Vin-Vout)/(Lout*0.000001*'Power Loss'!$B$66*'Efficiency Summary'!$B$104^2)</f>
        <v>2.6408762803913931E-2</v>
      </c>
      <c r="N148" s="143">
        <f>+$K$104*$K$105*0.000000001*2*B148*Vout*(Vin-Vout)/('Efficiency Summary'!$B$104^2*Lout*0.000001*Vin)</f>
        <v>8.8269914215686281E-4</v>
      </c>
      <c r="O148" s="143">
        <f t="shared" si="13"/>
        <v>5.1448750000000004E-5</v>
      </c>
      <c r="P148" s="143">
        <f t="shared" si="17"/>
        <v>6.1390799999999995E-2</v>
      </c>
      <c r="Q148" s="150">
        <f>+B148*Vout*100/(Vout*'Efficiency Summary'!B148+SUM('Efficiency Summary'!G148:P148))</f>
        <v>89.411643653298569</v>
      </c>
      <c r="R148" s="144"/>
      <c r="S148" s="146"/>
      <c r="T148" s="146"/>
      <c r="U148" s="146"/>
      <c r="V148" s="146"/>
      <c r="W148" s="146"/>
      <c r="X148" s="146"/>
      <c r="Y148" s="146"/>
      <c r="Z148" s="146"/>
      <c r="AA148" s="146"/>
      <c r="AB148" s="146"/>
      <c r="AC148" s="146"/>
      <c r="AD148" s="146"/>
    </row>
    <row r="149" spans="1:30" ht="13" customHeight="1" x14ac:dyDescent="0.3">
      <c r="A149" s="143">
        <f t="shared" si="18"/>
        <v>43</v>
      </c>
      <c r="B149" s="143">
        <f t="shared" si="15"/>
        <v>0.215785</v>
      </c>
      <c r="C149" s="150">
        <f t="shared" si="9"/>
        <v>9.7142857142857126E-7</v>
      </c>
      <c r="D149" s="150">
        <f t="shared" si="10"/>
        <v>1.3599999999999999E-6</v>
      </c>
      <c r="E149" s="150">
        <f t="shared" si="19"/>
        <v>428921.56862745096</v>
      </c>
      <c r="F149" s="150">
        <f t="shared" si="11"/>
        <v>7.4338586393940101E-2</v>
      </c>
      <c r="G149" s="150">
        <f>+DCR*0.001*2*'Efficiency Summary'!B149*'Efficiency Summary'!$B$104/3</f>
        <v>4.3156999999999996E-3</v>
      </c>
      <c r="H149" s="150">
        <f t="shared" si="16"/>
        <v>1.0789249999999999E-3</v>
      </c>
      <c r="I149" s="143">
        <f>2*Ron_u*0.001*'Efficiency Summary'!B149*'Efficiency Summary'!$B$104*Vout/(3*Vin)</f>
        <v>1.0429608333333333E-2</v>
      </c>
      <c r="J149" s="150">
        <f>+B149*(Vout*(Vin-Vout)/('Efficiency Summary'!$B$104*Lout*0.000001))*'Power Loss'!$B$40*0.000000001</f>
        <v>2.2213161764705887E-3</v>
      </c>
      <c r="K149" s="143">
        <f>+'Power Loss'!$B$37*0.000000001*Vin^2*2*'Efficiency Summary'!B149*Vout*(Vin-Vout)/(Lout*0.000001*'Power Loss'!$B$66*'Efficiency Summary'!$B$104^2)</f>
        <v>1.1029983772819473E-2</v>
      </c>
      <c r="L149" s="143">
        <f>2*Ron_l*0.001*'Efficiency Summary'!$B$106*'Efficiency Summary'!$B$104*(Vin-Vout)/(3*Vin)</f>
        <v>5.3907E-3</v>
      </c>
      <c r="M149" s="143">
        <f>+'Power Loss'!$B$54*0.000000001*Vin^2*2*'Efficiency Summary'!B149*Vout*(Vin-Vout)/(Lout*0.000001*'Power Loss'!$B$66*'Efficiency Summary'!$B$104^2)</f>
        <v>2.7690735351405857E-2</v>
      </c>
      <c r="N149" s="143">
        <f>+$K$104*$K$105*0.000000001*2*B149*Vout*(Vin-Vout)/('Efficiency Summary'!$B$104^2*Lout*0.000001*Vin)</f>
        <v>9.255484068627452E-4</v>
      </c>
      <c r="O149" s="143">
        <f t="shared" si="13"/>
        <v>5.3946250000000005E-5</v>
      </c>
      <c r="P149" s="143">
        <f t="shared" si="17"/>
        <v>6.3788399999999995E-2</v>
      </c>
      <c r="Q149" s="150">
        <f>+B149*Vout*100/(Vout*'Efficiency Summary'!B149+SUM('Efficiency Summary'!G149:P149))</f>
        <v>89.474239940244246</v>
      </c>
      <c r="R149" s="144"/>
      <c r="S149" s="146"/>
      <c r="T149" s="146"/>
      <c r="U149" s="146"/>
      <c r="V149" s="146"/>
      <c r="W149" s="146"/>
      <c r="X149" s="146"/>
      <c r="Y149" s="146"/>
      <c r="Z149" s="146"/>
      <c r="AA149" s="146"/>
      <c r="AB149" s="146"/>
      <c r="AC149" s="146"/>
      <c r="AD149" s="146"/>
    </row>
    <row r="150" spans="1:30" ht="13" customHeight="1" x14ac:dyDescent="0.3">
      <c r="A150" s="143">
        <f t="shared" si="18"/>
        <v>45</v>
      </c>
      <c r="B150" s="143">
        <f t="shared" si="15"/>
        <v>0.225775</v>
      </c>
      <c r="C150" s="150">
        <f t="shared" si="9"/>
        <v>9.7142857142857126E-7</v>
      </c>
      <c r="D150" s="150">
        <f t="shared" si="10"/>
        <v>1.3599999999999999E-6</v>
      </c>
      <c r="E150" s="150">
        <f t="shared" si="19"/>
        <v>428921.56862745096</v>
      </c>
      <c r="F150" s="150">
        <f t="shared" si="11"/>
        <v>7.5046241666667374E-2</v>
      </c>
      <c r="G150" s="150">
        <f>+DCR*0.001*2*'Efficiency Summary'!B150*'Efficiency Summary'!$B$104/3</f>
        <v>4.5154999999999995E-3</v>
      </c>
      <c r="H150" s="150">
        <f t="shared" si="16"/>
        <v>1.1288749999999999E-3</v>
      </c>
      <c r="I150" s="143">
        <f>2*Ron_u*0.001*'Efficiency Summary'!B150*'Efficiency Summary'!$B$104*Vout/(3*Vin)</f>
        <v>1.0912458333333335E-2</v>
      </c>
      <c r="J150" s="150">
        <f>+B150*(Vout*(Vin-Vout)/('Efficiency Summary'!$B$104*Lout*0.000001))*'Power Loss'!$B$40*0.000000001</f>
        <v>2.3241544117647062E-3</v>
      </c>
      <c r="K150" s="143">
        <f>+'Power Loss'!$B$37*0.000000001*Vin^2*2*'Efficiency Summary'!B150*Vout*(Vin-Vout)/(Lout*0.000001*'Power Loss'!$B$66*'Efficiency Summary'!$B$104^2)</f>
        <v>1.154062880324544E-2</v>
      </c>
      <c r="L150" s="143">
        <f>2*Ron_l*0.001*'Efficiency Summary'!$B$106*'Efficiency Summary'!$B$104*(Vin-Vout)/(3*Vin)</f>
        <v>5.3907E-3</v>
      </c>
      <c r="M150" s="143">
        <f>+'Power Loss'!$B$54*0.000000001*Vin^2*2*'Efficiency Summary'!B150*Vout*(Vin-Vout)/(Lout*0.000001*'Power Loss'!$B$66*'Efficiency Summary'!$B$104^2)</f>
        <v>2.8972707898897776E-2</v>
      </c>
      <c r="N150" s="143">
        <f>+$K$104*$K$105*0.000000001*2*B150*Vout*(Vin-Vout)/('Efficiency Summary'!$B$104^2*Lout*0.000001*Vin)</f>
        <v>9.683976715686275E-4</v>
      </c>
      <c r="O150" s="143">
        <f t="shared" si="13"/>
        <v>5.644375E-5</v>
      </c>
      <c r="P150" s="143">
        <f t="shared" si="17"/>
        <v>6.6186000000000009E-2</v>
      </c>
      <c r="Q150" s="150">
        <f>+B150*Vout*100/(Vout*'Efficiency Summary'!B150+SUM('Efficiency Summary'!G150:P150))</f>
        <v>89.53137316105267</v>
      </c>
      <c r="R150" s="144"/>
      <c r="S150" s="146"/>
      <c r="T150" s="146"/>
      <c r="U150" s="146"/>
      <c r="V150" s="146"/>
      <c r="W150" s="146"/>
      <c r="X150" s="146"/>
      <c r="Y150" s="146"/>
      <c r="Z150" s="146"/>
      <c r="AA150" s="146"/>
      <c r="AB150" s="146"/>
      <c r="AC150" s="146"/>
      <c r="AD150" s="146"/>
    </row>
    <row r="151" spans="1:30" ht="13" customHeight="1" x14ac:dyDescent="0.3">
      <c r="A151" s="143">
        <f t="shared" si="18"/>
        <v>47</v>
      </c>
      <c r="B151" s="143">
        <f t="shared" si="15"/>
        <v>0.235765</v>
      </c>
      <c r="C151" s="150">
        <f t="shared" si="9"/>
        <v>9.7142857142857126E-7</v>
      </c>
      <c r="D151" s="150">
        <f t="shared" si="10"/>
        <v>1.3599999999999999E-6</v>
      </c>
      <c r="E151" s="150">
        <f t="shared" si="19"/>
        <v>428921.56862745096</v>
      </c>
      <c r="F151" s="150">
        <f t="shared" si="11"/>
        <v>7.5511957303031021E-2</v>
      </c>
      <c r="G151" s="150">
        <f>+DCR*0.001*2*'Efficiency Summary'!B151*'Efficiency Summary'!$B$104/3</f>
        <v>4.7152999999999995E-3</v>
      </c>
      <c r="H151" s="150">
        <f t="shared" si="16"/>
        <v>1.1788249999999999E-3</v>
      </c>
      <c r="I151" s="143">
        <f>2*Ron_u*0.001*'Efficiency Summary'!B151*'Efficiency Summary'!$B$104*Vout/(3*Vin)</f>
        <v>1.1395308333333333E-2</v>
      </c>
      <c r="J151" s="150">
        <f>+B151*(Vout*(Vin-Vout)/('Efficiency Summary'!$B$104*Lout*0.000001))*'Power Loss'!$B$40*0.000000001</f>
        <v>2.4269926470588238E-3</v>
      </c>
      <c r="K151" s="143">
        <f>+'Power Loss'!$B$37*0.000000001*Vin^2*2*'Efficiency Summary'!B151*Vout*(Vin-Vout)/(Lout*0.000001*'Power Loss'!$B$66*'Efficiency Summary'!$B$104^2)</f>
        <v>1.2051273833671401E-2</v>
      </c>
      <c r="L151" s="143">
        <f>2*Ron_l*0.001*'Efficiency Summary'!$B$106*'Efficiency Summary'!$B$104*(Vin-Vout)/(3*Vin)</f>
        <v>5.3907E-3</v>
      </c>
      <c r="M151" s="143">
        <f>+'Power Loss'!$B$54*0.000000001*Vin^2*2*'Efficiency Summary'!B151*Vout*(Vin-Vout)/(Lout*0.000001*'Power Loss'!$B$66*'Efficiency Summary'!$B$104^2)</f>
        <v>3.0254680446389699E-2</v>
      </c>
      <c r="N151" s="143">
        <f>+$K$104*$K$105*0.000000001*2*B151*Vout*(Vin-Vout)/('Efficiency Summary'!$B$104^2*Lout*0.000001*Vin)</f>
        <v>1.0112469362745099E-3</v>
      </c>
      <c r="O151" s="143">
        <f t="shared" si="13"/>
        <v>5.8941250000000001E-5</v>
      </c>
      <c r="P151" s="143">
        <f t="shared" si="17"/>
        <v>6.8583600000000008E-2</v>
      </c>
      <c r="Q151" s="150">
        <f>+B151*Vout*100/(Vout*'Efficiency Summary'!B151+SUM('Efficiency Summary'!G151:P151))</f>
        <v>89.583728592492875</v>
      </c>
      <c r="R151" s="144"/>
      <c r="S151" s="146"/>
      <c r="T151" s="146"/>
      <c r="U151" s="146"/>
      <c r="V151" s="146"/>
      <c r="W151" s="146"/>
      <c r="X151" s="146"/>
      <c r="Y151" s="146"/>
      <c r="Z151" s="146"/>
      <c r="AA151" s="146"/>
      <c r="AB151" s="146"/>
      <c r="AC151" s="146"/>
      <c r="AD151" s="146"/>
    </row>
    <row r="152" spans="1:30" ht="13" customHeight="1" x14ac:dyDescent="0.3">
      <c r="A152" s="143">
        <f t="shared" si="18"/>
        <v>49</v>
      </c>
      <c r="B152" s="143">
        <f t="shared" si="15"/>
        <v>0.24575500000000003</v>
      </c>
      <c r="C152" s="150">
        <f t="shared" si="9"/>
        <v>9.7142857142857126E-7</v>
      </c>
      <c r="D152" s="150">
        <f t="shared" si="10"/>
        <v>1.3599999999999999E-6</v>
      </c>
      <c r="E152" s="150">
        <f t="shared" si="19"/>
        <v>428921.56862745096</v>
      </c>
      <c r="F152" s="150">
        <f t="shared" si="11"/>
        <v>7.5735733303031003E-2</v>
      </c>
      <c r="G152" s="150">
        <f>+DCR*0.001*2*'Efficiency Summary'!B152*'Efficiency Summary'!$B$104/3</f>
        <v>4.9151000000000004E-3</v>
      </c>
      <c r="H152" s="150">
        <f t="shared" si="16"/>
        <v>1.2287750000000001E-3</v>
      </c>
      <c r="I152" s="143">
        <f>2*Ron_u*0.001*'Efficiency Summary'!B152*'Efficiency Summary'!$B$104*Vout/(3*Vin)</f>
        <v>1.1878158333333336E-2</v>
      </c>
      <c r="J152" s="150">
        <f>+B152*(Vout*(Vin-Vout)/('Efficiency Summary'!$B$104*Lout*0.000001))*'Power Loss'!$B$40*0.000000001</f>
        <v>2.5298308823529419E-3</v>
      </c>
      <c r="K152" s="143">
        <f>+'Power Loss'!$B$37*0.000000001*Vin^2*2*'Efficiency Summary'!B152*Vout*(Vin-Vout)/(Lout*0.000001*'Power Loss'!$B$66*'Efficiency Summary'!$B$104^2)</f>
        <v>1.2561918864097368E-2</v>
      </c>
      <c r="L152" s="143">
        <f>2*Ron_l*0.001*'Efficiency Summary'!$B$106*'Efficiency Summary'!$B$104*(Vin-Vout)/(3*Vin)</f>
        <v>5.3907E-3</v>
      </c>
      <c r="M152" s="143">
        <f>+'Power Loss'!$B$54*0.000000001*Vin^2*2*'Efficiency Summary'!B152*Vout*(Vin-Vout)/(Lout*0.000001*'Power Loss'!$B$66*'Efficiency Summary'!$B$104^2)</f>
        <v>3.1536652993881628E-2</v>
      </c>
      <c r="N152" s="143">
        <f>+$K$104*$K$105*0.000000001*2*B152*Vout*(Vin-Vout)/('Efficiency Summary'!$B$104^2*Lout*0.000001*Vin)</f>
        <v>1.0540962009803925E-3</v>
      </c>
      <c r="O152" s="143">
        <f t="shared" si="13"/>
        <v>6.1438750000000002E-5</v>
      </c>
      <c r="P152" s="143">
        <f t="shared" si="17"/>
        <v>7.0981200000000008E-2</v>
      </c>
      <c r="Q152" s="150">
        <f>+B152*Vout*100/(Vout*'Efficiency Summary'!B152+SUM('Efficiency Summary'!G152:P152))</f>
        <v>89.631881498172149</v>
      </c>
      <c r="R152" s="144"/>
      <c r="S152" s="146"/>
      <c r="T152" s="146"/>
      <c r="U152" s="146"/>
      <c r="V152" s="146"/>
      <c r="W152" s="146"/>
      <c r="X152" s="146"/>
      <c r="Y152" s="146"/>
      <c r="Z152" s="146"/>
      <c r="AA152" s="146"/>
      <c r="AB152" s="146"/>
      <c r="AC152" s="146"/>
      <c r="AD152" s="146"/>
    </row>
    <row r="153" spans="1:30" ht="13" customHeight="1" x14ac:dyDescent="0.3">
      <c r="A153" s="143">
        <f t="shared" si="18"/>
        <v>51</v>
      </c>
      <c r="B153" s="143">
        <f t="shared" si="15"/>
        <v>0.255745</v>
      </c>
      <c r="C153" s="150">
        <f t="shared" si="9"/>
        <v>9.7142857142857126E-7</v>
      </c>
      <c r="D153" s="150">
        <f t="shared" si="10"/>
        <v>1.3599999999999999E-6</v>
      </c>
      <c r="E153" s="150">
        <f t="shared" si="19"/>
        <v>428921.56862745096</v>
      </c>
      <c r="F153" s="150">
        <f t="shared" si="11"/>
        <v>7.5717569666667386E-2</v>
      </c>
      <c r="G153" s="150">
        <f>+DCR*0.001*2*'Efficiency Summary'!B153*'Efficiency Summary'!$B$104/3</f>
        <v>5.1148999999999995E-3</v>
      </c>
      <c r="H153" s="150">
        <f t="shared" si="16"/>
        <v>1.2787249999999999E-3</v>
      </c>
      <c r="I153" s="143">
        <f>2*Ron_u*0.001*'Efficiency Summary'!B153*'Efficiency Summary'!$B$104*Vout/(3*Vin)</f>
        <v>1.2361008333333335E-2</v>
      </c>
      <c r="J153" s="150">
        <f>+B153*(Vout*(Vin-Vout)/('Efficiency Summary'!$B$104*Lout*0.000001))*'Power Loss'!$B$40*0.000000001</f>
        <v>2.632669117647059E-3</v>
      </c>
      <c r="K153" s="143">
        <f>+'Power Loss'!$B$37*0.000000001*Vin^2*2*'Efficiency Summary'!B153*Vout*(Vin-Vout)/(Lout*0.000001*'Power Loss'!$B$66*'Efficiency Summary'!$B$104^2)</f>
        <v>1.3072563894523328E-2</v>
      </c>
      <c r="L153" s="143">
        <f>2*Ron_l*0.001*'Efficiency Summary'!$B$106*'Efficiency Summary'!$B$104*(Vin-Vout)/(3*Vin)</f>
        <v>5.3907E-3</v>
      </c>
      <c r="M153" s="143">
        <f>+'Power Loss'!$B$54*0.000000001*Vin^2*2*'Efficiency Summary'!B153*Vout*(Vin-Vout)/(Lout*0.000001*'Power Loss'!$B$66*'Efficiency Summary'!$B$104^2)</f>
        <v>3.2818625541373547E-2</v>
      </c>
      <c r="N153" s="143">
        <f>+$K$104*$K$105*0.000000001*2*B153*Vout*(Vin-Vout)/('Efficiency Summary'!$B$104^2*Lout*0.000001*Vin)</f>
        <v>1.0969454656862747E-3</v>
      </c>
      <c r="O153" s="143">
        <f t="shared" si="13"/>
        <v>6.3936249999999996E-5</v>
      </c>
      <c r="P153" s="143">
        <f t="shared" si="17"/>
        <v>7.3378800000000008E-2</v>
      </c>
      <c r="Q153" s="150">
        <f>+B153*Vout*100/(Vout*'Efficiency Summary'!B153+SUM('Efficiency Summary'!G153:P153))</f>
        <v>89.676318353343675</v>
      </c>
      <c r="R153" s="144"/>
      <c r="S153" s="146"/>
      <c r="T153" s="146"/>
      <c r="U153" s="146"/>
      <c r="V153" s="146"/>
      <c r="W153" s="146"/>
      <c r="X153" s="146"/>
      <c r="Y153" s="146"/>
      <c r="Z153" s="146"/>
      <c r="AA153" s="146"/>
      <c r="AB153" s="146"/>
      <c r="AC153" s="146"/>
      <c r="AD153" s="146"/>
    </row>
    <row r="154" spans="1:30" ht="13" customHeight="1" x14ac:dyDescent="0.3">
      <c r="A154" s="143">
        <f t="shared" si="18"/>
        <v>53</v>
      </c>
      <c r="B154" s="143">
        <f t="shared" si="15"/>
        <v>0.265735</v>
      </c>
      <c r="C154" s="150">
        <f t="shared" si="9"/>
        <v>9.7142857142857126E-7</v>
      </c>
      <c r="D154" s="150">
        <f t="shared" si="10"/>
        <v>1.3599999999999999E-6</v>
      </c>
      <c r="E154" s="150">
        <f t="shared" si="19"/>
        <v>428921.56862745096</v>
      </c>
      <c r="F154" s="150">
        <f t="shared" si="11"/>
        <v>7.5457466393940117E-2</v>
      </c>
      <c r="G154" s="150">
        <f>+DCR*0.001*2*'Efficiency Summary'!B154*'Efficiency Summary'!$B$104/3</f>
        <v>5.3146999999999995E-3</v>
      </c>
      <c r="H154" s="150">
        <f t="shared" si="16"/>
        <v>1.3286749999999999E-3</v>
      </c>
      <c r="I154" s="143">
        <f>2*Ron_u*0.001*'Efficiency Summary'!B154*'Efficiency Summary'!$B$104*Vout/(3*Vin)</f>
        <v>1.2843858333333335E-2</v>
      </c>
      <c r="J154" s="150">
        <f>+B154*(Vout*(Vin-Vout)/('Efficiency Summary'!$B$104*Lout*0.000001))*'Power Loss'!$B$40*0.000000001</f>
        <v>2.7355073529411766E-3</v>
      </c>
      <c r="K154" s="143">
        <f>+'Power Loss'!$B$37*0.000000001*Vin^2*2*'Efficiency Summary'!B154*Vout*(Vin-Vout)/(Lout*0.000001*'Power Loss'!$B$66*'Efficiency Summary'!$B$104^2)</f>
        <v>1.3583208924949292E-2</v>
      </c>
      <c r="L154" s="143">
        <f>2*Ron_l*0.001*'Efficiency Summary'!$B$106*'Efficiency Summary'!$B$104*(Vin-Vout)/(3*Vin)</f>
        <v>5.3907E-3</v>
      </c>
      <c r="M154" s="143">
        <f>+'Power Loss'!$B$54*0.000000001*Vin^2*2*'Efficiency Summary'!B154*Vout*(Vin-Vout)/(Lout*0.000001*'Power Loss'!$B$66*'Efficiency Summary'!$B$104^2)</f>
        <v>3.4100598088865466E-2</v>
      </c>
      <c r="N154" s="143">
        <f>+$K$104*$K$105*0.000000001*2*B154*Vout*(Vin-Vout)/('Efficiency Summary'!$B$104^2*Lout*0.000001*Vin)</f>
        <v>1.1397947303921571E-3</v>
      </c>
      <c r="O154" s="143">
        <f t="shared" si="13"/>
        <v>6.6433750000000004E-5</v>
      </c>
      <c r="P154" s="143">
        <f t="shared" si="17"/>
        <v>7.5776400000000008E-2</v>
      </c>
      <c r="Q154" s="150">
        <f>+B154*Vout*100/(Vout*'Efficiency Summary'!B154+SUM('Efficiency Summary'!G154:P154))</f>
        <v>89.717453338401143</v>
      </c>
      <c r="R154" s="144"/>
      <c r="S154" s="146"/>
      <c r="T154" s="146"/>
      <c r="U154" s="146"/>
      <c r="V154" s="146"/>
      <c r="W154" s="146"/>
      <c r="X154" s="146"/>
      <c r="Y154" s="146"/>
      <c r="Z154" s="146"/>
      <c r="AA154" s="146"/>
      <c r="AB154" s="146"/>
      <c r="AC154" s="146"/>
      <c r="AD154" s="146"/>
    </row>
    <row r="155" spans="1:30" ht="13" customHeight="1" x14ac:dyDescent="0.3">
      <c r="A155" s="143">
        <f t="shared" si="18"/>
        <v>55</v>
      </c>
      <c r="B155" s="143">
        <f t="shared" si="15"/>
        <v>0.275725</v>
      </c>
      <c r="C155" s="150">
        <f t="shared" si="9"/>
        <v>9.7142857142857126E-7</v>
      </c>
      <c r="D155" s="150">
        <f t="shared" si="10"/>
        <v>1.3599999999999999E-6</v>
      </c>
      <c r="E155" s="150">
        <f t="shared" si="19"/>
        <v>428921.56862745096</v>
      </c>
      <c r="F155" s="150">
        <f t="shared" si="11"/>
        <v>7.4955423484849196E-2</v>
      </c>
      <c r="G155" s="150">
        <f>+DCR*0.001*2*'Efficiency Summary'!B155*'Efficiency Summary'!$B$104/3</f>
        <v>5.5144999999999994E-3</v>
      </c>
      <c r="H155" s="150">
        <f t="shared" si="16"/>
        <v>1.3786249999999999E-3</v>
      </c>
      <c r="I155" s="143">
        <f>2*Ron_u*0.001*'Efficiency Summary'!B155*'Efficiency Summary'!$B$104*Vout/(3*Vin)</f>
        <v>1.3326708333333333E-2</v>
      </c>
      <c r="J155" s="150">
        <f>+B155*(Vout*(Vin-Vout)/('Efficiency Summary'!$B$104*Lout*0.000001))*'Power Loss'!$B$40*0.000000001</f>
        <v>2.8383455882352946E-3</v>
      </c>
      <c r="K155" s="143">
        <f>+'Power Loss'!$B$37*0.000000001*Vin^2*2*'Efficiency Summary'!B155*Vout*(Vin-Vout)/(Lout*0.000001*'Power Loss'!$B$66*'Efficiency Summary'!$B$104^2)</f>
        <v>1.4093853955375256E-2</v>
      </c>
      <c r="L155" s="143">
        <f>2*Ron_l*0.001*'Efficiency Summary'!$B$106*'Efficiency Summary'!$B$104*(Vin-Vout)/(3*Vin)</f>
        <v>5.3907E-3</v>
      </c>
      <c r="M155" s="143">
        <f>+'Power Loss'!$B$54*0.000000001*Vin^2*2*'Efficiency Summary'!B155*Vout*(Vin-Vout)/(Lout*0.000001*'Power Loss'!$B$66*'Efficiency Summary'!$B$104^2)</f>
        <v>3.5382570636357386E-2</v>
      </c>
      <c r="N155" s="143">
        <f>+$K$104*$K$105*0.000000001*2*B155*Vout*(Vin-Vout)/('Efficiency Summary'!$B$104^2*Lout*0.000001*Vin)</f>
        <v>1.1826439950980395E-3</v>
      </c>
      <c r="O155" s="143">
        <f t="shared" si="13"/>
        <v>6.8931249999999998E-5</v>
      </c>
      <c r="P155" s="143">
        <f t="shared" si="17"/>
        <v>7.8174000000000007E-2</v>
      </c>
      <c r="Q155" s="150">
        <f>+B155*Vout*100/(Vout*'Efficiency Summary'!B155+SUM('Efficiency Summary'!G155:P155))</f>
        <v>89.755641287440454</v>
      </c>
      <c r="R155" s="144"/>
      <c r="S155" s="146"/>
      <c r="T155" s="146"/>
      <c r="U155" s="146"/>
      <c r="V155" s="146"/>
      <c r="W155" s="146"/>
      <c r="X155" s="146"/>
      <c r="Y155" s="146"/>
      <c r="Z155" s="146"/>
      <c r="AA155" s="146"/>
      <c r="AB155" s="146"/>
      <c r="AC155" s="146"/>
      <c r="AD155" s="146"/>
    </row>
    <row r="156" spans="1:30" ht="13" customHeight="1" x14ac:dyDescent="0.3">
      <c r="A156" s="143">
        <f t="shared" si="18"/>
        <v>57</v>
      </c>
      <c r="B156" s="143">
        <f t="shared" si="15"/>
        <v>0.285715</v>
      </c>
      <c r="C156" s="150">
        <f t="shared" si="9"/>
        <v>9.7142857142857126E-7</v>
      </c>
      <c r="D156" s="150">
        <f t="shared" si="10"/>
        <v>1.3599999999999999E-6</v>
      </c>
      <c r="E156" s="150">
        <f t="shared" si="19"/>
        <v>428921.56862745096</v>
      </c>
      <c r="F156" s="150">
        <f t="shared" si="11"/>
        <v>7.4211440939394649E-2</v>
      </c>
      <c r="G156" s="150">
        <f>+DCR*0.001*2*'Efficiency Summary'!B156*'Efficiency Summary'!$B$104/3</f>
        <v>5.7142999999999994E-3</v>
      </c>
      <c r="H156" s="150">
        <f t="shared" si="16"/>
        <v>1.4285749999999999E-3</v>
      </c>
      <c r="I156" s="143">
        <f>2*Ron_u*0.001*'Efficiency Summary'!B156*'Efficiency Summary'!$B$104*Vout/(3*Vin)</f>
        <v>1.3809558333333333E-2</v>
      </c>
      <c r="J156" s="150">
        <f>+B156*(Vout*(Vin-Vout)/('Efficiency Summary'!$B$104*Lout*0.000001))*'Power Loss'!$B$40*0.000000001</f>
        <v>2.9411838235294122E-3</v>
      </c>
      <c r="K156" s="143">
        <f>+'Power Loss'!$B$37*0.000000001*Vin^2*2*'Efficiency Summary'!B156*Vout*(Vin-Vout)/(Lout*0.000001*'Power Loss'!$B$66*'Efficiency Summary'!$B$104^2)</f>
        <v>1.4604498985801217E-2</v>
      </c>
      <c r="L156" s="143">
        <f>2*Ron_l*0.001*'Efficiency Summary'!$B$106*'Efficiency Summary'!$B$104*(Vin-Vout)/(3*Vin)</f>
        <v>5.3907E-3</v>
      </c>
      <c r="M156" s="143">
        <f>+'Power Loss'!$B$54*0.000000001*Vin^2*2*'Efficiency Summary'!B156*Vout*(Vin-Vout)/(Lout*0.000001*'Power Loss'!$B$66*'Efficiency Summary'!$B$104^2)</f>
        <v>3.6664543183849305E-2</v>
      </c>
      <c r="N156" s="143">
        <f>+$K$104*$K$105*0.000000001*2*B156*Vout*(Vin-Vout)/('Efficiency Summary'!$B$104^2*Lout*0.000001*Vin)</f>
        <v>1.2254932598039217E-3</v>
      </c>
      <c r="O156" s="143">
        <f t="shared" si="13"/>
        <v>7.1428750000000006E-5</v>
      </c>
      <c r="P156" s="143">
        <f t="shared" si="17"/>
        <v>8.0571599999999993E-2</v>
      </c>
      <c r="Q156" s="150">
        <f>+B156*Vout*100/(Vout*'Efficiency Summary'!B156+SUM('Efficiency Summary'!G156:P156))</f>
        <v>89.791187950042044</v>
      </c>
      <c r="R156" s="144"/>
      <c r="S156" s="146"/>
      <c r="T156" s="146"/>
      <c r="U156" s="146"/>
      <c r="V156" s="146"/>
      <c r="W156" s="146"/>
      <c r="X156" s="146"/>
      <c r="Y156" s="146"/>
      <c r="Z156" s="146"/>
      <c r="AA156" s="146"/>
      <c r="AB156" s="146"/>
      <c r="AC156" s="146"/>
      <c r="AD156" s="146"/>
    </row>
    <row r="157" spans="1:30" ht="13" customHeight="1" x14ac:dyDescent="0.3">
      <c r="A157" s="143">
        <f t="shared" si="18"/>
        <v>59</v>
      </c>
      <c r="B157" s="143">
        <f t="shared" si="15"/>
        <v>0.295705</v>
      </c>
      <c r="C157" s="150">
        <f t="shared" si="9"/>
        <v>9.7142857142857126E-7</v>
      </c>
      <c r="D157" s="150">
        <f t="shared" si="10"/>
        <v>1.3599999999999999E-6</v>
      </c>
      <c r="E157" s="150">
        <f t="shared" si="19"/>
        <v>428921.56862745096</v>
      </c>
      <c r="F157" s="150">
        <f t="shared" si="11"/>
        <v>7.3225518757576449E-2</v>
      </c>
      <c r="G157" s="150">
        <f>+DCR*0.001*2*'Efficiency Summary'!B157*'Efficiency Summary'!$B$104/3</f>
        <v>5.9140999999999994E-3</v>
      </c>
      <c r="H157" s="150">
        <f t="shared" si="16"/>
        <v>1.4785249999999998E-3</v>
      </c>
      <c r="I157" s="143">
        <f>2*Ron_u*0.001*'Efficiency Summary'!B157*'Efficiency Summary'!$B$104*Vout/(3*Vin)</f>
        <v>1.4292408333333333E-2</v>
      </c>
      <c r="J157" s="150">
        <f>+B157*(Vout*(Vin-Vout)/('Efficiency Summary'!$B$104*Lout*0.000001))*'Power Loss'!$B$40*0.000000001</f>
        <v>3.0440220588235298E-3</v>
      </c>
      <c r="K157" s="143">
        <f>+'Power Loss'!$B$37*0.000000001*Vin^2*2*'Efficiency Summary'!B157*Vout*(Vin-Vout)/(Lout*0.000001*'Power Loss'!$B$66*'Efficiency Summary'!$B$104^2)</f>
        <v>1.5115144016227183E-2</v>
      </c>
      <c r="L157" s="143">
        <f>2*Ron_l*0.001*'Efficiency Summary'!$B$106*'Efficiency Summary'!$B$104*(Vin-Vout)/(3*Vin)</f>
        <v>5.3907E-3</v>
      </c>
      <c r="M157" s="143">
        <f>+'Power Loss'!$B$54*0.000000001*Vin^2*2*'Efficiency Summary'!B157*Vout*(Vin-Vout)/(Lout*0.000001*'Power Loss'!$B$66*'Efficiency Summary'!$B$104^2)</f>
        <v>3.7946515731341231E-2</v>
      </c>
      <c r="N157" s="143">
        <f>+$K$104*$K$105*0.000000001*2*B157*Vout*(Vin-Vout)/('Efficiency Summary'!$B$104^2*Lout*0.000001*Vin)</f>
        <v>1.2683425245098041E-3</v>
      </c>
      <c r="O157" s="143">
        <f t="shared" si="13"/>
        <v>7.3926250000000001E-5</v>
      </c>
      <c r="P157" s="143">
        <f t="shared" si="17"/>
        <v>8.2969199999999993E-2</v>
      </c>
      <c r="Q157" s="150">
        <f>+B157*Vout*100/(Vout*'Efficiency Summary'!B157+SUM('Efficiency Summary'!G157:P157))</f>
        <v>89.824358194946427</v>
      </c>
      <c r="R157" s="144"/>
      <c r="S157" s="146"/>
      <c r="T157" s="146"/>
      <c r="U157" s="146"/>
      <c r="V157" s="146"/>
      <c r="W157" s="146"/>
      <c r="X157" s="146"/>
      <c r="Y157" s="146"/>
      <c r="Z157" s="146"/>
      <c r="AA157" s="146"/>
      <c r="AB157" s="146"/>
      <c r="AC157" s="146"/>
      <c r="AD157" s="146"/>
    </row>
    <row r="158" spans="1:30" ht="13" customHeight="1" x14ac:dyDescent="0.3">
      <c r="A158" s="143">
        <f t="shared" si="18"/>
        <v>61</v>
      </c>
      <c r="B158" s="143">
        <f t="shared" si="15"/>
        <v>0.30569499999999999</v>
      </c>
      <c r="C158" s="150">
        <f t="shared" si="9"/>
        <v>9.7142857142857126E-7</v>
      </c>
      <c r="D158" s="150">
        <f t="shared" si="10"/>
        <v>1.3599999999999999E-6</v>
      </c>
      <c r="E158" s="150">
        <f t="shared" si="19"/>
        <v>428921.56862745096</v>
      </c>
      <c r="F158" s="150">
        <f t="shared" si="11"/>
        <v>7.1997656939394625E-2</v>
      </c>
      <c r="G158" s="150">
        <f>+DCR*0.001*2*'Efficiency Summary'!B158*'Efficiency Summary'!$B$104/3</f>
        <v>6.1138999999999994E-3</v>
      </c>
      <c r="H158" s="150">
        <f t="shared" si="16"/>
        <v>1.5284749999999998E-3</v>
      </c>
      <c r="I158" s="143">
        <f>2*Ron_u*0.001*'Efficiency Summary'!B158*'Efficiency Summary'!$B$104*Vout/(3*Vin)</f>
        <v>1.4775258333333334E-2</v>
      </c>
      <c r="J158" s="150">
        <f>+B158*(Vout*(Vin-Vout)/('Efficiency Summary'!$B$104*Lout*0.000001))*'Power Loss'!$B$40*0.000000001</f>
        <v>3.1468602941176474E-3</v>
      </c>
      <c r="K158" s="143">
        <f>+'Power Loss'!$B$37*0.000000001*Vin^2*2*'Efficiency Summary'!B158*Vout*(Vin-Vout)/(Lout*0.000001*'Power Loss'!$B$66*'Efficiency Summary'!$B$104^2)</f>
        <v>1.5625789046653144E-2</v>
      </c>
      <c r="L158" s="143">
        <f>2*Ron_l*0.001*'Efficiency Summary'!$B$106*'Efficiency Summary'!$B$104*(Vin-Vout)/(3*Vin)</f>
        <v>5.3907E-3</v>
      </c>
      <c r="M158" s="143">
        <f>+'Power Loss'!$B$54*0.000000001*Vin^2*2*'Efficiency Summary'!B158*Vout*(Vin-Vout)/(Lout*0.000001*'Power Loss'!$B$66*'Efficiency Summary'!$B$104^2)</f>
        <v>3.922848827883315E-2</v>
      </c>
      <c r="N158" s="143">
        <f>+$K$104*$K$105*0.000000001*2*B158*Vout*(Vin-Vout)/('Efficiency Summary'!$B$104^2*Lout*0.000001*Vin)</f>
        <v>1.3111917892156865E-3</v>
      </c>
      <c r="O158" s="143">
        <f t="shared" si="13"/>
        <v>7.6423749999999995E-5</v>
      </c>
      <c r="P158" s="143">
        <f t="shared" si="17"/>
        <v>8.5366800000000007E-2</v>
      </c>
      <c r="Q158" s="150">
        <f>+B158*Vout*100/(Vout*'Efficiency Summary'!B158+SUM('Efficiency Summary'!G158:P158))</f>
        <v>89.855382621615973</v>
      </c>
      <c r="R158" s="144"/>
      <c r="S158" s="146"/>
      <c r="T158" s="146"/>
      <c r="U158" s="146"/>
      <c r="V158" s="146"/>
      <c r="W158" s="146"/>
      <c r="X158" s="146"/>
      <c r="Y158" s="146"/>
      <c r="Z158" s="146"/>
      <c r="AA158" s="146"/>
      <c r="AB158" s="146"/>
      <c r="AC158" s="146"/>
      <c r="AD158" s="146"/>
    </row>
    <row r="159" spans="1:30" ht="13" customHeight="1" x14ac:dyDescent="0.3">
      <c r="A159" s="143">
        <f t="shared" si="18"/>
        <v>63</v>
      </c>
      <c r="B159" s="143">
        <f t="shared" si="15"/>
        <v>0.31568499999999999</v>
      </c>
      <c r="C159" s="150">
        <f t="shared" si="9"/>
        <v>9.7142857142857126E-7</v>
      </c>
      <c r="D159" s="150">
        <f t="shared" si="10"/>
        <v>1.3599999999999999E-6</v>
      </c>
      <c r="E159" s="150">
        <f t="shared" si="19"/>
        <v>428921.56862745096</v>
      </c>
      <c r="F159" s="150">
        <f t="shared" si="11"/>
        <v>7.0527855484849147E-2</v>
      </c>
      <c r="G159" s="150">
        <f>+DCR*0.001*2*'Efficiency Summary'!B159*'Efficiency Summary'!$B$104/3</f>
        <v>6.3136999999999993E-3</v>
      </c>
      <c r="H159" s="150">
        <f t="shared" si="16"/>
        <v>1.5784249999999998E-3</v>
      </c>
      <c r="I159" s="143">
        <f>2*Ron_u*0.001*'Efficiency Summary'!B159*'Efficiency Summary'!$B$104*Vout/(3*Vin)</f>
        <v>1.5258108333333334E-2</v>
      </c>
      <c r="J159" s="150">
        <f>+B159*(Vout*(Vin-Vout)/('Efficiency Summary'!$B$104*Lout*0.000001))*'Power Loss'!$B$40*0.000000001</f>
        <v>3.2496985294117649E-3</v>
      </c>
      <c r="K159" s="143">
        <f>+'Power Loss'!$B$37*0.000000001*Vin^2*2*'Efficiency Summary'!B159*Vout*(Vin-Vout)/(Lout*0.000001*'Power Loss'!$B$66*'Efficiency Summary'!$B$104^2)</f>
        <v>1.6136434077079112E-2</v>
      </c>
      <c r="L159" s="143">
        <f>2*Ron_l*0.001*'Efficiency Summary'!$B$106*'Efficiency Summary'!$B$104*(Vin-Vout)/(3*Vin)</f>
        <v>5.3907E-3</v>
      </c>
      <c r="M159" s="143">
        <f>+'Power Loss'!$B$54*0.000000001*Vin^2*2*'Efficiency Summary'!B159*Vout*(Vin-Vout)/(Lout*0.000001*'Power Loss'!$B$66*'Efficiency Summary'!$B$104^2)</f>
        <v>4.0510460826325069E-2</v>
      </c>
      <c r="N159" s="143">
        <f>+$K$104*$K$105*0.000000001*2*B159*Vout*(Vin-Vout)/('Efficiency Summary'!$B$104^2*Lout*0.000001*Vin)</f>
        <v>1.3540410539215687E-3</v>
      </c>
      <c r="O159" s="143">
        <f t="shared" si="13"/>
        <v>7.8921250000000003E-5</v>
      </c>
      <c r="P159" s="143">
        <f t="shared" si="17"/>
        <v>8.7764400000000006E-2</v>
      </c>
      <c r="Q159" s="150">
        <f>+B159*Vout*100/(Vout*'Efficiency Summary'!B159+SUM('Efficiency Summary'!G159:P159))</f>
        <v>89.884462928873219</v>
      </c>
      <c r="R159" s="144"/>
      <c r="S159" s="146"/>
      <c r="T159" s="146"/>
      <c r="U159" s="146"/>
      <c r="V159" s="146"/>
      <c r="W159" s="146"/>
      <c r="X159" s="146"/>
      <c r="Y159" s="146"/>
      <c r="Z159" s="146"/>
      <c r="AA159" s="146"/>
      <c r="AB159" s="146"/>
      <c r="AC159" s="146"/>
      <c r="AD159" s="146"/>
    </row>
    <row r="160" spans="1:30" ht="13" customHeight="1" x14ac:dyDescent="0.3">
      <c r="A160" s="143">
        <f t="shared" si="18"/>
        <v>65</v>
      </c>
      <c r="B160" s="143">
        <f t="shared" si="15"/>
        <v>0.32567500000000005</v>
      </c>
      <c r="C160" s="150">
        <f t="shared" si="9"/>
        <v>9.7142857142857126E-7</v>
      </c>
      <c r="D160" s="150">
        <f t="shared" si="10"/>
        <v>1.3599999999999999E-6</v>
      </c>
      <c r="E160" s="150">
        <f t="shared" si="19"/>
        <v>428921.56862745096</v>
      </c>
      <c r="F160" s="150">
        <f t="shared" si="11"/>
        <v>6.8816114393940031E-2</v>
      </c>
      <c r="G160" s="150">
        <f>+DCR*0.001*2*'Efficiency Summary'!B160*'Efficiency Summary'!$B$104/3</f>
        <v>6.5135000000000011E-3</v>
      </c>
      <c r="H160" s="150">
        <f t="shared" si="16"/>
        <v>1.6283750000000003E-3</v>
      </c>
      <c r="I160" s="143">
        <f>2*Ron_u*0.001*'Efficiency Summary'!B160*'Efficiency Summary'!$B$104*Vout/(3*Vin)</f>
        <v>1.5740958333333339E-2</v>
      </c>
      <c r="J160" s="150">
        <f>+B160*(Vout*(Vin-Vout)/('Efficiency Summary'!$B$104*Lout*0.000001))*'Power Loss'!$B$40*0.000000001</f>
        <v>3.352536764705883E-3</v>
      </c>
      <c r="K160" s="143">
        <f>+'Power Loss'!$B$37*0.000000001*Vin^2*2*'Efficiency Summary'!B160*Vout*(Vin-Vout)/(Lout*0.000001*'Power Loss'!$B$66*'Efficiency Summary'!$B$104^2)</f>
        <v>1.6647079107505076E-2</v>
      </c>
      <c r="L160" s="143">
        <f>2*Ron_l*0.001*'Efficiency Summary'!$B$106*'Efficiency Summary'!$B$104*(Vin-Vout)/(3*Vin)</f>
        <v>5.3907E-3</v>
      </c>
      <c r="M160" s="143">
        <f>+'Power Loss'!$B$54*0.000000001*Vin^2*2*'Efficiency Summary'!B160*Vout*(Vin-Vout)/(Lout*0.000001*'Power Loss'!$B$66*'Efficiency Summary'!$B$104^2)</f>
        <v>4.1792433373817002E-2</v>
      </c>
      <c r="N160" s="143">
        <f>+$K$104*$K$105*0.000000001*2*B160*Vout*(Vin-Vout)/('Efficiency Summary'!$B$104^2*Lout*0.000001*Vin)</f>
        <v>1.3968903186274513E-3</v>
      </c>
      <c r="O160" s="143">
        <f t="shared" si="13"/>
        <v>8.1418750000000011E-5</v>
      </c>
      <c r="P160" s="143">
        <f t="shared" si="17"/>
        <v>9.016200000000002E-2</v>
      </c>
      <c r="Q160" s="150">
        <f>+B160*Vout*100/(Vout*'Efficiency Summary'!B160+SUM('Efficiency Summary'!G160:P160))</f>
        <v>89.911776304937106</v>
      </c>
      <c r="R160" s="144"/>
      <c r="S160" s="146"/>
      <c r="T160" s="146"/>
      <c r="U160" s="146"/>
      <c r="V160" s="146"/>
      <c r="W160" s="146"/>
      <c r="X160" s="146"/>
      <c r="Y160" s="146"/>
      <c r="Z160" s="146"/>
      <c r="AA160" s="146"/>
      <c r="AB160" s="146"/>
      <c r="AC160" s="146"/>
      <c r="AD160" s="146"/>
    </row>
    <row r="161" spans="1:30" ht="13" customHeight="1" x14ac:dyDescent="0.3">
      <c r="A161" s="143">
        <f t="shared" si="18"/>
        <v>67</v>
      </c>
      <c r="B161" s="143">
        <f t="shared" si="15"/>
        <v>0.33566500000000005</v>
      </c>
      <c r="C161" s="150">
        <f t="shared" si="9"/>
        <v>9.7142857142857126E-7</v>
      </c>
      <c r="D161" s="150">
        <f t="shared" si="10"/>
        <v>1.3599999999999999E-6</v>
      </c>
      <c r="E161" s="150">
        <f t="shared" si="19"/>
        <v>428921.56862745096</v>
      </c>
      <c r="F161" s="150">
        <f t="shared" si="11"/>
        <v>6.686243366666729E-2</v>
      </c>
      <c r="G161" s="150">
        <f>+DCR*0.001*2*'Efficiency Summary'!B161*'Efficiency Summary'!$B$104/3</f>
        <v>6.713300000000001E-3</v>
      </c>
      <c r="H161" s="150">
        <f t="shared" si="16"/>
        <v>1.6783250000000003E-3</v>
      </c>
      <c r="I161" s="143">
        <f>2*Ron_u*0.001*'Efficiency Summary'!B161*'Efficiency Summary'!$B$104*Vout/(3*Vin)</f>
        <v>1.6223808333333336E-2</v>
      </c>
      <c r="J161" s="150">
        <f>+B161*(Vout*(Vin-Vout)/('Efficiency Summary'!$B$104*Lout*0.000001))*'Power Loss'!$B$40*0.000000001</f>
        <v>3.4553750000000005E-3</v>
      </c>
      <c r="K161" s="143">
        <f>+'Power Loss'!$B$37*0.000000001*Vin^2*2*'Efficiency Summary'!B161*Vout*(Vin-Vout)/(Lout*0.000001*'Power Loss'!$B$66*'Efficiency Summary'!$B$104^2)</f>
        <v>1.7157724137931037E-2</v>
      </c>
      <c r="L161" s="143">
        <f>2*Ron_l*0.001*'Efficiency Summary'!$B$106*'Efficiency Summary'!$B$104*(Vin-Vout)/(3*Vin)</f>
        <v>5.3907E-3</v>
      </c>
      <c r="M161" s="143">
        <f>+'Power Loss'!$B$54*0.000000001*Vin^2*2*'Efficiency Summary'!B161*Vout*(Vin-Vout)/(Lout*0.000001*'Power Loss'!$B$66*'Efficiency Summary'!$B$104^2)</f>
        <v>4.3074405921308928E-2</v>
      </c>
      <c r="N161" s="143">
        <f>+$K$104*$K$105*0.000000001*2*B161*Vout*(Vin-Vout)/('Efficiency Summary'!$B$104^2*Lout*0.000001*Vin)</f>
        <v>1.4397395833333337E-3</v>
      </c>
      <c r="O161" s="143">
        <f t="shared" si="13"/>
        <v>8.3916250000000005E-5</v>
      </c>
      <c r="P161" s="143">
        <f t="shared" si="17"/>
        <v>9.255960000000002E-2</v>
      </c>
      <c r="Q161" s="150">
        <f>+B161*Vout*100/(Vout*'Efficiency Summary'!B161+SUM('Efficiency Summary'!G161:P161))</f>
        <v>89.937479040832343</v>
      </c>
      <c r="R161" s="144"/>
      <c r="S161" s="146"/>
      <c r="T161" s="146"/>
      <c r="U161" s="146"/>
      <c r="V161" s="146"/>
      <c r="W161" s="146"/>
      <c r="X161" s="146"/>
      <c r="Y161" s="146"/>
      <c r="Z161" s="146"/>
      <c r="AA161" s="146"/>
      <c r="AB161" s="146"/>
      <c r="AC161" s="146"/>
      <c r="AD161" s="146"/>
    </row>
    <row r="162" spans="1:30" ht="13" customHeight="1" x14ac:dyDescent="0.3">
      <c r="A162" s="143">
        <f t="shared" si="18"/>
        <v>69</v>
      </c>
      <c r="B162" s="143">
        <f t="shared" si="15"/>
        <v>0.34565500000000005</v>
      </c>
      <c r="C162" s="150">
        <f t="shared" si="9"/>
        <v>9.7142857142857126E-7</v>
      </c>
      <c r="D162" s="150">
        <f t="shared" si="10"/>
        <v>1.3599999999999999E-6</v>
      </c>
      <c r="E162" s="150">
        <f t="shared" si="19"/>
        <v>428921.56862745096</v>
      </c>
      <c r="F162" s="150">
        <f t="shared" si="11"/>
        <v>6.4666813303030909E-2</v>
      </c>
      <c r="G162" s="150">
        <f>+DCR*0.001*2*'Efficiency Summary'!B162*'Efficiency Summary'!$B$104/3</f>
        <v>6.913100000000001E-3</v>
      </c>
      <c r="H162" s="150">
        <f t="shared" si="16"/>
        <v>1.7282750000000003E-3</v>
      </c>
      <c r="I162" s="143">
        <f>2*Ron_u*0.001*'Efficiency Summary'!B162*'Efficiency Summary'!$B$104*Vout/(3*Vin)</f>
        <v>1.6706658333333336E-2</v>
      </c>
      <c r="J162" s="150">
        <f>+B162*(Vout*(Vin-Vout)/('Efficiency Summary'!$B$104*Lout*0.000001))*'Power Loss'!$B$40*0.000000001</f>
        <v>3.5582132352941186E-3</v>
      </c>
      <c r="K162" s="143">
        <f>+'Power Loss'!$B$37*0.000000001*Vin^2*2*'Efficiency Summary'!B162*Vout*(Vin-Vout)/(Lout*0.000001*'Power Loss'!$B$66*'Efficiency Summary'!$B$104^2)</f>
        <v>1.7668369168357002E-2</v>
      </c>
      <c r="L162" s="143">
        <f>2*Ron_l*0.001*'Efficiency Summary'!$B$106*'Efficiency Summary'!$B$104*(Vin-Vout)/(3*Vin)</f>
        <v>5.3907E-3</v>
      </c>
      <c r="M162" s="143">
        <f>+'Power Loss'!$B$54*0.000000001*Vin^2*2*'Efficiency Summary'!B162*Vout*(Vin-Vout)/(Lout*0.000001*'Power Loss'!$B$66*'Efficiency Summary'!$B$104^2)</f>
        <v>4.4356378468800847E-2</v>
      </c>
      <c r="N162" s="143">
        <f>+$K$104*$K$105*0.000000001*2*B162*Vout*(Vin-Vout)/('Efficiency Summary'!$B$104^2*Lout*0.000001*Vin)</f>
        <v>1.4825888480392161E-3</v>
      </c>
      <c r="O162" s="143">
        <f t="shared" si="13"/>
        <v>8.6413750000000013E-5</v>
      </c>
      <c r="P162" s="143">
        <f t="shared" si="17"/>
        <v>9.4957200000000019E-2</v>
      </c>
      <c r="Q162" s="150">
        <f>+B162*Vout*100/(Vout*'Efficiency Summary'!B162+SUM('Efficiency Summary'!G162:P162))</f>
        <v>89.961709522869882</v>
      </c>
      <c r="R162" s="144"/>
      <c r="S162" s="146"/>
      <c r="T162" s="146"/>
      <c r="U162" s="146"/>
      <c r="V162" s="146"/>
      <c r="W162" s="146"/>
      <c r="X162" s="146"/>
      <c r="Y162" s="146"/>
      <c r="Z162" s="146"/>
      <c r="AA162" s="146"/>
      <c r="AB162" s="146"/>
      <c r="AC162" s="146"/>
      <c r="AD162" s="146"/>
    </row>
    <row r="163" spans="1:30" ht="13" customHeight="1" x14ac:dyDescent="0.3">
      <c r="A163" s="143">
        <f t="shared" si="18"/>
        <v>71</v>
      </c>
      <c r="B163" s="143">
        <f t="shared" si="15"/>
        <v>0.35564500000000004</v>
      </c>
      <c r="C163" s="150">
        <f t="shared" si="9"/>
        <v>9.7142857142857126E-7</v>
      </c>
      <c r="D163" s="150">
        <f t="shared" si="10"/>
        <v>1.3599999999999999E-6</v>
      </c>
      <c r="E163" s="150">
        <f t="shared" si="19"/>
        <v>428921.56862745096</v>
      </c>
      <c r="F163" s="150">
        <f t="shared" si="11"/>
        <v>6.2229253303030883E-2</v>
      </c>
      <c r="G163" s="150">
        <f>+DCR*0.001*2*'Efficiency Summary'!B163*'Efficiency Summary'!$B$104/3</f>
        <v>7.112900000000001E-3</v>
      </c>
      <c r="H163" s="150">
        <f t="shared" si="16"/>
        <v>1.7782250000000002E-3</v>
      </c>
      <c r="I163" s="143">
        <f>2*Ron_u*0.001*'Efficiency Summary'!B163*'Efficiency Summary'!$B$104*Vout/(3*Vin)</f>
        <v>1.7189508333333339E-2</v>
      </c>
      <c r="J163" s="150">
        <f>+B163*(Vout*(Vin-Vout)/('Efficiency Summary'!$B$104*Lout*0.000001))*'Power Loss'!$B$40*0.000000001</f>
        <v>3.6610514705882361E-3</v>
      </c>
      <c r="K163" s="143">
        <f>+'Power Loss'!$B$37*0.000000001*Vin^2*2*'Efficiency Summary'!B163*Vout*(Vin-Vout)/(Lout*0.000001*'Power Loss'!$B$66*'Efficiency Summary'!$B$104^2)</f>
        <v>1.817901419878297E-2</v>
      </c>
      <c r="L163" s="143">
        <f>2*Ron_l*0.001*'Efficiency Summary'!$B$106*'Efficiency Summary'!$B$104*(Vin-Vout)/(3*Vin)</f>
        <v>5.3907E-3</v>
      </c>
      <c r="M163" s="143">
        <f>+'Power Loss'!$B$54*0.000000001*Vin^2*2*'Efficiency Summary'!B163*Vout*(Vin-Vout)/(Lout*0.000001*'Power Loss'!$B$66*'Efficiency Summary'!$B$104^2)</f>
        <v>4.5638351016292773E-2</v>
      </c>
      <c r="N163" s="143">
        <f>+$K$104*$K$105*0.000000001*2*B163*Vout*(Vin-Vout)/('Efficiency Summary'!$B$104^2*Lout*0.000001*Vin)</f>
        <v>1.5254381127450985E-3</v>
      </c>
      <c r="O163" s="143">
        <f t="shared" si="13"/>
        <v>8.8911250000000021E-5</v>
      </c>
      <c r="P163" s="143">
        <f t="shared" si="17"/>
        <v>9.7354799999999991E-2</v>
      </c>
      <c r="Q163" s="150">
        <f>+B163*Vout*100/(Vout*'Efficiency Summary'!B163+SUM('Efficiency Summary'!G163:P163))</f>
        <v>89.984590725216748</v>
      </c>
      <c r="R163" s="144"/>
      <c r="S163" s="146"/>
      <c r="T163" s="146"/>
      <c r="U163" s="146"/>
      <c r="V163" s="146"/>
      <c r="W163" s="146"/>
      <c r="X163" s="146"/>
      <c r="Y163" s="146"/>
      <c r="Z163" s="146"/>
      <c r="AA163" s="146"/>
      <c r="AB163" s="146"/>
      <c r="AC163" s="146"/>
      <c r="AD163" s="146"/>
    </row>
    <row r="164" spans="1:30" ht="13" customHeight="1" x14ac:dyDescent="0.3">
      <c r="A164" s="143">
        <f t="shared" si="18"/>
        <v>73</v>
      </c>
      <c r="B164" s="143">
        <f t="shared" si="15"/>
        <v>0.36563500000000004</v>
      </c>
      <c r="C164" s="150">
        <f t="shared" si="9"/>
        <v>9.7142857142857126E-7</v>
      </c>
      <c r="D164" s="150">
        <f t="shared" si="10"/>
        <v>1.3599999999999999E-6</v>
      </c>
      <c r="E164" s="150">
        <f t="shared" si="19"/>
        <v>428921.56862745096</v>
      </c>
      <c r="F164" s="150">
        <f t="shared" si="11"/>
        <v>5.9549753666667218E-2</v>
      </c>
      <c r="G164" s="150">
        <f>+DCR*0.001*2*'Efficiency Summary'!B164*'Efficiency Summary'!$B$104/3</f>
        <v>7.312700000000001E-3</v>
      </c>
      <c r="H164" s="150">
        <f t="shared" si="16"/>
        <v>1.8281750000000002E-3</v>
      </c>
      <c r="I164" s="143">
        <f>2*Ron_u*0.001*'Efficiency Summary'!B164*'Efficiency Summary'!$B$104*Vout/(3*Vin)</f>
        <v>1.7672358333333339E-2</v>
      </c>
      <c r="J164" s="150">
        <f>+B164*(Vout*(Vin-Vout)/('Efficiency Summary'!$B$104*Lout*0.000001))*'Power Loss'!$B$40*0.000000001</f>
        <v>3.7638897058823537E-3</v>
      </c>
      <c r="K164" s="143">
        <f>+'Power Loss'!$B$37*0.000000001*Vin^2*2*'Efficiency Summary'!B164*Vout*(Vin-Vout)/(Lout*0.000001*'Power Loss'!$B$66*'Efficiency Summary'!$B$104^2)</f>
        <v>1.868965922920893E-2</v>
      </c>
      <c r="L164" s="143">
        <f>2*Ron_l*0.001*'Efficiency Summary'!$B$106*'Efficiency Summary'!$B$104*(Vin-Vout)/(3*Vin)</f>
        <v>5.3907E-3</v>
      </c>
      <c r="M164" s="143">
        <f>+'Power Loss'!$B$54*0.000000001*Vin^2*2*'Efficiency Summary'!B164*Vout*(Vin-Vout)/(Lout*0.000001*'Power Loss'!$B$66*'Efficiency Summary'!$B$104^2)</f>
        <v>4.6920323563784692E-2</v>
      </c>
      <c r="N164" s="143">
        <f>+$K$104*$K$105*0.000000001*2*B164*Vout*(Vin-Vout)/('Efficiency Summary'!$B$104^2*Lout*0.000001*Vin)</f>
        <v>1.5682873774509811E-3</v>
      </c>
      <c r="O164" s="143">
        <f t="shared" si="13"/>
        <v>9.1408750000000015E-5</v>
      </c>
      <c r="P164" s="143">
        <f t="shared" si="17"/>
        <v>9.9752400000000019E-2</v>
      </c>
      <c r="Q164" s="150">
        <f>+B164*Vout*100/(Vout*'Efficiency Summary'!B164+SUM('Efficiency Summary'!G164:P164))</f>
        <v>90.006232297347367</v>
      </c>
      <c r="R164" s="144"/>
      <c r="S164" s="146"/>
      <c r="T164" s="146"/>
      <c r="U164" s="146"/>
      <c r="V164" s="146"/>
      <c r="W164" s="146"/>
      <c r="X164" s="146"/>
      <c r="Y164" s="146"/>
      <c r="Z164" s="146"/>
      <c r="AA164" s="146"/>
      <c r="AB164" s="146"/>
      <c r="AC164" s="146"/>
      <c r="AD164" s="146"/>
    </row>
    <row r="165" spans="1:30" ht="13" customHeight="1" x14ac:dyDescent="0.3">
      <c r="A165" s="143">
        <f t="shared" si="18"/>
        <v>75</v>
      </c>
      <c r="B165" s="143">
        <f t="shared" si="15"/>
        <v>0.37562500000000004</v>
      </c>
      <c r="C165" s="150">
        <f t="shared" si="9"/>
        <v>9.7142857142857126E-7</v>
      </c>
      <c r="D165" s="150">
        <f t="shared" si="10"/>
        <v>1.3599999999999999E-6</v>
      </c>
      <c r="E165" s="150">
        <f t="shared" si="19"/>
        <v>428921.56862745096</v>
      </c>
      <c r="F165" s="150">
        <f t="shared" si="11"/>
        <v>5.6628314393939921E-2</v>
      </c>
      <c r="G165" s="150">
        <f>+DCR*0.001*2*'Efficiency Summary'!B165*'Efficiency Summary'!$B$104/3</f>
        <v>7.5125000000000009E-3</v>
      </c>
      <c r="H165" s="150">
        <f t="shared" si="16"/>
        <v>1.8781250000000002E-3</v>
      </c>
      <c r="I165" s="143">
        <f>2*Ron_u*0.001*'Efficiency Summary'!B165*'Efficiency Summary'!$B$104*Vout/(3*Vin)</f>
        <v>1.8155208333333336E-2</v>
      </c>
      <c r="J165" s="150">
        <f>+B165*(Vout*(Vin-Vout)/('Efficiency Summary'!$B$104*Lout*0.000001))*'Power Loss'!$B$40*0.000000001</f>
        <v>3.8667279411764718E-3</v>
      </c>
      <c r="K165" s="143">
        <f>+'Power Loss'!$B$37*0.000000001*Vin^2*2*'Efficiency Summary'!B165*Vout*(Vin-Vout)/(Lout*0.000001*'Power Loss'!$B$66*'Efficiency Summary'!$B$104^2)</f>
        <v>1.9200304259634891E-2</v>
      </c>
      <c r="L165" s="143">
        <f>2*Ron_l*0.001*'Efficiency Summary'!$B$106*'Efficiency Summary'!$B$104*(Vin-Vout)/(3*Vin)</f>
        <v>5.3907E-3</v>
      </c>
      <c r="M165" s="143">
        <f>+'Power Loss'!$B$54*0.000000001*Vin^2*2*'Efficiency Summary'!B165*Vout*(Vin-Vout)/(Lout*0.000001*'Power Loss'!$B$66*'Efficiency Summary'!$B$104^2)</f>
        <v>4.8202296111276619E-2</v>
      </c>
      <c r="N165" s="143">
        <f>+$K$104*$K$105*0.000000001*2*B165*Vout*(Vin-Vout)/('Efficiency Summary'!$B$104^2*Lout*0.000001*Vin)</f>
        <v>1.611136642156863E-3</v>
      </c>
      <c r="O165" s="143">
        <f t="shared" si="13"/>
        <v>9.3906250000000009E-5</v>
      </c>
      <c r="P165" s="143">
        <f t="shared" si="17"/>
        <v>0.10215000000000002</v>
      </c>
      <c r="Q165" s="150">
        <f>+B165*Vout*100/(Vout*'Efficiency Summary'!B165+SUM('Efficiency Summary'!G165:P165))</f>
        <v>90.026732321168822</v>
      </c>
      <c r="R165" s="144"/>
      <c r="S165" s="146"/>
      <c r="T165" s="146"/>
      <c r="U165" s="146"/>
      <c r="V165" s="146"/>
      <c r="W165" s="146"/>
      <c r="X165" s="146"/>
      <c r="Y165" s="146"/>
      <c r="Z165" s="146"/>
      <c r="AA165" s="146"/>
      <c r="AB165" s="146"/>
      <c r="AC165" s="146"/>
      <c r="AD165" s="146"/>
    </row>
    <row r="166" spans="1:30" ht="13" customHeight="1" x14ac:dyDescent="0.3">
      <c r="A166" s="143">
        <f t="shared" si="18"/>
        <v>77</v>
      </c>
      <c r="B166" s="143">
        <f t="shared" si="15"/>
        <v>0.38561500000000004</v>
      </c>
      <c r="C166" s="150">
        <f t="shared" si="9"/>
        <v>9.7142857142857126E-7</v>
      </c>
      <c r="D166" s="150">
        <f t="shared" si="10"/>
        <v>1.3599999999999999E-6</v>
      </c>
      <c r="E166" s="150">
        <f t="shared" si="19"/>
        <v>428921.56862745096</v>
      </c>
      <c r="F166" s="150">
        <f t="shared" si="11"/>
        <v>5.3464935484848979E-2</v>
      </c>
      <c r="G166" s="150">
        <f>+DCR*0.001*2*'Efficiency Summary'!B166*'Efficiency Summary'!$B$104/3</f>
        <v>7.7123000000000009E-3</v>
      </c>
      <c r="H166" s="150">
        <f t="shared" si="16"/>
        <v>1.9280750000000002E-3</v>
      </c>
      <c r="I166" s="143">
        <f>2*Ron_u*0.001*'Efficiency Summary'!B166*'Efficiency Summary'!$B$104*Vout/(3*Vin)</f>
        <v>1.8638058333333336E-2</v>
      </c>
      <c r="J166" s="150">
        <f>+B166*(Vout*(Vin-Vout)/('Efficiency Summary'!$B$104*Lout*0.000001))*'Power Loss'!$B$40*0.000000001</f>
        <v>3.9695661764705889E-3</v>
      </c>
      <c r="K166" s="143">
        <f>+'Power Loss'!$B$37*0.000000001*Vin^2*2*'Efficiency Summary'!B166*Vout*(Vin-Vout)/(Lout*0.000001*'Power Loss'!$B$66*'Efficiency Summary'!$B$104^2)</f>
        <v>1.9710949290060852E-2</v>
      </c>
      <c r="L166" s="143">
        <f>2*Ron_l*0.001*'Efficiency Summary'!$B$106*'Efficiency Summary'!$B$104*(Vin-Vout)/(3*Vin)</f>
        <v>5.3907E-3</v>
      </c>
      <c r="M166" s="143">
        <f>+'Power Loss'!$B$54*0.000000001*Vin^2*2*'Efficiency Summary'!B166*Vout*(Vin-Vout)/(Lout*0.000001*'Power Loss'!$B$66*'Efficiency Summary'!$B$104^2)</f>
        <v>4.9484268658768545E-2</v>
      </c>
      <c r="N166" s="143">
        <f>+$K$104*$K$105*0.000000001*2*B166*Vout*(Vin-Vout)/('Efficiency Summary'!$B$104^2*Lout*0.000001*Vin)</f>
        <v>1.6539859068627457E-3</v>
      </c>
      <c r="O166" s="143">
        <f t="shared" si="13"/>
        <v>9.6403750000000003E-5</v>
      </c>
      <c r="P166" s="143">
        <f t="shared" si="17"/>
        <v>0.10454760000000002</v>
      </c>
      <c r="Q166" s="150">
        <f>+B166*Vout*100/(Vout*'Efficiency Summary'!B166+SUM('Efficiency Summary'!G166:P166))</f>
        <v>90.046178797236621</v>
      </c>
      <c r="R166" s="144"/>
      <c r="S166" s="146"/>
      <c r="T166" s="146"/>
      <c r="U166" s="146"/>
      <c r="V166" s="146"/>
      <c r="W166" s="146"/>
      <c r="X166" s="146"/>
      <c r="Y166" s="146"/>
      <c r="Z166" s="146"/>
      <c r="AA166" s="146"/>
      <c r="AB166" s="146"/>
      <c r="AC166" s="146"/>
      <c r="AD166" s="146"/>
    </row>
    <row r="167" spans="1:30" ht="13" customHeight="1" x14ac:dyDescent="0.3">
      <c r="A167" s="143">
        <f t="shared" si="18"/>
        <v>79</v>
      </c>
      <c r="B167" s="143">
        <f t="shared" si="15"/>
        <v>0.39560500000000004</v>
      </c>
      <c r="C167" s="150">
        <f t="shared" si="9"/>
        <v>9.7142857142857126E-7</v>
      </c>
      <c r="D167" s="150">
        <f t="shared" si="10"/>
        <v>1.3599999999999999E-6</v>
      </c>
      <c r="E167" s="150">
        <f t="shared" si="19"/>
        <v>428921.56862745096</v>
      </c>
      <c r="F167" s="150">
        <f t="shared" si="11"/>
        <v>5.0059616939394397E-2</v>
      </c>
      <c r="G167" s="150">
        <f>+DCR*0.001*2*'Efficiency Summary'!B167*'Efficiency Summary'!$B$104/3</f>
        <v>7.9121E-3</v>
      </c>
      <c r="H167" s="150">
        <f t="shared" si="16"/>
        <v>1.978025E-3</v>
      </c>
      <c r="I167" s="143">
        <f>2*Ron_u*0.001*'Efficiency Summary'!B167*'Efficiency Summary'!$B$104*Vout/(3*Vin)</f>
        <v>1.9120908333333339E-2</v>
      </c>
      <c r="J167" s="150">
        <f>+B167*(Vout*(Vin-Vout)/('Efficiency Summary'!$B$104*Lout*0.000001))*'Power Loss'!$B$40*0.000000001</f>
        <v>4.0724044117647065E-3</v>
      </c>
      <c r="K167" s="143">
        <f>+'Power Loss'!$B$37*0.000000001*Vin^2*2*'Efficiency Summary'!B167*Vout*(Vin-Vout)/(Lout*0.000001*'Power Loss'!$B$66*'Efficiency Summary'!$B$104^2)</f>
        <v>2.0221594320486824E-2</v>
      </c>
      <c r="L167" s="143">
        <f>2*Ron_l*0.001*'Efficiency Summary'!$B$106*'Efficiency Summary'!$B$104*(Vin-Vout)/(3*Vin)</f>
        <v>5.3907E-3</v>
      </c>
      <c r="M167" s="143">
        <f>+'Power Loss'!$B$54*0.000000001*Vin^2*2*'Efficiency Summary'!B167*Vout*(Vin-Vout)/(Lout*0.000001*'Power Loss'!$B$66*'Efficiency Summary'!$B$104^2)</f>
        <v>5.0766241206260464E-2</v>
      </c>
      <c r="N167" s="143">
        <f>+$K$104*$K$105*0.000000001*2*B167*Vout*(Vin-Vout)/('Efficiency Summary'!$B$104^2*Lout*0.000001*Vin)</f>
        <v>1.6968351715686281E-3</v>
      </c>
      <c r="O167" s="143">
        <f t="shared" si="13"/>
        <v>9.8901250000000011E-5</v>
      </c>
      <c r="P167" s="143">
        <f t="shared" si="17"/>
        <v>0.10694520000000002</v>
      </c>
      <c r="Q167" s="150">
        <f>+B167*Vout*100/(Vout*'Efficiency Summary'!B167+SUM('Efficiency Summary'!G167:P167))</f>
        <v>90.064650907570211</v>
      </c>
      <c r="R167" s="144"/>
      <c r="S167" s="146"/>
      <c r="T167" s="146"/>
      <c r="U167" s="146"/>
      <c r="V167" s="146"/>
      <c r="W167" s="146"/>
      <c r="X167" s="146"/>
      <c r="Y167" s="146"/>
      <c r="Z167" s="146"/>
      <c r="AA167" s="146"/>
      <c r="AB167" s="146"/>
      <c r="AC167" s="146"/>
      <c r="AD167" s="146"/>
    </row>
    <row r="168" spans="1:30" ht="13" customHeight="1" x14ac:dyDescent="0.3">
      <c r="A168" s="143">
        <f t="shared" si="18"/>
        <v>81</v>
      </c>
      <c r="B168" s="143">
        <f t="shared" si="15"/>
        <v>0.40559500000000004</v>
      </c>
      <c r="C168" s="150">
        <f t="shared" si="9"/>
        <v>9.7142857142857126E-7</v>
      </c>
      <c r="D168" s="150">
        <f t="shared" si="10"/>
        <v>1.3599999999999999E-6</v>
      </c>
      <c r="E168" s="150">
        <f t="shared" si="19"/>
        <v>428921.56862745096</v>
      </c>
      <c r="F168" s="150">
        <f t="shared" si="11"/>
        <v>4.6412358757576183E-2</v>
      </c>
      <c r="G168" s="150">
        <f>+DCR*0.001*2*'Efficiency Summary'!B168*'Efficiency Summary'!$B$104/3</f>
        <v>8.1119E-3</v>
      </c>
      <c r="H168" s="150">
        <f t="shared" si="16"/>
        <v>2.027975E-3</v>
      </c>
      <c r="I168" s="143">
        <f>2*Ron_u*0.001*'Efficiency Summary'!B168*'Efficiency Summary'!$B$104*Vout/(3*Vin)</f>
        <v>1.9603758333333336E-2</v>
      </c>
      <c r="J168" s="150">
        <f>+B168*(Vout*(Vin-Vout)/('Efficiency Summary'!$B$104*Lout*0.000001))*'Power Loss'!$B$40*0.000000001</f>
        <v>4.1752426470588241E-3</v>
      </c>
      <c r="K168" s="143">
        <f>+'Power Loss'!$B$37*0.000000001*Vin^2*2*'Efficiency Summary'!B168*Vout*(Vin-Vout)/(Lout*0.000001*'Power Loss'!$B$66*'Efficiency Summary'!$B$104^2)</f>
        <v>2.0732239350912784E-2</v>
      </c>
      <c r="L168" s="143">
        <f>2*Ron_l*0.001*'Efficiency Summary'!$B$106*'Efficiency Summary'!$B$104*(Vin-Vout)/(3*Vin)</f>
        <v>5.3907E-3</v>
      </c>
      <c r="M168" s="143">
        <f>+'Power Loss'!$B$54*0.000000001*Vin^2*2*'Efficiency Summary'!B168*Vout*(Vin-Vout)/(Lout*0.000001*'Power Loss'!$B$66*'Efficiency Summary'!$B$104^2)</f>
        <v>5.2048213753752383E-2</v>
      </c>
      <c r="N168" s="143">
        <f>+$K$104*$K$105*0.000000001*2*B168*Vout*(Vin-Vout)/('Efficiency Summary'!$B$104^2*Lout*0.000001*Vin)</f>
        <v>1.7396844362745102E-3</v>
      </c>
      <c r="O168" s="143">
        <f t="shared" si="13"/>
        <v>1.0139875000000002E-4</v>
      </c>
      <c r="P168" s="143">
        <f t="shared" si="17"/>
        <v>0.10934280000000002</v>
      </c>
      <c r="Q168" s="150">
        <f>+B168*Vout*100/(Vout*'Efficiency Summary'!B168+SUM('Efficiency Summary'!G168:P168))</f>
        <v>90.082220093287418</v>
      </c>
      <c r="R168" s="144"/>
      <c r="S168" s="146"/>
      <c r="T168" s="146"/>
      <c r="U168" s="146"/>
      <c r="V168" s="146"/>
      <c r="W168" s="146"/>
      <c r="X168" s="146"/>
      <c r="Y168" s="146"/>
      <c r="Z168" s="146"/>
      <c r="AA168" s="146"/>
      <c r="AB168" s="146"/>
      <c r="AC168" s="146"/>
      <c r="AD168" s="146"/>
    </row>
    <row r="169" spans="1:30" ht="13" customHeight="1" x14ac:dyDescent="0.3">
      <c r="A169" s="139">
        <f t="shared" si="18"/>
        <v>83</v>
      </c>
      <c r="B169" s="139">
        <f t="shared" si="15"/>
        <v>0.41558500000000004</v>
      </c>
      <c r="C169" s="148">
        <f t="shared" si="9"/>
        <v>9.7142857142857126E-7</v>
      </c>
      <c r="D169" s="148">
        <f t="shared" si="10"/>
        <v>1.3599999999999999E-6</v>
      </c>
      <c r="E169" s="148">
        <f t="shared" si="19"/>
        <v>428921.56862745096</v>
      </c>
      <c r="F169" s="148">
        <f t="shared" si="11"/>
        <v>4.2523160939394331E-2</v>
      </c>
      <c r="G169" s="150">
        <f>+DCR*0.001*2*'Efficiency Summary'!B169*'Efficiency Summary'!$B$104/3</f>
        <v>8.3117E-3</v>
      </c>
      <c r="H169" s="150">
        <f t="shared" si="16"/>
        <v>2.077925E-3</v>
      </c>
      <c r="I169" s="143">
        <f>2*Ron_u*0.001*'Efficiency Summary'!B169*'Efficiency Summary'!$B$104*Vout/(3*Vin)</f>
        <v>2.0086608333333335E-2</v>
      </c>
      <c r="J169" s="150">
        <f>+B169*(Vout*(Vin-Vout)/('Efficiency Summary'!$B$104*Lout*0.000001))*'Power Loss'!$B$40*0.000000001</f>
        <v>4.2780808823529417E-3</v>
      </c>
      <c r="K169" s="143">
        <f>+'Power Loss'!$B$37*0.000000001*Vin^2*2*'Efficiency Summary'!B169*Vout*(Vin-Vout)/(Lout*0.000001*'Power Loss'!$B$66*'Efficiency Summary'!$B$104^2)</f>
        <v>2.1242884381338745E-2</v>
      </c>
      <c r="L169" s="143">
        <f>2*Ron_l*0.001*'Efficiency Summary'!$B$106*'Efficiency Summary'!$B$104*(Vin-Vout)/(3*Vin)</f>
        <v>5.3907E-3</v>
      </c>
      <c r="M169" s="143">
        <f>+'Power Loss'!$B$54*0.000000001*Vin^2*2*'Efficiency Summary'!B169*Vout*(Vin-Vout)/(Lout*0.000001*'Power Loss'!$B$66*'Efficiency Summary'!$B$104^2)</f>
        <v>5.3330186301244302E-2</v>
      </c>
      <c r="N169" s="143">
        <f>+$K$104*$K$105*0.000000001*2*B169*Vout*(Vin-Vout)/('Efficiency Summary'!$B$104^2*Lout*0.000001*Vin)</f>
        <v>1.7825337009803922E-3</v>
      </c>
      <c r="O169" s="143">
        <f t="shared" si="13"/>
        <v>1.0389625000000001E-4</v>
      </c>
      <c r="P169" s="143">
        <f t="shared" si="17"/>
        <v>0.11174040000000002</v>
      </c>
      <c r="Q169" s="150">
        <f>+B169*Vout*100/(Vout*'Efficiency Summary'!B169+SUM('Efficiency Summary'!G169:P169))</f>
        <v>90.098950977983179</v>
      </c>
      <c r="R169" s="142"/>
    </row>
    <row r="170" spans="1:30" ht="13" customHeight="1" x14ac:dyDescent="0.3">
      <c r="A170" s="139">
        <f t="shared" si="18"/>
        <v>85</v>
      </c>
      <c r="B170" s="139">
        <f t="shared" si="15"/>
        <v>0.42557500000000004</v>
      </c>
      <c r="C170" s="148">
        <f t="shared" si="9"/>
        <v>9.7142857142857126E-7</v>
      </c>
      <c r="D170" s="148">
        <f t="shared" si="10"/>
        <v>1.3599999999999999E-6</v>
      </c>
      <c r="E170" s="148">
        <f t="shared" si="19"/>
        <v>428921.56862745096</v>
      </c>
      <c r="F170" s="148">
        <f t="shared" si="11"/>
        <v>3.8392023484848832E-2</v>
      </c>
      <c r="G170" s="150">
        <f>+DCR*0.001*2*'Efficiency Summary'!B170*'Efficiency Summary'!$B$104/3</f>
        <v>8.5115E-3</v>
      </c>
      <c r="H170" s="150">
        <f t="shared" si="16"/>
        <v>2.127875E-3</v>
      </c>
      <c r="I170" s="143">
        <f>2*Ron_u*0.001*'Efficiency Summary'!B170*'Efficiency Summary'!$B$104*Vout/(3*Vin)</f>
        <v>2.0569458333333332E-2</v>
      </c>
      <c r="J170" s="150">
        <f>+B170*(Vout*(Vin-Vout)/('Efficiency Summary'!$B$104*Lout*0.000001))*'Power Loss'!$B$40*0.000000001</f>
        <v>4.3809191176470592E-3</v>
      </c>
      <c r="K170" s="143">
        <f>+'Power Loss'!$B$37*0.000000001*Vin^2*2*'Efficiency Summary'!B170*Vout*(Vin-Vout)/(Lout*0.000001*'Power Loss'!$B$66*'Efficiency Summary'!$B$104^2)</f>
        <v>2.175352941176471E-2</v>
      </c>
      <c r="L170" s="143">
        <f>2*Ron_l*0.001*'Efficiency Summary'!$B$106*'Efficiency Summary'!$B$104*(Vin-Vout)/(3*Vin)</f>
        <v>5.3907E-3</v>
      </c>
      <c r="M170" s="143">
        <f>+'Power Loss'!$B$54*0.000000001*Vin^2*2*'Efficiency Summary'!B170*Vout*(Vin-Vout)/(Lout*0.000001*'Power Loss'!$B$66*'Efficiency Summary'!$B$104^2)</f>
        <v>5.4612158848736228E-2</v>
      </c>
      <c r="N170" s="143">
        <f>+$K$104*$K$105*0.000000001*2*B170*Vout*(Vin-Vout)/('Efficiency Summary'!$B$104^2*Lout*0.000001*Vin)</f>
        <v>1.825382965686275E-3</v>
      </c>
      <c r="O170" s="143">
        <f t="shared" si="13"/>
        <v>1.0639375000000001E-4</v>
      </c>
      <c r="P170" s="143">
        <f t="shared" si="17"/>
        <v>0.11413800000000003</v>
      </c>
      <c r="Q170" s="150">
        <f>+B170*Vout*100/(Vout*'Efficiency Summary'!B170+SUM('Efficiency Summary'!G170:P170))</f>
        <v>90.114902162013379</v>
      </c>
      <c r="R170" s="142"/>
    </row>
    <row r="171" spans="1:30" ht="13" customHeight="1" x14ac:dyDescent="0.3">
      <c r="A171" s="139">
        <f t="shared" si="18"/>
        <v>87</v>
      </c>
      <c r="B171" s="139">
        <f>+$B$104/2</f>
        <v>0.5</v>
      </c>
      <c r="C171" s="148">
        <f t="shared" si="9"/>
        <v>9.7142857142857126E-7</v>
      </c>
      <c r="D171" s="148">
        <f t="shared" si="10"/>
        <v>1.3599999999999999E-6</v>
      </c>
      <c r="E171" s="148">
        <f t="shared" si="19"/>
        <v>428921.56862745096</v>
      </c>
      <c r="F171" s="148">
        <f t="shared" si="11"/>
        <v>0</v>
      </c>
      <c r="G171" s="150">
        <f>+DCR*0.001*2*'Efficiency Summary'!B171*'Efficiency Summary'!$B$104/3</f>
        <v>0.01</v>
      </c>
      <c r="H171" s="150">
        <f t="shared" si="16"/>
        <v>2.5000000000000001E-3</v>
      </c>
      <c r="I171" s="143">
        <f>2*Ron_u*0.001*'Efficiency Summary'!B171*'Efficiency Summary'!$B$104*Vout/(3*Vin)</f>
        <v>2.416666666666667E-2</v>
      </c>
      <c r="J171" s="150">
        <f>+B171*(Vout*(Vin-Vout)/('Efficiency Summary'!$B$104*Lout*0.000001))*'Power Loss'!$B$40*0.000000001</f>
        <v>5.1470588235294126E-3</v>
      </c>
      <c r="K171" s="143">
        <f>+'Power Loss'!$B$37*0.000000001*Vin^2*2*'Efficiency Summary'!B171*Vout*(Vin-Vout)/(Lout*0.000001*'Power Loss'!$B$66*'Efficiency Summary'!$B$104^2)</f>
        <v>2.5557809330628806E-2</v>
      </c>
      <c r="L171" s="143">
        <f>2*Ron_l*0.001*'Efficiency Summary'!$B$106*'Efficiency Summary'!$B$104*(Vin-Vout)/(3*Vin)</f>
        <v>5.3907E-3</v>
      </c>
      <c r="M171" s="143">
        <f>+'Power Loss'!$B$54*0.000000001*Vin^2*2*'Efficiency Summary'!B171*Vout*(Vin-Vout)/(Lout*0.000001*'Power Loss'!$B$66*'Efficiency Summary'!$B$104^2)</f>
        <v>6.4162790164760883E-2</v>
      </c>
      <c r="N171" s="143">
        <f>+$K$104*$K$105*0.000000001*2*B171*Vout*(Vin-Vout)/('Efficiency Summary'!$B$104^2*Lout*0.000001*Vin)</f>
        <v>2.1446078431372551E-3</v>
      </c>
      <c r="O171" s="143">
        <f t="shared" si="13"/>
        <v>1.25E-4</v>
      </c>
      <c r="P171" s="143">
        <f t="shared" si="17"/>
        <v>0.13200000000000001</v>
      </c>
      <c r="Q171" s="150">
        <f>+B171*Vout*100/(Vout*'Efficiency Summary'!B171+SUM('Efficiency Summary'!G171:P171))</f>
        <v>90.21380058924629</v>
      </c>
      <c r="R171" s="142"/>
    </row>
    <row r="172" spans="1:30" ht="13" customHeight="1" x14ac:dyDescent="0.3">
      <c r="A172" s="142"/>
      <c r="B172" s="142"/>
      <c r="C172" s="142"/>
      <c r="D172" s="142"/>
      <c r="E172" s="142"/>
      <c r="F172" s="142"/>
      <c r="G172" s="142"/>
      <c r="H172" s="142"/>
      <c r="I172" s="142"/>
      <c r="J172" s="139"/>
      <c r="K172" s="139"/>
      <c r="L172" s="139"/>
      <c r="M172" s="139"/>
      <c r="N172" s="139"/>
      <c r="O172" s="139"/>
      <c r="P172" s="139"/>
      <c r="Q172" s="139"/>
      <c r="R172" s="142"/>
    </row>
    <row r="173" spans="1:30" ht="13" customHeight="1" x14ac:dyDescent="0.3">
      <c r="A173" s="142"/>
      <c r="B173" s="142"/>
      <c r="C173" s="142"/>
      <c r="D173" s="142"/>
      <c r="E173" s="142"/>
      <c r="F173" s="142"/>
      <c r="G173" s="142"/>
      <c r="H173" s="142"/>
      <c r="I173" s="142"/>
      <c r="J173" s="142"/>
      <c r="K173" s="142"/>
      <c r="L173" s="142"/>
      <c r="M173" s="142"/>
      <c r="N173" s="142"/>
      <c r="O173" s="142"/>
      <c r="P173" s="142"/>
      <c r="Q173" s="142"/>
      <c r="R173" s="142"/>
    </row>
    <row r="174" spans="1:30" ht="13" customHeight="1" x14ac:dyDescent="0.3">
      <c r="A174" s="142"/>
      <c r="B174" s="142"/>
      <c r="C174" s="142"/>
      <c r="D174" s="142"/>
      <c r="E174" s="142"/>
      <c r="F174" s="142"/>
      <c r="G174" s="142"/>
      <c r="H174" s="142"/>
      <c r="I174" s="142"/>
      <c r="J174" s="142"/>
      <c r="K174" s="142"/>
      <c r="L174" s="142"/>
      <c r="M174" s="142"/>
      <c r="N174" s="142"/>
      <c r="O174" s="142"/>
      <c r="P174" s="142"/>
      <c r="Q174" s="142"/>
      <c r="R174" s="142"/>
    </row>
    <row r="175" spans="1:30" ht="13" customHeight="1" x14ac:dyDescent="0.3">
      <c r="A175" s="142"/>
      <c r="B175" s="142"/>
      <c r="C175" s="142"/>
      <c r="D175" s="142"/>
      <c r="E175" s="142"/>
      <c r="F175" s="142"/>
      <c r="G175" s="142"/>
      <c r="H175" s="142"/>
      <c r="I175" s="142"/>
      <c r="J175" s="142"/>
      <c r="K175" s="142"/>
      <c r="L175" s="142"/>
      <c r="M175" s="142"/>
      <c r="N175" s="142"/>
      <c r="O175" s="142"/>
      <c r="P175" s="142"/>
      <c r="Q175" s="142"/>
      <c r="R175" s="142"/>
    </row>
    <row r="176" spans="1:30" ht="13" customHeight="1" x14ac:dyDescent="0.3">
      <c r="A176" s="142"/>
      <c r="B176" s="142"/>
      <c r="C176" s="142"/>
      <c r="D176" s="142"/>
      <c r="E176" s="142"/>
      <c r="F176" s="142"/>
      <c r="G176" s="142"/>
      <c r="H176" s="142"/>
      <c r="I176" s="142"/>
      <c r="J176" s="142"/>
      <c r="K176" s="142"/>
      <c r="L176" s="142"/>
      <c r="M176" s="142"/>
      <c r="N176" s="142"/>
      <c r="O176" s="142"/>
      <c r="P176" s="142"/>
      <c r="Q176" s="142"/>
      <c r="R176" s="142"/>
    </row>
    <row r="177" spans="1:18" ht="13" customHeight="1" x14ac:dyDescent="0.3">
      <c r="A177" s="142"/>
      <c r="B177" s="142"/>
      <c r="C177" s="142"/>
      <c r="D177" s="142"/>
      <c r="E177" s="142"/>
      <c r="F177" s="142"/>
      <c r="G177" s="142"/>
      <c r="H177" s="142"/>
      <c r="I177" s="142"/>
      <c r="J177" s="142"/>
      <c r="K177" s="142"/>
      <c r="L177" s="142"/>
      <c r="M177" s="142"/>
      <c r="N177" s="142"/>
      <c r="O177" s="142"/>
      <c r="P177" s="142"/>
      <c r="Q177" s="142"/>
      <c r="R177" s="142"/>
    </row>
    <row r="178" spans="1:18" ht="13" customHeight="1" x14ac:dyDescent="0.3">
      <c r="A178" s="142"/>
      <c r="B178" s="142"/>
      <c r="C178" s="142"/>
      <c r="D178" s="142"/>
      <c r="E178" s="142"/>
      <c r="F178" s="142"/>
      <c r="G178" s="142"/>
      <c r="H178" s="142"/>
      <c r="I178" s="142"/>
      <c r="J178" s="142"/>
      <c r="K178" s="142"/>
      <c r="L178" s="142"/>
      <c r="M178" s="142"/>
      <c r="N178" s="142"/>
      <c r="O178" s="142"/>
      <c r="P178" s="142"/>
      <c r="Q178" s="142"/>
      <c r="R178" s="142"/>
    </row>
  </sheetData>
  <phoneticPr fontId="41" type="noConversion"/>
  <pageMargins left="0.7" right="0.7" top="0.75" bottom="0.75" header="0.3" footer="0.3"/>
  <pageSetup orientation="portrait" verticalDpi="598" r:id="rId1"/>
  <ignoredErrors>
    <ignoredError sqref="B9" unlockedFormula="1"/>
    <ignoredError sqref="B115:B116 B118:B119 B123" evalError="1"/>
  </ignoredErrors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1:DO1063"/>
  <sheetViews>
    <sheetView zoomScaleNormal="100" workbookViewId="0">
      <selection activeCell="G14" sqref="G14"/>
    </sheetView>
  </sheetViews>
  <sheetFormatPr defaultRowHeight="14" x14ac:dyDescent="0.25"/>
  <cols>
    <col min="3" max="3" width="11.81640625" customWidth="1"/>
    <col min="5" max="5" width="10.7265625" customWidth="1"/>
    <col min="7" max="7" width="12.453125" bestFit="1" customWidth="1"/>
    <col min="8" max="8" width="11.26953125" customWidth="1"/>
    <col min="9" max="9" width="7" customWidth="1"/>
    <col min="10" max="10" width="9.54296875" customWidth="1"/>
    <col min="11" max="11" width="11.81640625" customWidth="1"/>
    <col min="12" max="12" width="16.54296875" customWidth="1"/>
    <col min="13" max="13" width="11.26953125" customWidth="1"/>
    <col min="16" max="16" width="53.81640625" customWidth="1"/>
    <col min="22" max="22" width="32.81640625" customWidth="1"/>
    <col min="47" max="47" width="34.26953125" style="82" customWidth="1"/>
    <col min="48" max="48" width="12.81640625" customWidth="1"/>
    <col min="53" max="53" width="36.7265625" customWidth="1"/>
    <col min="60" max="60" width="30" customWidth="1"/>
    <col min="68" max="68" width="34" customWidth="1"/>
    <col min="69" max="73" width="42" customWidth="1"/>
    <col min="74" max="74" width="41.81640625" customWidth="1"/>
    <col min="75" max="76" width="38.7265625" customWidth="1"/>
    <col min="77" max="77" width="34.81640625" customWidth="1"/>
    <col min="78" max="78" width="10.54296875" customWidth="1"/>
    <col min="79" max="79" width="10.81640625" customWidth="1"/>
    <col min="80" max="80" width="33.453125" customWidth="1"/>
  </cols>
  <sheetData>
    <row r="1" spans="1:36" ht="15.5" x14ac:dyDescent="0.35">
      <c r="A1" s="211" t="s">
        <v>163</v>
      </c>
      <c r="B1" s="211"/>
      <c r="C1" s="211"/>
      <c r="D1" s="211"/>
      <c r="E1" s="211"/>
      <c r="F1" s="211"/>
      <c r="G1" s="211"/>
      <c r="H1" s="211"/>
      <c r="I1" s="211"/>
      <c r="J1" s="211"/>
      <c r="K1" s="211"/>
      <c r="L1" s="212"/>
      <c r="M1" s="212"/>
      <c r="N1" s="212"/>
      <c r="O1" s="43"/>
      <c r="P1" s="43"/>
      <c r="Q1" s="43"/>
      <c r="R1" s="43"/>
      <c r="S1" s="43"/>
      <c r="T1" s="43"/>
      <c r="U1" s="43"/>
      <c r="V1" s="43"/>
      <c r="W1" s="43"/>
      <c r="X1" s="43"/>
      <c r="Y1" s="43"/>
      <c r="Z1" s="43"/>
      <c r="AA1" s="43"/>
      <c r="AB1" s="43"/>
      <c r="AC1" s="43"/>
      <c r="AD1" s="43"/>
      <c r="AE1" s="43"/>
      <c r="AF1" s="43"/>
      <c r="AG1" s="43"/>
      <c r="AH1" s="43"/>
      <c r="AI1" s="43"/>
      <c r="AJ1" s="43"/>
    </row>
    <row r="2" spans="1:36" ht="15.5" x14ac:dyDescent="0.35">
      <c r="A2" s="213" t="s">
        <v>164</v>
      </c>
      <c r="B2" s="213"/>
      <c r="C2" s="213"/>
      <c r="D2" s="213"/>
      <c r="E2" s="213"/>
      <c r="F2" s="213"/>
      <c r="G2" s="213"/>
      <c r="H2" s="213"/>
      <c r="I2" s="213"/>
      <c r="J2" s="213"/>
      <c r="K2" s="213"/>
      <c r="L2" s="212"/>
      <c r="M2" s="212"/>
      <c r="N2" s="212"/>
      <c r="O2" s="43"/>
      <c r="P2" s="43"/>
      <c r="Q2" s="43"/>
      <c r="R2" s="43"/>
      <c r="S2" s="43"/>
      <c r="T2" s="43"/>
      <c r="U2" s="43"/>
      <c r="V2" s="43"/>
      <c r="W2" s="43"/>
      <c r="X2" s="43"/>
      <c r="Y2" s="43"/>
      <c r="Z2" s="43"/>
      <c r="AA2" s="43"/>
      <c r="AB2" s="43"/>
      <c r="AC2" s="43"/>
      <c r="AD2" s="43"/>
      <c r="AE2" s="43"/>
      <c r="AF2" s="43"/>
      <c r="AG2" s="43"/>
      <c r="AH2" s="43"/>
      <c r="AI2" s="43"/>
      <c r="AJ2" s="43"/>
    </row>
    <row r="3" spans="1:36" ht="14.5" thickBot="1" x14ac:dyDescent="0.3">
      <c r="A3" s="43"/>
      <c r="B3" s="43"/>
      <c r="C3" s="43"/>
      <c r="D3" s="43"/>
      <c r="E3" s="43"/>
      <c r="F3" s="43"/>
      <c r="G3" s="43"/>
      <c r="H3" s="43"/>
      <c r="I3" s="43"/>
      <c r="J3" s="43"/>
      <c r="K3" s="43"/>
      <c r="L3" s="43"/>
      <c r="M3" s="43"/>
      <c r="N3" s="43"/>
      <c r="O3" s="133"/>
      <c r="P3" s="133"/>
      <c r="Q3" s="133"/>
      <c r="R3" s="43"/>
      <c r="S3" s="43"/>
      <c r="T3" s="43"/>
      <c r="U3" s="43"/>
      <c r="V3" s="43"/>
      <c r="W3" s="43"/>
      <c r="X3" s="43"/>
      <c r="Y3" s="43"/>
      <c r="Z3" s="43"/>
      <c r="AA3" s="43"/>
      <c r="AB3" s="43"/>
      <c r="AC3" s="43"/>
      <c r="AD3" s="43"/>
      <c r="AE3" s="43"/>
      <c r="AF3" s="43"/>
      <c r="AG3" s="43"/>
      <c r="AH3" s="43"/>
      <c r="AI3" s="43"/>
      <c r="AJ3" s="43"/>
    </row>
    <row r="4" spans="1:36" ht="15" thickBot="1" x14ac:dyDescent="0.35">
      <c r="A4" s="214" t="s">
        <v>165</v>
      </c>
      <c r="B4" s="221"/>
      <c r="C4" s="221"/>
      <c r="D4" s="221"/>
      <c r="E4" s="222"/>
      <c r="F4" s="43"/>
      <c r="G4" s="43"/>
      <c r="H4" s="43"/>
      <c r="I4" s="43"/>
      <c r="J4" s="214" t="s">
        <v>166</v>
      </c>
      <c r="K4" s="215"/>
      <c r="L4" s="215"/>
      <c r="M4" s="215"/>
      <c r="N4" s="216"/>
      <c r="O4" s="133"/>
      <c r="P4" s="133"/>
      <c r="Q4" s="133"/>
      <c r="R4" s="43"/>
      <c r="S4" s="43"/>
      <c r="T4" s="43"/>
      <c r="U4" s="43"/>
      <c r="V4" s="43"/>
      <c r="W4" s="43"/>
      <c r="X4" s="43"/>
      <c r="Y4" s="43"/>
      <c r="Z4" s="43"/>
      <c r="AA4" s="43"/>
      <c r="AB4" s="43"/>
      <c r="AC4" s="43"/>
      <c r="AD4" s="43"/>
      <c r="AE4" s="43"/>
      <c r="AF4" s="43"/>
      <c r="AG4" s="43"/>
      <c r="AH4" s="43"/>
      <c r="AI4" s="43"/>
      <c r="AJ4" s="43"/>
    </row>
    <row r="5" spans="1:36" ht="15.5" x14ac:dyDescent="0.4">
      <c r="A5" s="58"/>
      <c r="B5" s="59"/>
      <c r="C5" s="59"/>
      <c r="D5" s="59"/>
      <c r="E5" s="60"/>
      <c r="F5" s="43"/>
      <c r="G5" s="43"/>
      <c r="H5" s="43"/>
      <c r="I5" s="43"/>
      <c r="J5" s="217" t="s">
        <v>264</v>
      </c>
      <c r="K5" s="218"/>
      <c r="L5" s="219"/>
      <c r="M5" s="112">
        <v>0.3</v>
      </c>
      <c r="N5" s="113" t="s">
        <v>8</v>
      </c>
      <c r="O5" s="133"/>
      <c r="P5" s="133"/>
      <c r="Q5" s="133"/>
      <c r="R5" s="43"/>
      <c r="S5" s="43"/>
      <c r="T5" s="43"/>
      <c r="U5" s="43"/>
      <c r="V5" s="43"/>
      <c r="W5" s="43"/>
      <c r="X5" s="43"/>
      <c r="Y5" s="43"/>
      <c r="Z5" s="43"/>
      <c r="AA5" s="43"/>
      <c r="AB5" s="43"/>
      <c r="AC5" s="43"/>
      <c r="AD5" s="43"/>
      <c r="AE5" s="43"/>
      <c r="AF5" s="43"/>
      <c r="AG5" s="43"/>
      <c r="AH5" s="43"/>
      <c r="AI5" s="43"/>
      <c r="AJ5" s="43"/>
    </row>
    <row r="6" spans="1:36" ht="15.5" x14ac:dyDescent="0.4">
      <c r="A6" s="58"/>
      <c r="B6" s="59"/>
      <c r="C6" s="59"/>
      <c r="D6" s="59"/>
      <c r="E6" s="60"/>
      <c r="F6" s="43"/>
      <c r="G6" s="43"/>
      <c r="H6" s="43"/>
      <c r="I6" s="43"/>
      <c r="J6" s="114" t="s">
        <v>265</v>
      </c>
      <c r="K6" s="115"/>
      <c r="L6" s="115"/>
      <c r="M6" s="112">
        <v>0.5</v>
      </c>
      <c r="N6" s="116" t="s">
        <v>5</v>
      </c>
      <c r="O6" s="133"/>
      <c r="P6" s="133"/>
      <c r="Q6" s="133"/>
      <c r="R6" s="43"/>
      <c r="S6" s="43"/>
      <c r="T6" s="43"/>
      <c r="U6" s="43"/>
      <c r="V6" s="43"/>
      <c r="W6" s="43"/>
      <c r="X6" s="43"/>
      <c r="Y6" s="43"/>
      <c r="Z6" s="43"/>
      <c r="AA6" s="43"/>
      <c r="AB6" s="43"/>
      <c r="AC6" s="43"/>
      <c r="AD6" s="43"/>
      <c r="AE6" s="43"/>
      <c r="AF6" s="43"/>
      <c r="AG6" s="43"/>
      <c r="AH6" s="43"/>
      <c r="AI6" s="43"/>
      <c r="AJ6" s="43"/>
    </row>
    <row r="7" spans="1:36" x14ac:dyDescent="0.25">
      <c r="A7" s="58"/>
      <c r="B7" s="59"/>
      <c r="C7" s="59"/>
      <c r="D7" s="59"/>
      <c r="E7" s="60"/>
      <c r="F7" s="43"/>
      <c r="G7" s="43"/>
      <c r="H7" s="43"/>
      <c r="I7" s="43"/>
      <c r="J7" s="114" t="s">
        <v>169</v>
      </c>
      <c r="K7" s="115"/>
      <c r="L7" s="115"/>
      <c r="M7" s="112">
        <f>+Rt*(Vin-Vout)/(Lout*0.000001)</f>
        <v>308823.52941176476</v>
      </c>
      <c r="N7" s="116" t="s">
        <v>170</v>
      </c>
      <c r="O7" s="133"/>
      <c r="P7" s="133"/>
      <c r="Q7" s="133"/>
      <c r="R7" s="43"/>
      <c r="S7" s="43"/>
      <c r="T7" s="43"/>
      <c r="U7" s="43"/>
      <c r="V7" s="43"/>
      <c r="W7" s="43"/>
      <c r="X7" s="43"/>
      <c r="Y7" s="43"/>
      <c r="Z7" s="43"/>
      <c r="AA7" s="43"/>
      <c r="AB7" s="43"/>
      <c r="AC7" s="43"/>
      <c r="AD7" s="43"/>
      <c r="AE7" s="43"/>
      <c r="AF7" s="43"/>
      <c r="AG7" s="43"/>
      <c r="AH7" s="43"/>
      <c r="AI7" s="43"/>
      <c r="AJ7" s="43"/>
    </row>
    <row r="8" spans="1:36" ht="17" thickBot="1" x14ac:dyDescent="0.45">
      <c r="A8" s="58"/>
      <c r="B8" s="59"/>
      <c r="C8" s="59"/>
      <c r="D8" s="59"/>
      <c r="E8" s="60"/>
      <c r="F8" s="43"/>
      <c r="G8" s="43"/>
      <c r="H8" s="43"/>
      <c r="I8" s="43"/>
      <c r="J8" s="100" t="s">
        <v>260</v>
      </c>
      <c r="K8" s="39"/>
      <c r="L8" s="39"/>
      <c r="M8" s="101">
        <f>1+Se*C13/(Sn)</f>
        <v>1.6476190476190475</v>
      </c>
      <c r="N8" s="102" t="s">
        <v>170</v>
      </c>
      <c r="O8" s="133"/>
      <c r="P8" s="133"/>
      <c r="Q8" s="133"/>
      <c r="R8" s="43"/>
      <c r="S8" s="43"/>
      <c r="T8" s="43"/>
      <c r="U8" s="43"/>
      <c r="V8" s="43"/>
      <c r="W8" s="43"/>
      <c r="X8" s="43"/>
      <c r="Y8" s="43"/>
      <c r="Z8" s="43"/>
      <c r="AA8" s="43"/>
      <c r="AB8" s="43"/>
      <c r="AC8" s="43"/>
      <c r="AD8" s="43"/>
      <c r="AE8" s="43"/>
      <c r="AF8" s="43"/>
      <c r="AG8" s="43"/>
      <c r="AH8" s="43"/>
      <c r="AI8" s="43"/>
      <c r="AJ8" s="43"/>
    </row>
    <row r="9" spans="1:36" ht="14.5" x14ac:dyDescent="0.3">
      <c r="A9" s="61"/>
      <c r="B9" s="40" t="s">
        <v>173</v>
      </c>
      <c r="C9" s="56">
        <f>SQRT(1/(Lout*0.000001*ncap*cap*0.000001*(Rout+esr*0.001/ncap)/(Rout+DCR*0.001)))</f>
        <v>58303.919291999344</v>
      </c>
      <c r="D9" s="53" t="s">
        <v>273</v>
      </c>
      <c r="E9" s="61"/>
      <c r="F9" s="43"/>
      <c r="G9" s="43"/>
      <c r="H9" s="43"/>
      <c r="I9" s="43"/>
      <c r="J9" s="38" t="s">
        <v>272</v>
      </c>
      <c r="K9" s="39"/>
      <c r="L9" s="39"/>
      <c r="M9" s="101">
        <f>Se*C13/(Rt*(Vout)/(Lout*0.000001))</f>
        <v>0.90666666666666651</v>
      </c>
      <c r="N9" s="44"/>
      <c r="O9" s="133"/>
      <c r="P9" s="133"/>
      <c r="Q9" s="133"/>
      <c r="R9" s="43"/>
      <c r="S9" s="43"/>
      <c r="T9" s="43"/>
      <c r="U9" s="43"/>
      <c r="V9" s="43"/>
      <c r="W9" s="43"/>
      <c r="X9" s="43"/>
      <c r="Y9" s="43"/>
      <c r="Z9" s="43"/>
      <c r="AA9" s="43"/>
      <c r="AB9" s="43"/>
      <c r="AC9" s="43"/>
      <c r="AD9" s="43"/>
      <c r="AE9" s="43"/>
      <c r="AF9" s="43"/>
      <c r="AG9" s="43"/>
      <c r="AH9" s="43"/>
      <c r="AI9" s="43"/>
      <c r="AJ9" s="43"/>
    </row>
    <row r="10" spans="1:36" ht="14" customHeight="1" x14ac:dyDescent="0.35">
      <c r="A10" s="62"/>
      <c r="B10" s="41" t="s">
        <v>174</v>
      </c>
      <c r="C10" s="49">
        <f>1/(2*PI()*cap*0.000001*esr*0.001)</f>
        <v>2411438.5316953841</v>
      </c>
      <c r="D10" s="54" t="s">
        <v>130</v>
      </c>
      <c r="E10" s="62"/>
      <c r="F10" s="43"/>
      <c r="G10" s="43"/>
      <c r="H10" s="43"/>
      <c r="I10" s="43"/>
      <c r="J10" s="100" t="s">
        <v>175</v>
      </c>
      <c r="K10" s="39"/>
      <c r="L10" s="39"/>
      <c r="M10" s="104">
        <v>0.8</v>
      </c>
      <c r="N10" s="102" t="s">
        <v>5</v>
      </c>
      <c r="O10" s="225" t="s">
        <v>167</v>
      </c>
      <c r="P10" s="225"/>
      <c r="Q10" s="133"/>
      <c r="R10" s="43"/>
      <c r="S10" s="43"/>
      <c r="T10" s="43"/>
      <c r="U10" s="43"/>
      <c r="V10" s="43"/>
      <c r="W10" s="43"/>
      <c r="X10" s="43"/>
      <c r="Y10" s="43"/>
      <c r="Z10" s="43"/>
      <c r="AA10" s="43"/>
      <c r="AB10" s="43"/>
      <c r="AC10" s="43"/>
      <c r="AD10" s="43"/>
      <c r="AE10" s="43"/>
      <c r="AF10" s="43"/>
      <c r="AG10" s="43"/>
      <c r="AH10" s="43"/>
      <c r="AI10" s="43"/>
      <c r="AJ10" s="43"/>
    </row>
    <row r="11" spans="1:36" ht="14" customHeight="1" thickBot="1" x14ac:dyDescent="0.4">
      <c r="A11" s="62"/>
      <c r="B11" s="41" t="s">
        <v>177</v>
      </c>
      <c r="C11" s="49">
        <f>1/(2*PI()*cap*0.000001*ncap*(esr*0.001/ncap+Vout/Iout))</f>
        <v>2168.3431696731395</v>
      </c>
      <c r="D11" s="54" t="s">
        <v>130</v>
      </c>
      <c r="E11" s="62"/>
      <c r="F11" s="43"/>
      <c r="G11" s="43"/>
      <c r="H11" s="43"/>
      <c r="I11" s="43"/>
      <c r="J11" s="127" t="s">
        <v>289</v>
      </c>
      <c r="K11" s="66"/>
      <c r="L11" s="66"/>
      <c r="M11" s="49">
        <v>4.0000000000000003E-5</v>
      </c>
      <c r="N11" s="45" t="s">
        <v>290</v>
      </c>
      <c r="O11" s="225"/>
      <c r="P11" s="225"/>
      <c r="Q11" s="133"/>
      <c r="R11" s="43"/>
      <c r="S11" s="43"/>
      <c r="T11" s="43"/>
      <c r="U11" s="43"/>
      <c r="V11" s="43"/>
      <c r="W11" s="43"/>
      <c r="X11" s="43"/>
      <c r="Y11" s="43"/>
      <c r="Z11" s="43"/>
      <c r="AA11" s="43"/>
      <c r="AB11" s="43"/>
      <c r="AC11" s="43"/>
      <c r="AD11" s="43"/>
      <c r="AE11" s="43"/>
      <c r="AF11" s="43"/>
      <c r="AG11" s="43"/>
      <c r="AH11" s="43"/>
      <c r="AI11" s="43"/>
      <c r="AJ11" s="43"/>
    </row>
    <row r="12" spans="1:36" ht="14" customHeight="1" thickBot="1" x14ac:dyDescent="0.3">
      <c r="A12" s="62"/>
      <c r="B12" s="41" t="s">
        <v>179</v>
      </c>
      <c r="C12" s="57">
        <f>1/(Gdo*(cap*0.000001*esr*0.001*Vout/(Iout*(Vout/Iout+DCR*0.001))+(Vout/Iout+esr*0.001)*cap*0.000001*ncap*DCR*0.001/(Vout/Iout+DCR*0.001)+Lout*0.000001/(Vout/Iout+DCR*0.001)))</f>
        <v>3.1929466319713846</v>
      </c>
      <c r="D12" s="54"/>
      <c r="E12" s="62"/>
      <c r="F12" s="43"/>
      <c r="G12" s="43"/>
      <c r="H12" s="43"/>
      <c r="I12" s="43"/>
      <c r="J12" s="220" t="s">
        <v>280</v>
      </c>
      <c r="K12" s="215"/>
      <c r="L12" s="216"/>
      <c r="M12" s="220" t="s">
        <v>180</v>
      </c>
      <c r="N12" s="216"/>
      <c r="O12" s="225"/>
      <c r="P12" s="225"/>
      <c r="Q12" s="133"/>
      <c r="R12" s="43"/>
      <c r="S12" s="43"/>
      <c r="T12" s="43"/>
      <c r="U12" s="43"/>
      <c r="V12" s="43"/>
      <c r="W12" s="43"/>
      <c r="X12" s="43"/>
      <c r="Y12" s="43"/>
      <c r="Z12" s="43"/>
      <c r="AA12" s="43"/>
      <c r="AB12" s="43"/>
      <c r="AC12" s="43"/>
      <c r="AD12" s="43"/>
      <c r="AE12" s="43"/>
      <c r="AF12" s="43"/>
      <c r="AG12" s="43"/>
      <c r="AH12" s="43"/>
      <c r="AI12" s="43"/>
      <c r="AJ12" s="43"/>
    </row>
    <row r="13" spans="1:36" ht="14" customHeight="1" thickBot="1" x14ac:dyDescent="0.35">
      <c r="A13" s="63"/>
      <c r="B13" s="42" t="s">
        <v>181</v>
      </c>
      <c r="C13" s="50">
        <f>+Fs*1000</f>
        <v>400000</v>
      </c>
      <c r="D13" s="55" t="s">
        <v>130</v>
      </c>
      <c r="E13" s="63"/>
      <c r="F13" s="43"/>
      <c r="G13" s="43"/>
      <c r="H13" s="43"/>
      <c r="I13" s="43"/>
      <c r="J13" s="88" t="s">
        <v>182</v>
      </c>
      <c r="K13" s="103">
        <v>0.1</v>
      </c>
      <c r="L13" s="36" t="s">
        <v>183</v>
      </c>
      <c r="M13" s="200">
        <f>+C13*K13</f>
        <v>40000</v>
      </c>
      <c r="N13" s="46" t="s">
        <v>130</v>
      </c>
      <c r="O13" s="223" t="s">
        <v>168</v>
      </c>
      <c r="P13" s="224"/>
      <c r="Q13" s="133"/>
      <c r="R13" s="43"/>
      <c r="S13" s="43"/>
      <c r="T13" s="43"/>
      <c r="U13" s="43"/>
      <c r="V13" s="43"/>
      <c r="W13" s="43"/>
      <c r="X13" s="43"/>
      <c r="Y13" s="43"/>
      <c r="Z13" s="43"/>
      <c r="AA13" s="43"/>
      <c r="AB13" s="43"/>
      <c r="AC13" s="43"/>
      <c r="AD13" s="43"/>
      <c r="AE13" s="43"/>
      <c r="AF13" s="43"/>
      <c r="AG13" s="43"/>
      <c r="AH13" s="43"/>
      <c r="AI13" s="43"/>
      <c r="AJ13" s="43"/>
    </row>
    <row r="14" spans="1:36" ht="14" customHeight="1" thickBot="1" x14ac:dyDescent="0.35">
      <c r="A14" s="43"/>
      <c r="B14" s="43"/>
      <c r="C14" s="43"/>
      <c r="D14" s="43"/>
      <c r="E14" s="43"/>
      <c r="F14" s="43"/>
      <c r="G14" s="43"/>
      <c r="H14" s="43"/>
      <c r="I14" s="43"/>
      <c r="J14" s="95" t="s">
        <v>271</v>
      </c>
      <c r="K14" s="90">
        <f>2*PI()*Fc*cap*ncap*0.000001*Rt*_Rfb1</f>
        <v>331752.18421908212</v>
      </c>
      <c r="L14" s="91" t="s">
        <v>184</v>
      </c>
      <c r="M14" s="87">
        <v>320000</v>
      </c>
      <c r="N14" s="47" t="s">
        <v>184</v>
      </c>
      <c r="O14" s="223" t="s">
        <v>171</v>
      </c>
      <c r="P14" s="224"/>
      <c r="Q14" s="133"/>
      <c r="R14" s="43"/>
      <c r="S14" s="43"/>
      <c r="T14" s="43"/>
      <c r="U14" s="43"/>
      <c r="V14" s="43"/>
      <c r="W14" s="43"/>
      <c r="X14" s="43"/>
      <c r="Y14" s="43"/>
      <c r="Z14" s="43"/>
      <c r="AA14" s="43"/>
      <c r="AB14" s="43"/>
      <c r="AC14" s="43"/>
      <c r="AD14" s="43"/>
      <c r="AE14" s="43"/>
      <c r="AF14" s="43"/>
      <c r="AG14" s="43"/>
      <c r="AH14" s="43"/>
      <c r="AI14" s="43"/>
      <c r="AJ14" s="43"/>
    </row>
    <row r="15" spans="1:36" ht="15" thickBot="1" x14ac:dyDescent="0.35">
      <c r="A15" s="214" t="s">
        <v>185</v>
      </c>
      <c r="B15" s="221"/>
      <c r="C15" s="221"/>
      <c r="D15" s="222"/>
      <c r="E15" s="78"/>
      <c r="F15" s="79"/>
      <c r="G15" s="78"/>
      <c r="H15" s="43"/>
      <c r="I15" s="43"/>
      <c r="J15" s="96" t="s">
        <v>186</v>
      </c>
      <c r="K15" s="86">
        <f>1/(20*PI()*K14*Fo)</f>
        <v>2.2124747575094177E-11</v>
      </c>
      <c r="L15" s="92" t="s">
        <v>187</v>
      </c>
      <c r="M15" s="87">
        <v>5.0000000000000002E-11</v>
      </c>
      <c r="N15" s="47" t="s">
        <v>187</v>
      </c>
      <c r="O15" s="223" t="s">
        <v>172</v>
      </c>
      <c r="P15" s="224"/>
      <c r="Q15" s="133"/>
      <c r="R15" s="43"/>
      <c r="S15" s="43"/>
      <c r="T15" s="43"/>
      <c r="U15" s="43"/>
      <c r="V15" s="43"/>
      <c r="W15" s="43"/>
      <c r="X15" s="43"/>
      <c r="Y15" s="43"/>
      <c r="Z15" s="43"/>
      <c r="AA15" s="43"/>
      <c r="AB15" s="43"/>
      <c r="AC15" s="43"/>
      <c r="AD15" s="43"/>
      <c r="AE15" s="43"/>
      <c r="AF15" s="43"/>
      <c r="AG15" s="43"/>
      <c r="AH15" s="43"/>
      <c r="AI15" s="43"/>
      <c r="AJ15" s="43"/>
    </row>
    <row r="16" spans="1:36" ht="15" thickBot="1" x14ac:dyDescent="0.35">
      <c r="A16" s="203" t="s">
        <v>268</v>
      </c>
      <c r="B16" s="204"/>
      <c r="C16" s="99">
        <v>100000</v>
      </c>
      <c r="D16" s="53" t="s">
        <v>8</v>
      </c>
      <c r="E16" s="77"/>
      <c r="F16" s="77"/>
      <c r="G16" s="77"/>
      <c r="H16" s="43"/>
      <c r="I16" s="43"/>
      <c r="J16" s="97" t="s">
        <v>188</v>
      </c>
      <c r="K16" s="93">
        <f>1/(10*PI()*K14*C13*0.5)</f>
        <v>4.7974045285197819E-13</v>
      </c>
      <c r="L16" s="94" t="s">
        <v>187</v>
      </c>
      <c r="M16" s="87">
        <v>1E-13</v>
      </c>
      <c r="N16" s="47" t="s">
        <v>187</v>
      </c>
      <c r="O16" s="223"/>
      <c r="P16" s="224"/>
      <c r="Q16" s="133"/>
      <c r="R16" s="43"/>
      <c r="S16" s="43"/>
      <c r="T16" s="43"/>
      <c r="U16" s="43"/>
      <c r="V16" s="43"/>
      <c r="W16" s="43"/>
      <c r="X16" s="43"/>
      <c r="Y16" s="43"/>
      <c r="Z16" s="43"/>
      <c r="AA16" s="43"/>
      <c r="AB16" s="43"/>
      <c r="AC16" s="43"/>
      <c r="AD16" s="43"/>
      <c r="AE16" s="43"/>
      <c r="AF16" s="43"/>
      <c r="AG16" s="43"/>
      <c r="AH16" s="43"/>
      <c r="AI16" s="43"/>
      <c r="AJ16" s="43"/>
    </row>
    <row r="17" spans="1:36" ht="14.5" x14ac:dyDescent="0.3">
      <c r="A17" s="205" t="s">
        <v>269</v>
      </c>
      <c r="B17" s="206"/>
      <c r="C17" s="70">
        <f>+_Rfb1*Vfb/(Vout-Vfb)</f>
        <v>19047.619047619046</v>
      </c>
      <c r="D17" s="54" t="s">
        <v>8</v>
      </c>
      <c r="E17" s="77"/>
      <c r="F17" s="77"/>
      <c r="G17" s="77"/>
      <c r="H17" s="43"/>
      <c r="I17" s="43"/>
      <c r="J17" s="58" t="s">
        <v>189</v>
      </c>
      <c r="K17" s="89">
        <f>1/(2*PI()*K14*K15)</f>
        <v>21683.431696731393</v>
      </c>
      <c r="L17" s="47" t="s">
        <v>130</v>
      </c>
      <c r="M17" s="51">
        <f>1/(2*PI()*M14*M15)</f>
        <v>9947.183943243459</v>
      </c>
      <c r="N17" s="46" t="s">
        <v>130</v>
      </c>
      <c r="O17" s="132" t="s">
        <v>176</v>
      </c>
      <c r="P17" s="133"/>
      <c r="Q17" s="133"/>
      <c r="R17" s="43"/>
      <c r="S17" s="43"/>
      <c r="T17" s="43"/>
      <c r="U17" s="43"/>
      <c r="V17" s="43"/>
      <c r="W17" s="43"/>
      <c r="X17" s="43"/>
      <c r="Y17" s="43"/>
      <c r="Z17" s="43"/>
      <c r="AA17" s="43"/>
      <c r="AB17" s="43"/>
      <c r="AC17" s="43"/>
      <c r="AD17" s="43"/>
      <c r="AE17" s="43"/>
      <c r="AF17" s="43"/>
      <c r="AG17" s="43"/>
      <c r="AH17" s="43"/>
      <c r="AI17" s="43"/>
      <c r="AJ17" s="43"/>
    </row>
    <row r="18" spans="1:36" ht="15.75" customHeight="1" thickBot="1" x14ac:dyDescent="0.35">
      <c r="A18" s="207" t="s">
        <v>270</v>
      </c>
      <c r="B18" s="208"/>
      <c r="C18" s="120">
        <v>1E-10</v>
      </c>
      <c r="D18" s="121" t="s">
        <v>187</v>
      </c>
      <c r="E18" s="59"/>
      <c r="F18" s="43"/>
      <c r="G18" s="43"/>
      <c r="H18" s="43"/>
      <c r="I18" s="43"/>
      <c r="J18" s="64" t="s">
        <v>190</v>
      </c>
      <c r="K18" s="52">
        <f>1/(2*PI()*K14*K16)</f>
        <v>1000000</v>
      </c>
      <c r="L18" s="47" t="s">
        <v>130</v>
      </c>
      <c r="M18" s="105">
        <f>1/(2*PI()*M14*M16)</f>
        <v>4973591.9716217294</v>
      </c>
      <c r="N18" s="47" t="s">
        <v>130</v>
      </c>
      <c r="O18" s="132" t="s">
        <v>178</v>
      </c>
      <c r="P18" s="131"/>
      <c r="Q18" s="133"/>
      <c r="R18" s="43"/>
      <c r="S18" s="43"/>
      <c r="T18" s="43"/>
      <c r="U18" s="43"/>
      <c r="V18" s="43"/>
      <c r="W18" s="43"/>
      <c r="X18" s="43"/>
      <c r="Y18" s="43"/>
      <c r="Z18" s="43"/>
      <c r="AA18" s="43"/>
      <c r="AB18" s="43"/>
      <c r="AC18" s="43"/>
      <c r="AD18" s="43"/>
      <c r="AE18" s="43"/>
      <c r="AF18" s="43"/>
      <c r="AG18" s="43"/>
      <c r="AH18" s="43"/>
      <c r="AI18" s="43"/>
      <c r="AJ18" s="43"/>
    </row>
    <row r="19" spans="1:36" ht="15.75" customHeight="1" x14ac:dyDescent="0.35">
      <c r="A19" s="209" t="s">
        <v>191</v>
      </c>
      <c r="B19" s="209"/>
      <c r="C19" s="190">
        <v>1.2999999999999999E-12</v>
      </c>
      <c r="D19" s="191"/>
      <c r="E19" s="192"/>
      <c r="F19" s="193"/>
      <c r="G19" s="193"/>
      <c r="H19" s="193"/>
      <c r="I19" s="193"/>
      <c r="J19" s="193"/>
      <c r="K19" s="193"/>
      <c r="L19" s="109" t="s">
        <v>192</v>
      </c>
      <c r="M19" s="106">
        <f>LOOKUP(1,CG64:CG264,B49:B249)/1000</f>
        <v>29.512092266663853</v>
      </c>
      <c r="N19" s="46" t="s">
        <v>2</v>
      </c>
      <c r="O19" s="131"/>
      <c r="P19" s="131"/>
      <c r="Q19" s="133"/>
      <c r="R19" s="43"/>
      <c r="S19" s="43"/>
      <c r="T19" s="43"/>
      <c r="U19" s="43"/>
      <c r="V19" s="43"/>
      <c r="W19" s="43"/>
      <c r="X19" s="43"/>
      <c r="Y19" s="43"/>
      <c r="Z19" s="43"/>
      <c r="AA19" s="43"/>
      <c r="AB19" s="43"/>
      <c r="AC19" s="43"/>
      <c r="AD19" s="43"/>
      <c r="AE19" s="43"/>
      <c r="AF19" s="43"/>
      <c r="AG19" s="43"/>
      <c r="AH19" s="43"/>
      <c r="AI19" s="43"/>
      <c r="AJ19" s="43"/>
    </row>
    <row r="20" spans="1:36" ht="15.5" x14ac:dyDescent="0.35">
      <c r="A20" s="209" t="s">
        <v>252</v>
      </c>
      <c r="B20" s="209"/>
      <c r="C20" s="194">
        <v>6000</v>
      </c>
      <c r="D20" s="191" t="s">
        <v>8</v>
      </c>
      <c r="E20" s="195">
        <f>+_R3+10000</f>
        <v>16000</v>
      </c>
      <c r="F20" s="193"/>
      <c r="G20" s="193"/>
      <c r="H20" s="193"/>
      <c r="I20" s="193"/>
      <c r="J20" s="193"/>
      <c r="K20" s="193"/>
      <c r="L20" s="110" t="s">
        <v>193</v>
      </c>
      <c r="M20" s="107">
        <f>LOOKUP(1,CG64:CG264,CE64:CE264)</f>
        <v>114.81406060358239</v>
      </c>
      <c r="N20" s="47" t="s">
        <v>194</v>
      </c>
      <c r="O20" s="131" t="s">
        <v>309</v>
      </c>
      <c r="P20" s="131"/>
      <c r="Q20" s="133"/>
      <c r="R20" s="43"/>
      <c r="S20" s="43"/>
      <c r="T20" s="43"/>
      <c r="U20" s="43"/>
      <c r="V20" s="43"/>
      <c r="W20" s="43"/>
      <c r="X20" s="43"/>
      <c r="Y20" s="43"/>
      <c r="Z20" s="43"/>
      <c r="AA20" s="43"/>
      <c r="AB20" s="43"/>
      <c r="AC20" s="43"/>
      <c r="AD20" s="43"/>
      <c r="AE20" s="43"/>
      <c r="AF20" s="43"/>
      <c r="AG20" s="43"/>
      <c r="AH20" s="43"/>
      <c r="AI20" s="43"/>
      <c r="AJ20" s="43"/>
    </row>
    <row r="21" spans="1:36" ht="15.75" customHeight="1" thickBot="1" x14ac:dyDescent="0.4">
      <c r="A21" s="195"/>
      <c r="B21" s="195"/>
      <c r="C21" s="195"/>
      <c r="D21" s="195"/>
      <c r="E21" s="195"/>
      <c r="F21" s="195"/>
      <c r="G21" s="195"/>
      <c r="H21" s="195"/>
      <c r="I21" s="196"/>
      <c r="J21" s="197"/>
      <c r="K21" s="196"/>
      <c r="L21" s="111" t="s">
        <v>262</v>
      </c>
      <c r="M21" s="108">
        <f>LOOKUP(-0.5,CH64:CH265,CD64:CD265)</f>
        <v>-12.280883994723613</v>
      </c>
      <c r="N21" s="48" t="s">
        <v>261</v>
      </c>
      <c r="O21" s="131" t="s">
        <v>310</v>
      </c>
      <c r="P21" s="131"/>
      <c r="Q21" s="133"/>
      <c r="R21" s="43"/>
      <c r="S21" s="43"/>
      <c r="T21" s="43"/>
      <c r="U21" s="43"/>
      <c r="V21" s="43"/>
      <c r="W21" s="43"/>
      <c r="X21" s="43"/>
      <c r="Y21" s="43"/>
      <c r="Z21" s="43"/>
      <c r="AA21" s="43"/>
      <c r="AB21" s="43"/>
      <c r="AC21" s="43"/>
      <c r="AD21" s="43"/>
      <c r="AE21" s="43"/>
      <c r="AF21" s="43"/>
      <c r="AG21" s="43"/>
      <c r="AH21" s="43"/>
      <c r="AI21" s="43"/>
      <c r="AJ21" s="43"/>
    </row>
    <row r="22" spans="1:36" ht="15" customHeight="1" x14ac:dyDescent="0.25">
      <c r="A22" s="195"/>
      <c r="B22" s="195"/>
      <c r="C22" s="195"/>
      <c r="D22" s="195"/>
      <c r="E22" s="195"/>
      <c r="F22" s="195"/>
      <c r="G22" s="195"/>
      <c r="H22" s="195"/>
      <c r="I22" s="195"/>
      <c r="J22" s="195"/>
      <c r="K22" s="195"/>
      <c r="L22" s="67"/>
      <c r="M22" s="67"/>
      <c r="N22" s="67"/>
      <c r="O22" s="131" t="s">
        <v>311</v>
      </c>
      <c r="P22" s="131"/>
      <c r="Q22" s="133"/>
      <c r="R22" s="43"/>
      <c r="S22" s="43"/>
      <c r="T22" s="43"/>
      <c r="U22" s="43"/>
      <c r="V22" s="43"/>
      <c r="W22" s="43"/>
      <c r="X22" s="43"/>
      <c r="Y22" s="43"/>
      <c r="Z22" s="43"/>
      <c r="AA22" s="43"/>
      <c r="AB22" s="43"/>
      <c r="AC22" s="43"/>
      <c r="AD22" s="43"/>
      <c r="AE22" s="43"/>
      <c r="AF22" s="43"/>
      <c r="AG22" s="43"/>
      <c r="AH22" s="43"/>
      <c r="AI22" s="43"/>
      <c r="AJ22" s="43"/>
    </row>
    <row r="23" spans="1:36" ht="20.25" customHeight="1" x14ac:dyDescent="0.25">
      <c r="A23" s="198"/>
      <c r="B23" s="198"/>
      <c r="C23" s="198"/>
      <c r="D23" s="198"/>
      <c r="E23" s="198"/>
      <c r="F23" s="198"/>
      <c r="G23" s="198"/>
      <c r="H23" s="198"/>
      <c r="I23" s="198"/>
      <c r="J23" s="198"/>
      <c r="K23" s="198"/>
      <c r="L23" s="136"/>
      <c r="M23" s="136"/>
      <c r="N23" s="136"/>
      <c r="O23" s="131"/>
      <c r="P23" s="131"/>
      <c r="Q23" s="133"/>
      <c r="R23" s="43"/>
      <c r="S23" s="43"/>
      <c r="T23" s="43"/>
      <c r="U23" s="43"/>
      <c r="V23" s="43"/>
      <c r="W23" s="43"/>
      <c r="X23" s="43"/>
      <c r="Y23" s="43"/>
      <c r="Z23" s="43"/>
      <c r="AA23" s="43"/>
      <c r="AB23" s="43"/>
      <c r="AC23" s="43"/>
      <c r="AD23" s="43"/>
      <c r="AE23" s="43"/>
      <c r="AF23" s="43"/>
      <c r="AG23" s="43"/>
      <c r="AH23" s="43"/>
      <c r="AI23" s="43"/>
      <c r="AJ23" s="43"/>
    </row>
    <row r="24" spans="1:36" ht="21" x14ac:dyDescent="0.25">
      <c r="A24" s="198" t="s">
        <v>195</v>
      </c>
      <c r="B24" s="198"/>
      <c r="C24" s="198"/>
      <c r="D24" s="198"/>
      <c r="E24" s="198"/>
      <c r="F24" s="198"/>
      <c r="G24" s="198"/>
      <c r="H24" s="198"/>
      <c r="I24" s="198"/>
      <c r="J24" s="198"/>
      <c r="K24" s="198"/>
      <c r="L24" s="136"/>
      <c r="M24" s="136"/>
      <c r="N24" s="136"/>
      <c r="O24" s="134" t="s">
        <v>312</v>
      </c>
      <c r="P24" s="131"/>
      <c r="Q24" s="133"/>
      <c r="R24" s="43"/>
      <c r="S24" s="43"/>
      <c r="T24" s="43"/>
      <c r="U24" s="43"/>
      <c r="V24" s="43"/>
      <c r="W24" s="43"/>
      <c r="X24" s="43"/>
      <c r="Y24" s="43"/>
      <c r="Z24" s="43"/>
      <c r="AA24" s="43"/>
      <c r="AB24" s="43"/>
      <c r="AC24" s="43"/>
      <c r="AD24" s="43"/>
      <c r="AE24" s="43"/>
      <c r="AF24" s="43"/>
      <c r="AG24" s="43"/>
      <c r="AH24" s="43"/>
      <c r="AI24" s="43"/>
      <c r="AJ24" s="43"/>
    </row>
    <row r="25" spans="1:36" ht="21" x14ac:dyDescent="0.25">
      <c r="A25" s="199">
        <f>PI()*C13</f>
        <v>1256637.0614359172</v>
      </c>
      <c r="B25" s="198" t="s">
        <v>196</v>
      </c>
      <c r="C25" s="198"/>
      <c r="D25" s="198"/>
      <c r="E25" s="198"/>
      <c r="F25" s="198"/>
      <c r="G25" s="198"/>
      <c r="H25" s="198"/>
      <c r="I25" s="198"/>
      <c r="J25" s="198"/>
      <c r="K25" s="198"/>
      <c r="L25" s="136" t="s">
        <v>197</v>
      </c>
      <c r="M25" s="136"/>
      <c r="N25" s="136"/>
      <c r="O25" s="134"/>
      <c r="P25" s="132"/>
      <c r="Q25" s="133"/>
      <c r="R25" s="43"/>
      <c r="S25" s="43"/>
      <c r="T25" s="43"/>
      <c r="U25" s="43"/>
      <c r="V25" s="43"/>
      <c r="W25" s="43"/>
      <c r="X25" s="43"/>
      <c r="Y25" s="43"/>
      <c r="Z25" s="43"/>
      <c r="AA25" s="43"/>
      <c r="AB25" s="43"/>
      <c r="AC25" s="43"/>
      <c r="AD25" s="43"/>
      <c r="AE25" s="43"/>
      <c r="AF25" s="43"/>
      <c r="AG25" s="43"/>
      <c r="AH25" s="43"/>
      <c r="AI25" s="43"/>
      <c r="AJ25" s="43"/>
    </row>
    <row r="26" spans="1:36" x14ac:dyDescent="0.25">
      <c r="A26" s="198">
        <f>-2/PI()</f>
        <v>-0.63661977236758138</v>
      </c>
      <c r="B26" s="198" t="s">
        <v>198</v>
      </c>
      <c r="C26" s="198"/>
      <c r="D26" s="198"/>
      <c r="E26" s="198"/>
      <c r="F26" s="198"/>
      <c r="G26" s="198"/>
      <c r="H26" s="198"/>
      <c r="I26" s="198"/>
      <c r="J26" s="198"/>
      <c r="K26" s="198"/>
      <c r="L26" s="136"/>
      <c r="M26" s="136"/>
      <c r="N26" s="136"/>
      <c r="O26" s="131" t="s">
        <v>313</v>
      </c>
      <c r="P26" s="132"/>
      <c r="Q26" s="133"/>
      <c r="R26" s="43"/>
      <c r="S26" s="43"/>
      <c r="T26" s="43"/>
      <c r="U26" s="43"/>
      <c r="V26" s="43"/>
      <c r="W26" s="43"/>
      <c r="X26" s="43"/>
      <c r="Y26" s="43"/>
      <c r="Z26" s="43"/>
      <c r="AA26" s="43"/>
      <c r="AB26" s="43"/>
      <c r="AC26" s="43"/>
      <c r="AD26" s="43"/>
      <c r="AE26" s="43"/>
      <c r="AF26" s="43"/>
      <c r="AG26" s="43"/>
      <c r="AH26" s="43"/>
      <c r="AI26" s="43"/>
      <c r="AJ26" s="43"/>
    </row>
    <row r="27" spans="1:36" x14ac:dyDescent="0.25">
      <c r="A27" s="136"/>
      <c r="B27" s="136"/>
      <c r="C27" s="136"/>
      <c r="D27" s="136"/>
      <c r="E27" s="136"/>
      <c r="F27" s="136"/>
      <c r="G27" s="136"/>
      <c r="H27" s="136"/>
      <c r="I27" s="136"/>
      <c r="J27" s="136"/>
      <c r="K27" s="136"/>
      <c r="L27" s="136"/>
      <c r="M27" s="136"/>
      <c r="N27" s="136"/>
      <c r="O27" s="131" t="s">
        <v>314</v>
      </c>
      <c r="P27" s="133"/>
      <c r="Q27" s="133"/>
      <c r="R27" s="43"/>
      <c r="S27" s="43"/>
      <c r="T27" s="43"/>
      <c r="U27" s="43"/>
      <c r="V27" s="43"/>
      <c r="W27" s="43"/>
      <c r="X27" s="43"/>
      <c r="Y27" s="43"/>
      <c r="Z27" s="43"/>
      <c r="AA27" s="43"/>
      <c r="AB27" s="43"/>
      <c r="AC27" s="43"/>
      <c r="AD27" s="43"/>
      <c r="AE27" s="43"/>
      <c r="AF27" s="43"/>
      <c r="AG27" s="43"/>
      <c r="AH27" s="43"/>
      <c r="AI27" s="43"/>
      <c r="AJ27" s="43"/>
    </row>
    <row r="28" spans="1:36" x14ac:dyDescent="0.25">
      <c r="A28" s="179">
        <f>1/(Mc*Sn*(1/C13))</f>
        <v>0.78612716763005774</v>
      </c>
      <c r="B28" s="136" t="s">
        <v>199</v>
      </c>
      <c r="C28" s="136"/>
      <c r="D28" s="136"/>
      <c r="E28" s="136"/>
      <c r="F28" s="136"/>
      <c r="G28" s="136"/>
      <c r="H28" s="136"/>
      <c r="I28" s="136"/>
      <c r="J28" s="136"/>
      <c r="K28" s="136"/>
      <c r="L28" s="136"/>
      <c r="M28" s="136"/>
      <c r="N28" s="136"/>
      <c r="O28" s="131"/>
      <c r="P28" s="131"/>
      <c r="Q28" s="133"/>
      <c r="R28" s="43"/>
      <c r="S28" s="43"/>
      <c r="T28" s="43"/>
      <c r="U28" s="43"/>
      <c r="V28" s="43"/>
      <c r="W28" s="43"/>
      <c r="X28" s="43"/>
      <c r="Y28" s="43"/>
      <c r="Z28" s="43"/>
      <c r="AA28" s="43"/>
      <c r="AB28" s="43"/>
      <c r="AC28" s="43"/>
      <c r="AD28" s="43"/>
      <c r="AE28" s="43"/>
      <c r="AF28" s="43"/>
      <c r="AG28" s="43"/>
      <c r="AH28" s="43"/>
      <c r="AI28" s="43"/>
      <c r="AJ28" s="43"/>
    </row>
    <row r="29" spans="1:36" x14ac:dyDescent="0.25">
      <c r="A29" s="136"/>
      <c r="B29" s="136"/>
      <c r="C29" s="136"/>
      <c r="D29" s="136"/>
      <c r="E29" s="136"/>
      <c r="F29" s="136"/>
      <c r="G29" s="136"/>
      <c r="H29" s="136"/>
      <c r="I29" s="136"/>
      <c r="J29" s="136"/>
      <c r="K29" s="136"/>
      <c r="L29" s="136"/>
      <c r="M29" s="136"/>
      <c r="N29" s="136"/>
      <c r="O29" s="131"/>
      <c r="P29" s="131"/>
      <c r="Q29" s="133"/>
      <c r="R29" s="43"/>
      <c r="S29" s="43"/>
      <c r="T29" s="43"/>
      <c r="U29" s="43"/>
      <c r="V29" s="43"/>
      <c r="W29" s="43"/>
      <c r="X29" s="43"/>
      <c r="Y29" s="43"/>
      <c r="Z29" s="43"/>
      <c r="AA29" s="43"/>
      <c r="AB29" s="43"/>
      <c r="AC29" s="43"/>
      <c r="AD29" s="43"/>
      <c r="AE29" s="43"/>
      <c r="AF29" s="43"/>
      <c r="AG29" s="43"/>
      <c r="AH29" s="43"/>
      <c r="AI29" s="43"/>
      <c r="AJ29" s="43"/>
    </row>
    <row r="30" spans="1:36" x14ac:dyDescent="0.25">
      <c r="A30" s="136"/>
      <c r="B30" s="136"/>
      <c r="C30" s="136"/>
      <c r="D30" s="136"/>
      <c r="E30" s="136"/>
      <c r="F30" s="136"/>
      <c r="G30" s="136"/>
      <c r="H30" s="136"/>
      <c r="I30" s="136"/>
      <c r="J30" s="136"/>
      <c r="K30" s="136"/>
      <c r="L30" s="136"/>
      <c r="M30" s="136"/>
      <c r="N30" s="136"/>
      <c r="O30" s="131"/>
      <c r="P30" s="131"/>
      <c r="Q30" s="133"/>
      <c r="R30" s="43"/>
      <c r="S30" s="43"/>
      <c r="T30" s="43"/>
      <c r="U30" s="43"/>
      <c r="V30" s="43"/>
      <c r="W30" s="43"/>
      <c r="X30" s="43"/>
      <c r="Y30" s="43"/>
      <c r="Z30" s="43"/>
      <c r="AA30" s="43"/>
      <c r="AB30" s="43"/>
      <c r="AC30" s="43"/>
      <c r="AD30" s="43"/>
      <c r="AE30" s="43"/>
      <c r="AF30" s="43"/>
      <c r="AG30" s="43"/>
      <c r="AH30" s="43"/>
      <c r="AI30" s="43"/>
      <c r="AJ30" s="43"/>
    </row>
    <row r="31" spans="1:36" x14ac:dyDescent="0.25">
      <c r="A31" s="136"/>
      <c r="B31" s="136"/>
      <c r="C31" s="136"/>
      <c r="D31" s="136"/>
      <c r="E31" s="136"/>
      <c r="F31" s="136"/>
      <c r="G31" s="136"/>
      <c r="H31" s="136"/>
      <c r="I31" s="136"/>
      <c r="J31" s="136"/>
      <c r="K31" s="136"/>
      <c r="L31" s="136"/>
      <c r="M31" s="136"/>
      <c r="N31" s="136"/>
      <c r="O31" s="131"/>
      <c r="P31" s="131"/>
      <c r="Q31" s="133"/>
      <c r="R31" s="43"/>
      <c r="S31" s="43"/>
      <c r="T31" s="43"/>
      <c r="U31" s="43"/>
      <c r="V31" s="43"/>
      <c r="W31" s="43"/>
      <c r="X31" s="43"/>
      <c r="Y31" s="43"/>
      <c r="Z31" s="43"/>
      <c r="AA31" s="43"/>
      <c r="AB31" s="43"/>
      <c r="AC31" s="43"/>
      <c r="AD31" s="43"/>
      <c r="AE31" s="43"/>
      <c r="AF31" s="43"/>
      <c r="AG31" s="43"/>
      <c r="AH31" s="43"/>
      <c r="AI31" s="43"/>
      <c r="AJ31" s="43"/>
    </row>
    <row r="32" spans="1:36" ht="21" x14ac:dyDescent="0.25">
      <c r="A32" s="136"/>
      <c r="B32" s="136"/>
      <c r="C32" s="136"/>
      <c r="D32" s="136"/>
      <c r="E32" s="136"/>
      <c r="F32" s="136"/>
      <c r="G32" s="136"/>
      <c r="H32" s="136"/>
      <c r="I32" s="136"/>
      <c r="J32" s="136"/>
      <c r="K32" s="136"/>
      <c r="L32" s="136"/>
      <c r="M32" s="136"/>
      <c r="N32" s="136"/>
      <c r="O32" s="131"/>
      <c r="P32" s="135"/>
      <c r="Q32" s="133"/>
      <c r="R32" s="43"/>
      <c r="S32" s="43"/>
      <c r="T32" s="43"/>
      <c r="U32" s="43"/>
      <c r="V32" s="43"/>
      <c r="W32" s="43"/>
      <c r="X32" s="43"/>
      <c r="Y32" s="43"/>
      <c r="Z32" s="43"/>
      <c r="AA32" s="43"/>
      <c r="AB32" s="43"/>
      <c r="AC32" s="43"/>
      <c r="AD32" s="43"/>
      <c r="AE32" s="43"/>
      <c r="AF32" s="43"/>
      <c r="AG32" s="43"/>
      <c r="AH32" s="43"/>
      <c r="AI32" s="43"/>
      <c r="AJ32" s="43"/>
    </row>
    <row r="33" spans="1:94" ht="21" x14ac:dyDescent="0.25">
      <c r="A33" s="136"/>
      <c r="B33" s="136"/>
      <c r="C33" s="136"/>
      <c r="D33" s="136"/>
      <c r="E33" s="136"/>
      <c r="F33" s="136"/>
      <c r="G33" s="136"/>
      <c r="H33" s="136"/>
      <c r="I33" s="136"/>
      <c r="J33" s="136"/>
      <c r="K33" s="136"/>
      <c r="L33" s="136"/>
      <c r="M33" s="136"/>
      <c r="N33" s="136"/>
      <c r="O33" s="131"/>
      <c r="P33" s="135"/>
      <c r="Q33" s="133"/>
      <c r="R33" s="43"/>
      <c r="S33" s="43"/>
      <c r="T33" s="43"/>
      <c r="U33" s="43"/>
      <c r="V33" s="43"/>
      <c r="W33" s="43"/>
      <c r="X33" s="43"/>
      <c r="Y33" s="43"/>
      <c r="Z33" s="43"/>
      <c r="AA33" s="43"/>
      <c r="AB33" s="43"/>
      <c r="AC33" s="43"/>
      <c r="AD33" s="43"/>
      <c r="AE33" s="43"/>
      <c r="AF33" s="43"/>
      <c r="AG33" s="43"/>
      <c r="AH33" s="43"/>
      <c r="AI33" s="43"/>
      <c r="AJ33" s="43"/>
      <c r="AK33" s="35"/>
      <c r="AL33" s="35"/>
      <c r="AM33" s="35"/>
      <c r="AN33" s="35"/>
      <c r="AO33" s="35"/>
      <c r="AP33" s="35"/>
      <c r="AQ33" s="35"/>
      <c r="AR33" s="35"/>
      <c r="AS33" s="35"/>
      <c r="AT33" s="35"/>
      <c r="AU33" s="83"/>
      <c r="AV33" s="35"/>
      <c r="AW33" s="35"/>
      <c r="AX33" s="35"/>
      <c r="AY33" s="35"/>
      <c r="AZ33" s="35"/>
      <c r="BA33" s="35"/>
      <c r="BB33" s="35"/>
      <c r="BC33" s="35"/>
      <c r="BD33" s="35"/>
      <c r="BE33" s="35"/>
      <c r="BF33" s="35"/>
      <c r="BG33" s="35"/>
      <c r="BH33" s="35"/>
      <c r="BI33" s="35"/>
      <c r="BJ33" s="35"/>
    </row>
    <row r="34" spans="1:94" ht="21" x14ac:dyDescent="0.25">
      <c r="A34" s="136"/>
      <c r="B34" s="136"/>
      <c r="C34" s="136"/>
      <c r="D34" s="136"/>
      <c r="E34" s="136"/>
      <c r="F34" s="136"/>
      <c r="G34" s="136"/>
      <c r="H34" s="136"/>
      <c r="I34" s="136"/>
      <c r="J34" s="136"/>
      <c r="K34" s="136"/>
      <c r="L34" s="136"/>
      <c r="M34" s="136"/>
      <c r="N34" s="136"/>
      <c r="O34" s="131"/>
      <c r="P34" s="135"/>
      <c r="Q34" s="133"/>
      <c r="R34" s="43"/>
      <c r="S34" s="43"/>
      <c r="T34" s="43"/>
      <c r="U34" s="43"/>
      <c r="V34" s="43"/>
      <c r="W34" s="43"/>
      <c r="X34" s="43"/>
      <c r="Y34" s="43"/>
      <c r="Z34" s="43"/>
      <c r="AA34" s="43"/>
      <c r="AB34" s="43"/>
      <c r="AC34" s="43"/>
      <c r="AD34" s="43"/>
      <c r="AE34" s="43"/>
      <c r="AF34" s="43"/>
      <c r="AG34" s="43"/>
      <c r="AH34" s="43"/>
      <c r="AI34" s="43"/>
      <c r="AJ34" s="43"/>
      <c r="AK34" s="43"/>
      <c r="AL34" s="43"/>
      <c r="AM34" s="43"/>
      <c r="AN34" s="43"/>
      <c r="AO34" s="43"/>
      <c r="AP34" s="43"/>
      <c r="AQ34" s="43"/>
      <c r="AR34" s="43"/>
      <c r="AS34" s="43"/>
      <c r="AT34" s="43"/>
      <c r="AU34" s="84"/>
      <c r="AV34" s="43"/>
      <c r="AW34" s="43"/>
      <c r="AX34" s="43"/>
      <c r="AY34" s="35"/>
      <c r="AZ34" s="35"/>
      <c r="BA34" s="35"/>
      <c r="BB34" s="35"/>
      <c r="BC34" s="35"/>
      <c r="BD34" s="35"/>
      <c r="BE34" s="35"/>
      <c r="BF34" s="35"/>
      <c r="BG34" s="35"/>
      <c r="BH34" s="35"/>
      <c r="BI34" s="35"/>
      <c r="BJ34" s="35"/>
    </row>
    <row r="35" spans="1:94" x14ac:dyDescent="0.25">
      <c r="A35" s="136"/>
      <c r="B35" s="136"/>
      <c r="C35" s="136"/>
      <c r="D35" s="136"/>
      <c r="E35" s="136"/>
      <c r="F35" s="136"/>
      <c r="G35" s="136"/>
      <c r="H35" s="136"/>
      <c r="I35" s="136"/>
      <c r="J35" s="136"/>
      <c r="K35" s="136"/>
      <c r="L35" s="136"/>
      <c r="M35" s="136"/>
      <c r="N35" s="136"/>
      <c r="O35" s="147" t="str">
        <f>IF(M20&lt;45,"Desired Phase Margin should be &gt;45 degree, Recommend to increase Cout, adjust C4, and/or adjust R1", " ")</f>
        <v xml:space="preserve"> </v>
      </c>
      <c r="P35" s="131"/>
      <c r="Q35" s="133"/>
      <c r="R35" s="43"/>
      <c r="S35" s="43"/>
      <c r="T35" s="43"/>
      <c r="U35" s="43"/>
      <c r="V35" s="43"/>
      <c r="W35" s="43"/>
      <c r="X35" s="43"/>
      <c r="Y35" s="43"/>
      <c r="Z35" s="43"/>
      <c r="AA35" s="43"/>
      <c r="AB35" s="43"/>
      <c r="AC35" s="43"/>
      <c r="AD35" s="43"/>
      <c r="AE35" s="43"/>
      <c r="AF35" s="43"/>
      <c r="AG35" s="43"/>
      <c r="AH35" s="43"/>
      <c r="AI35" s="43"/>
      <c r="AJ35" s="43"/>
      <c r="AK35" s="43"/>
      <c r="AL35" s="43"/>
      <c r="AM35" s="43"/>
      <c r="AN35" s="43"/>
      <c r="AO35" s="43"/>
      <c r="AP35" s="43"/>
      <c r="AQ35" s="43"/>
      <c r="AR35" s="43"/>
      <c r="AS35" s="43"/>
      <c r="AT35" s="43"/>
      <c r="AU35" s="84"/>
      <c r="AV35" s="43"/>
      <c r="AW35" s="43"/>
      <c r="AX35" s="43"/>
      <c r="AY35" s="35"/>
      <c r="AZ35" s="35"/>
      <c r="BA35" s="35"/>
      <c r="BB35" s="35"/>
      <c r="BC35" s="35"/>
      <c r="BD35" s="35"/>
      <c r="BE35" s="35"/>
      <c r="BF35" s="35"/>
      <c r="BG35" s="35"/>
      <c r="BH35" s="35"/>
      <c r="BI35" s="35"/>
      <c r="BJ35" s="35"/>
    </row>
    <row r="36" spans="1:94" x14ac:dyDescent="0.25">
      <c r="A36" s="136"/>
      <c r="B36" s="136"/>
      <c r="C36" s="136"/>
      <c r="D36" s="136"/>
      <c r="E36" s="136"/>
      <c r="F36" s="136"/>
      <c r="G36" s="136"/>
      <c r="H36" s="136"/>
      <c r="I36" s="136"/>
      <c r="J36" s="136"/>
      <c r="K36" s="136"/>
      <c r="L36" s="136"/>
      <c r="M36" s="136"/>
      <c r="N36" s="136"/>
      <c r="O36" s="161" t="str">
        <f>IF(M21 &gt; -10,"Desired Gain margin should be &lt;-10dB, Recommend to increase Cout ", " ")</f>
        <v xml:space="preserve"> </v>
      </c>
      <c r="P36" s="136"/>
      <c r="Q36" s="136"/>
      <c r="R36" s="67"/>
      <c r="S36" s="67"/>
      <c r="T36" s="67"/>
      <c r="U36" s="67"/>
      <c r="V36" s="67"/>
      <c r="W36" s="67"/>
      <c r="X36" s="67"/>
      <c r="Y36" s="67"/>
      <c r="Z36" s="67"/>
      <c r="AA36" s="67"/>
      <c r="AB36" s="67"/>
      <c r="AC36" s="67"/>
      <c r="AD36" s="67"/>
      <c r="AE36" s="67"/>
      <c r="AF36" s="67"/>
      <c r="AG36" s="67"/>
      <c r="AH36" s="67"/>
      <c r="AI36" s="67"/>
      <c r="AJ36" s="67"/>
      <c r="AK36" s="67"/>
      <c r="AL36" s="67"/>
      <c r="AM36" s="67"/>
      <c r="AN36" s="67"/>
      <c r="AO36" s="67"/>
      <c r="AP36" s="67"/>
      <c r="AQ36" s="67"/>
      <c r="AR36" s="67"/>
      <c r="AS36" s="67"/>
      <c r="AT36" s="67"/>
      <c r="AU36" s="85"/>
      <c r="AV36" s="67"/>
      <c r="AW36" s="67"/>
      <c r="AX36" s="67"/>
      <c r="AY36" s="69"/>
      <c r="AZ36" s="69"/>
      <c r="BA36" s="69"/>
      <c r="BB36" s="69"/>
      <c r="BC36" s="69"/>
      <c r="BD36" s="69"/>
      <c r="BE36" s="69"/>
      <c r="BF36" s="69"/>
      <c r="BG36" s="69"/>
      <c r="BH36" s="69"/>
      <c r="BI36" s="69"/>
      <c r="BJ36" s="37"/>
    </row>
    <row r="37" spans="1:94" x14ac:dyDescent="0.25">
      <c r="A37" s="136"/>
      <c r="B37" s="136"/>
      <c r="C37" s="136"/>
      <c r="D37" s="136"/>
      <c r="E37" s="136"/>
      <c r="F37" s="136"/>
      <c r="G37" s="136"/>
      <c r="H37" s="136"/>
      <c r="I37" s="136"/>
      <c r="J37" s="136"/>
      <c r="K37" s="136"/>
      <c r="L37" s="136"/>
      <c r="M37" s="136"/>
      <c r="N37" s="136"/>
      <c r="O37" s="67"/>
      <c r="P37" s="67"/>
      <c r="Q37" s="67"/>
      <c r="R37" s="67"/>
      <c r="S37" s="67"/>
      <c r="T37" s="67"/>
      <c r="U37" s="67"/>
      <c r="V37" s="67"/>
      <c r="W37" s="67"/>
      <c r="X37" s="67"/>
      <c r="Y37" s="67"/>
      <c r="Z37" s="67"/>
      <c r="AA37" s="67"/>
      <c r="AB37" s="67"/>
      <c r="AC37" s="67"/>
      <c r="AD37" s="67"/>
      <c r="AE37" s="67"/>
      <c r="AF37" s="67"/>
      <c r="AG37" s="67"/>
      <c r="AH37" s="67"/>
      <c r="AI37" s="67"/>
      <c r="AJ37" s="67"/>
      <c r="AK37" s="67"/>
      <c r="AL37" s="67"/>
      <c r="AM37" s="67"/>
      <c r="AN37" s="67"/>
      <c r="AO37" s="67"/>
      <c r="AP37" s="67"/>
      <c r="AQ37" s="67"/>
      <c r="AR37" s="67"/>
      <c r="AS37" s="67"/>
      <c r="AT37" s="67"/>
      <c r="AU37" s="85"/>
      <c r="AV37" s="67"/>
      <c r="AW37" s="67"/>
      <c r="AX37" s="67"/>
      <c r="AY37" s="67"/>
      <c r="AZ37" s="67"/>
      <c r="BA37" s="67"/>
      <c r="BB37" s="67"/>
      <c r="BC37" s="67"/>
      <c r="BD37" s="67"/>
      <c r="BE37" s="67"/>
      <c r="BF37" s="67"/>
      <c r="BG37" s="67"/>
      <c r="BH37" s="67"/>
      <c r="BI37" s="67"/>
      <c r="BJ37" s="67"/>
      <c r="BK37" s="98"/>
      <c r="BL37" s="98"/>
      <c r="BM37" s="98"/>
      <c r="BN37" s="98"/>
      <c r="BO37" s="98"/>
      <c r="BP37" s="98"/>
      <c r="BQ37" s="98"/>
      <c r="BR37" s="98"/>
      <c r="BS37" s="98"/>
      <c r="BT37" s="98"/>
      <c r="BU37" s="98"/>
      <c r="BV37" s="98"/>
      <c r="BW37" s="98"/>
      <c r="BX37" s="98"/>
      <c r="BY37" s="98"/>
      <c r="BZ37" s="98"/>
      <c r="CA37" s="98"/>
    </row>
    <row r="38" spans="1:94" x14ac:dyDescent="0.25">
      <c r="A38" s="136"/>
      <c r="B38" s="136"/>
      <c r="C38" s="136"/>
      <c r="D38" s="136"/>
      <c r="E38" s="136"/>
      <c r="F38" s="136"/>
      <c r="G38" s="136"/>
      <c r="H38" s="136"/>
      <c r="I38" s="136"/>
      <c r="J38" s="136"/>
      <c r="K38" s="136"/>
      <c r="L38" s="136"/>
      <c r="M38" s="136"/>
      <c r="N38" s="136"/>
      <c r="O38" s="136"/>
      <c r="P38" s="136"/>
      <c r="Q38" s="136"/>
      <c r="R38" s="136"/>
      <c r="S38" s="136"/>
      <c r="T38" s="136"/>
      <c r="U38" s="136"/>
      <c r="V38" s="136"/>
      <c r="W38" s="136"/>
      <c r="X38" s="136"/>
      <c r="Y38" s="136"/>
      <c r="Z38" s="136"/>
      <c r="AA38" s="136"/>
      <c r="AB38" s="136"/>
      <c r="AC38" s="136"/>
      <c r="AD38" s="136"/>
      <c r="AE38" s="136"/>
      <c r="AF38" s="136"/>
      <c r="AG38" s="136"/>
      <c r="AH38" s="136"/>
      <c r="AI38" s="136"/>
      <c r="AJ38" s="136"/>
      <c r="AK38" s="136"/>
      <c r="AL38" s="136"/>
      <c r="AM38" s="136"/>
      <c r="AN38" s="136"/>
      <c r="AO38" s="136"/>
      <c r="AP38" s="136"/>
      <c r="AQ38" s="136"/>
      <c r="AR38" s="136"/>
      <c r="AS38" s="136"/>
      <c r="AT38" s="136"/>
      <c r="AU38" s="179"/>
      <c r="AV38" s="136"/>
      <c r="AW38" s="136"/>
      <c r="AX38" s="136"/>
      <c r="AY38" s="136"/>
      <c r="AZ38" s="136"/>
      <c r="BA38" s="136"/>
      <c r="BB38" s="136"/>
      <c r="BC38" s="136"/>
      <c r="BD38" s="136"/>
      <c r="BE38" s="136"/>
      <c r="BF38" s="136"/>
      <c r="BG38" s="136"/>
      <c r="BH38" s="136"/>
      <c r="BI38" s="136"/>
      <c r="BJ38" s="136"/>
      <c r="BK38" s="180"/>
      <c r="BL38" s="180"/>
      <c r="BM38" s="180"/>
      <c r="BN38" s="180"/>
      <c r="BO38" s="180"/>
      <c r="BP38" s="180"/>
      <c r="BQ38" s="180"/>
      <c r="BR38" s="180"/>
      <c r="BS38" s="180"/>
      <c r="BT38" s="180"/>
      <c r="BU38" s="180"/>
      <c r="BV38" s="180"/>
      <c r="BW38" s="180"/>
      <c r="BX38" s="180"/>
      <c r="BY38" s="180"/>
      <c r="BZ38" s="180"/>
      <c r="CA38" s="180"/>
      <c r="CB38" s="180"/>
      <c r="CC38" s="180"/>
      <c r="CD38" s="180"/>
      <c r="CE38" s="180"/>
      <c r="CF38" s="180"/>
      <c r="CG38" s="180"/>
      <c r="CH38" s="180"/>
      <c r="CI38" s="180"/>
      <c r="CJ38" s="180"/>
      <c r="CK38" s="180"/>
      <c r="CL38" s="180"/>
      <c r="CM38" s="180"/>
      <c r="CN38" s="180"/>
      <c r="CO38" s="180"/>
      <c r="CP38" s="180"/>
    </row>
    <row r="39" spans="1:94" x14ac:dyDescent="0.25">
      <c r="A39" s="136"/>
      <c r="B39" s="136"/>
      <c r="C39" s="136"/>
      <c r="D39" s="136"/>
      <c r="E39" s="136"/>
      <c r="F39" s="136"/>
      <c r="G39" s="136"/>
      <c r="H39" s="136"/>
      <c r="I39" s="136"/>
      <c r="J39" s="136"/>
      <c r="K39" s="136"/>
      <c r="L39" s="136"/>
      <c r="M39" s="136"/>
      <c r="N39" s="136"/>
      <c r="O39" s="136"/>
      <c r="P39" s="136"/>
      <c r="Q39" s="136"/>
      <c r="R39" s="136"/>
      <c r="S39" s="136"/>
      <c r="T39" s="136"/>
      <c r="U39" s="136"/>
      <c r="V39" s="136"/>
      <c r="W39" s="136"/>
      <c r="X39" s="136"/>
      <c r="Y39" s="136"/>
      <c r="Z39" s="136"/>
      <c r="AA39" s="136"/>
      <c r="AB39" s="136"/>
      <c r="AC39" s="136"/>
      <c r="AD39" s="136"/>
      <c r="AE39" s="136"/>
      <c r="AF39" s="136"/>
      <c r="AG39" s="136"/>
      <c r="AH39" s="136"/>
      <c r="AI39" s="136"/>
      <c r="AJ39" s="136"/>
      <c r="AK39" s="136"/>
      <c r="AL39" s="136"/>
      <c r="AM39" s="136"/>
      <c r="AN39" s="136"/>
      <c r="AO39" s="136"/>
      <c r="AP39" s="136"/>
      <c r="AQ39" s="136"/>
      <c r="AR39" s="136"/>
      <c r="AS39" s="136"/>
      <c r="AT39" s="136"/>
      <c r="AU39" s="179"/>
      <c r="AV39" s="136"/>
      <c r="AW39" s="136"/>
      <c r="AX39" s="136"/>
      <c r="AY39" s="136"/>
      <c r="AZ39" s="136"/>
      <c r="BA39" s="136"/>
      <c r="BB39" s="136"/>
      <c r="BC39" s="136"/>
      <c r="BD39" s="136"/>
      <c r="BE39" s="136"/>
      <c r="BF39" s="136"/>
      <c r="BG39" s="136"/>
      <c r="BH39" s="136"/>
      <c r="BI39" s="136"/>
      <c r="BJ39" s="136"/>
      <c r="BK39" s="180"/>
      <c r="BL39" s="180"/>
      <c r="BM39" s="180"/>
      <c r="BN39" s="180"/>
      <c r="BO39" s="180"/>
      <c r="BP39" s="180"/>
      <c r="BQ39" s="180"/>
      <c r="BR39" s="180"/>
      <c r="BS39" s="180"/>
      <c r="BT39" s="180"/>
      <c r="BU39" s="180"/>
      <c r="BV39" s="180"/>
      <c r="BW39" s="180"/>
      <c r="BX39" s="180"/>
      <c r="BY39" s="180"/>
      <c r="BZ39" s="180"/>
      <c r="CA39" s="180"/>
      <c r="CB39" s="180"/>
      <c r="CC39" s="180"/>
      <c r="CD39" s="180"/>
      <c r="CE39" s="180"/>
      <c r="CF39" s="180"/>
      <c r="CG39" s="180"/>
      <c r="CH39" s="180"/>
      <c r="CI39" s="180"/>
      <c r="CJ39" s="180"/>
      <c r="CK39" s="180"/>
      <c r="CL39" s="180"/>
      <c r="CM39" s="180"/>
      <c r="CN39" s="180"/>
      <c r="CO39" s="180"/>
      <c r="CP39" s="180"/>
    </row>
    <row r="40" spans="1:94" x14ac:dyDescent="0.25">
      <c r="A40" s="136"/>
      <c r="B40" s="136" t="s">
        <v>200</v>
      </c>
      <c r="C40" s="136">
        <v>1</v>
      </c>
      <c r="D40" s="136"/>
      <c r="E40" s="136"/>
      <c r="F40" s="136"/>
      <c r="G40" s="136"/>
      <c r="H40" s="136"/>
      <c r="I40" s="136"/>
      <c r="J40" s="136"/>
      <c r="K40" s="136"/>
      <c r="L40" s="136"/>
      <c r="M40" s="136"/>
      <c r="N40" s="136"/>
      <c r="O40" s="136"/>
      <c r="P40" s="136"/>
      <c r="Q40" s="136"/>
      <c r="R40" s="136"/>
      <c r="S40" s="136"/>
      <c r="T40" s="136"/>
      <c r="U40" s="136"/>
      <c r="V40" s="136"/>
      <c r="W40" s="136"/>
      <c r="X40" s="136"/>
      <c r="Y40" s="136"/>
      <c r="Z40" s="136"/>
      <c r="AA40" s="136"/>
      <c r="AB40" s="136"/>
      <c r="AC40" s="136"/>
      <c r="AD40" s="136"/>
      <c r="AE40" s="136"/>
      <c r="AF40" s="136"/>
      <c r="AG40" s="136"/>
      <c r="AH40" s="136"/>
      <c r="AI40" s="136"/>
      <c r="AJ40" s="136"/>
      <c r="AK40" s="136"/>
      <c r="AL40" s="136"/>
      <c r="AM40" s="136"/>
      <c r="AN40" s="136"/>
      <c r="AO40" s="136"/>
      <c r="AP40" s="136"/>
      <c r="AQ40" s="136"/>
      <c r="AR40" s="136"/>
      <c r="AS40" s="136"/>
      <c r="AT40" s="136"/>
      <c r="AU40" s="179"/>
      <c r="AV40" s="136"/>
      <c r="AW40" s="136"/>
      <c r="AX40" s="136"/>
      <c r="AY40" s="136"/>
      <c r="AZ40" s="136"/>
      <c r="BA40" s="136"/>
      <c r="BB40" s="136"/>
      <c r="BC40" s="136"/>
      <c r="BD40" s="136"/>
      <c r="BE40" s="136"/>
      <c r="BF40" s="136"/>
      <c r="BG40" s="136"/>
      <c r="BH40" s="136"/>
      <c r="BI40" s="136"/>
      <c r="BJ40" s="136"/>
      <c r="BK40" s="180"/>
      <c r="BL40" s="180"/>
      <c r="BM40" s="180"/>
      <c r="BN40" s="180"/>
      <c r="BO40" s="180"/>
      <c r="BP40" s="180"/>
      <c r="BQ40" s="180"/>
      <c r="BR40" s="180"/>
      <c r="BS40" s="180"/>
      <c r="BT40" s="180"/>
      <c r="BU40" s="180"/>
      <c r="BV40" s="180"/>
      <c r="BW40" s="180"/>
      <c r="BX40" s="180"/>
      <c r="BY40" s="180"/>
      <c r="BZ40" s="180"/>
      <c r="CA40" s="180"/>
      <c r="CB40" s="180"/>
      <c r="CC40" s="180"/>
      <c r="CD40" s="180"/>
      <c r="CE40" s="180"/>
      <c r="CF40" s="180"/>
      <c r="CG40" s="180"/>
      <c r="CH40" s="180"/>
      <c r="CI40" s="180"/>
      <c r="CJ40" s="180"/>
      <c r="CK40" s="180"/>
      <c r="CL40" s="180"/>
      <c r="CM40" s="180"/>
      <c r="CN40" s="180"/>
      <c r="CO40" s="180"/>
      <c r="CP40" s="180"/>
    </row>
    <row r="41" spans="1:94" x14ac:dyDescent="0.25">
      <c r="A41" s="136"/>
      <c r="B41" s="136" t="s">
        <v>201</v>
      </c>
      <c r="C41" s="136">
        <v>1000000</v>
      </c>
      <c r="D41" s="136"/>
      <c r="E41" s="136"/>
      <c r="F41" s="136"/>
      <c r="G41" s="136"/>
      <c r="H41" s="136"/>
      <c r="I41" s="136"/>
      <c r="J41" s="136"/>
      <c r="K41" s="136"/>
      <c r="L41" s="136"/>
      <c r="M41" s="136"/>
      <c r="N41" s="136"/>
      <c r="O41" s="136"/>
      <c r="P41" s="136"/>
      <c r="Q41" s="136"/>
      <c r="R41" s="136"/>
      <c r="S41" s="136"/>
      <c r="T41" s="136"/>
      <c r="U41" s="136"/>
      <c r="V41" s="136"/>
      <c r="W41" s="136"/>
      <c r="X41" s="136"/>
      <c r="Y41" s="136"/>
      <c r="Z41" s="136"/>
      <c r="AA41" s="136"/>
      <c r="AB41" s="136"/>
      <c r="AC41" s="136"/>
      <c r="AD41" s="136"/>
      <c r="AE41" s="136"/>
      <c r="AF41" s="136"/>
      <c r="AG41" s="136"/>
      <c r="AH41" s="136"/>
      <c r="AI41" s="136"/>
      <c r="AJ41" s="136"/>
      <c r="AK41" s="136"/>
      <c r="AL41" s="136"/>
      <c r="AM41" s="136"/>
      <c r="AN41" s="136"/>
      <c r="AO41" s="136"/>
      <c r="AP41" s="136"/>
      <c r="AQ41" s="136"/>
      <c r="AR41" s="136"/>
      <c r="AS41" s="136"/>
      <c r="AT41" s="136"/>
      <c r="AU41" s="179"/>
      <c r="AV41" s="136"/>
      <c r="AW41" s="136"/>
      <c r="AX41" s="136"/>
      <c r="AY41" s="136"/>
      <c r="AZ41" s="136"/>
      <c r="BA41" s="136"/>
      <c r="BB41" s="136"/>
      <c r="BC41" s="136"/>
      <c r="BD41" s="136"/>
      <c r="BE41" s="136"/>
      <c r="BF41" s="136"/>
      <c r="BG41" s="136"/>
      <c r="BH41" s="136"/>
      <c r="BI41" s="136"/>
      <c r="BJ41" s="136"/>
      <c r="BK41" s="180"/>
      <c r="BL41" s="180"/>
      <c r="BM41" s="180"/>
      <c r="BN41" s="180"/>
      <c r="BO41" s="180"/>
      <c r="BP41" s="180"/>
      <c r="BQ41" s="180"/>
      <c r="BR41" s="180"/>
      <c r="BS41" s="180"/>
      <c r="BT41" s="180"/>
      <c r="BU41" s="180"/>
      <c r="BV41" s="180"/>
      <c r="BW41" s="180"/>
      <c r="BX41" s="180"/>
      <c r="BY41" s="180"/>
      <c r="BZ41" s="180"/>
      <c r="CA41" s="180"/>
      <c r="CB41" s="180"/>
      <c r="CC41" s="180"/>
      <c r="CD41" s="180"/>
      <c r="CE41" s="180"/>
      <c r="CF41" s="180"/>
      <c r="CG41" s="180"/>
      <c r="CH41" s="180"/>
      <c r="CI41" s="180"/>
      <c r="CJ41" s="180"/>
      <c r="CK41" s="180"/>
      <c r="CL41" s="180"/>
      <c r="CM41" s="180"/>
      <c r="CN41" s="180"/>
      <c r="CO41" s="180"/>
      <c r="CP41" s="180"/>
    </row>
    <row r="42" spans="1:94" x14ac:dyDescent="0.25">
      <c r="A42" s="136"/>
      <c r="B42" s="136" t="s">
        <v>202</v>
      </c>
      <c r="C42" s="136">
        <v>200</v>
      </c>
      <c r="D42" s="136"/>
      <c r="E42" s="136"/>
      <c r="F42" s="136"/>
      <c r="G42" s="136"/>
      <c r="H42" s="136"/>
      <c r="I42" s="136"/>
      <c r="J42" s="136"/>
      <c r="K42" s="136"/>
      <c r="L42" s="136"/>
      <c r="M42" s="136"/>
      <c r="N42" s="136"/>
      <c r="O42" s="136"/>
      <c r="P42" s="136"/>
      <c r="Q42" s="136"/>
      <c r="R42" s="136"/>
      <c r="S42" s="136"/>
      <c r="T42" s="136"/>
      <c r="U42" s="136"/>
      <c r="V42" s="136"/>
      <c r="W42" s="136"/>
      <c r="X42" s="136"/>
      <c r="Y42" s="136"/>
      <c r="Z42" s="136"/>
      <c r="AA42" s="136"/>
      <c r="AB42" s="136"/>
      <c r="AC42" s="136"/>
      <c r="AD42" s="136"/>
      <c r="AE42" s="136"/>
      <c r="AF42" s="136"/>
      <c r="AG42" s="136"/>
      <c r="AH42" s="136"/>
      <c r="AI42" s="136"/>
      <c r="AJ42" s="136"/>
      <c r="AK42" s="136"/>
      <c r="AL42" s="136"/>
      <c r="AM42" s="136"/>
      <c r="AN42" s="136"/>
      <c r="AO42" s="136"/>
      <c r="AP42" s="136"/>
      <c r="AQ42" s="136"/>
      <c r="AR42" s="136"/>
      <c r="AS42" s="136"/>
      <c r="AT42" s="136"/>
      <c r="AU42" s="179"/>
      <c r="AV42" s="136"/>
      <c r="AW42" s="136"/>
      <c r="AX42" s="136"/>
      <c r="AY42" s="136"/>
      <c r="AZ42" s="136"/>
      <c r="BA42" s="136"/>
      <c r="BB42" s="136"/>
      <c r="BC42" s="136"/>
      <c r="BD42" s="136"/>
      <c r="BE42" s="136"/>
      <c r="BF42" s="136"/>
      <c r="BG42" s="136"/>
      <c r="BH42" s="136"/>
      <c r="BI42" s="136"/>
      <c r="BJ42" s="136"/>
      <c r="BK42" s="180"/>
      <c r="BL42" s="180"/>
      <c r="BM42" s="180"/>
      <c r="BN42" s="180"/>
      <c r="BO42" s="180"/>
      <c r="BP42" s="180"/>
      <c r="BQ42" s="180"/>
      <c r="BR42" s="180"/>
      <c r="BS42" s="180"/>
      <c r="BT42" s="180"/>
      <c r="BU42" s="180"/>
      <c r="BV42" s="180"/>
      <c r="BW42" s="180"/>
      <c r="BX42" s="180"/>
      <c r="BY42" s="180"/>
      <c r="BZ42" s="180"/>
      <c r="CA42" s="180"/>
      <c r="CB42" s="180"/>
      <c r="CC42" s="180"/>
      <c r="CD42" s="180"/>
      <c r="CE42" s="180"/>
      <c r="CF42" s="180"/>
      <c r="CG42" s="180"/>
      <c r="CH42" s="180"/>
      <c r="CI42" s="180"/>
      <c r="CJ42" s="180"/>
      <c r="CK42" s="180"/>
      <c r="CL42" s="180"/>
      <c r="CM42" s="180"/>
      <c r="CN42" s="180"/>
      <c r="CO42" s="180"/>
      <c r="CP42" s="180"/>
    </row>
    <row r="43" spans="1:94" x14ac:dyDescent="0.25">
      <c r="A43" s="136"/>
      <c r="B43" s="136" t="s">
        <v>203</v>
      </c>
      <c r="C43" s="136">
        <v>0.03</v>
      </c>
      <c r="D43" s="136"/>
      <c r="E43" s="136"/>
      <c r="F43" s="136"/>
      <c r="G43" s="136"/>
      <c r="H43" s="136"/>
      <c r="I43" s="136"/>
      <c r="J43" s="136"/>
      <c r="K43" s="136"/>
      <c r="L43" s="136"/>
      <c r="M43" s="136"/>
      <c r="N43" s="136"/>
      <c r="O43" s="136"/>
      <c r="P43" s="136"/>
      <c r="Q43" s="136"/>
      <c r="R43" s="136"/>
      <c r="S43" s="136"/>
      <c r="T43" s="136"/>
      <c r="U43" s="136"/>
      <c r="V43" s="136"/>
      <c r="W43" s="136"/>
      <c r="X43" s="136"/>
      <c r="Y43" s="136"/>
      <c r="Z43" s="136"/>
      <c r="AA43" s="136"/>
      <c r="AB43" s="136"/>
      <c r="AC43" s="136"/>
      <c r="AD43" s="136"/>
      <c r="AE43" s="136"/>
      <c r="AF43" s="136"/>
      <c r="AG43" s="136"/>
      <c r="AH43" s="136"/>
      <c r="AI43" s="136"/>
      <c r="AJ43" s="136"/>
      <c r="AK43" s="136"/>
      <c r="AL43" s="136"/>
      <c r="AM43" s="136"/>
      <c r="AN43" s="136"/>
      <c r="AO43" s="136"/>
      <c r="AP43" s="136"/>
      <c r="AQ43" s="136"/>
      <c r="AR43" s="136"/>
      <c r="AS43" s="136"/>
      <c r="AT43" s="136"/>
      <c r="AU43" s="179"/>
      <c r="AV43" s="136"/>
      <c r="AW43" s="136"/>
      <c r="AX43" s="136"/>
      <c r="AY43" s="136"/>
      <c r="AZ43" s="136"/>
      <c r="BA43" s="136"/>
      <c r="BB43" s="136"/>
      <c r="BC43" s="136"/>
      <c r="BD43" s="136"/>
      <c r="BE43" s="136"/>
      <c r="BF43" s="136"/>
      <c r="BG43" s="136"/>
      <c r="BH43" s="136"/>
      <c r="BI43" s="136"/>
      <c r="BJ43" s="136"/>
      <c r="BK43" s="180"/>
      <c r="BL43" s="180"/>
      <c r="BM43" s="180"/>
      <c r="BN43" s="180"/>
      <c r="BO43" s="180"/>
      <c r="BP43" s="180"/>
      <c r="BQ43" s="180"/>
      <c r="BR43" s="180"/>
      <c r="BS43" s="180"/>
      <c r="BT43" s="180"/>
      <c r="BU43" s="180"/>
      <c r="BV43" s="180"/>
      <c r="BW43" s="180"/>
      <c r="BX43" s="180"/>
      <c r="BY43" s="180"/>
      <c r="BZ43" s="180"/>
      <c r="CA43" s="180"/>
      <c r="CB43" s="180"/>
      <c r="CC43" s="180"/>
      <c r="CD43" s="180"/>
      <c r="CE43" s="180"/>
      <c r="CF43" s="180"/>
      <c r="CG43" s="180"/>
      <c r="CH43" s="180"/>
      <c r="CI43" s="180"/>
      <c r="CJ43" s="180"/>
      <c r="CK43" s="180"/>
      <c r="CL43" s="180"/>
      <c r="CM43" s="180"/>
      <c r="CN43" s="180"/>
      <c r="CO43" s="180"/>
      <c r="CP43" s="180"/>
    </row>
    <row r="44" spans="1:94" x14ac:dyDescent="0.25">
      <c r="A44" s="136"/>
      <c r="B44" s="136"/>
      <c r="C44" s="136"/>
      <c r="D44" s="136"/>
      <c r="E44" s="136"/>
      <c r="F44" s="136"/>
      <c r="G44" s="136"/>
      <c r="H44" s="136"/>
      <c r="I44" s="136"/>
      <c r="J44" s="136"/>
      <c r="K44" s="136"/>
      <c r="L44" s="136"/>
      <c r="M44" s="136"/>
      <c r="N44" s="136"/>
      <c r="O44" s="136"/>
      <c r="P44" s="136"/>
      <c r="Q44" s="136"/>
      <c r="R44" s="136"/>
      <c r="S44" s="136"/>
      <c r="T44" s="136"/>
      <c r="U44" s="136"/>
      <c r="V44" s="136"/>
      <c r="W44" s="136"/>
      <c r="X44" s="136"/>
      <c r="Y44" s="136"/>
      <c r="Z44" s="136"/>
      <c r="AA44" s="136"/>
      <c r="AB44" s="136"/>
      <c r="AC44" s="136"/>
      <c r="AD44" s="136"/>
      <c r="AE44" s="136"/>
      <c r="AF44" s="136"/>
      <c r="AG44" s="136"/>
      <c r="AH44" s="136"/>
      <c r="AI44" s="136"/>
      <c r="AJ44" s="136"/>
      <c r="AK44" s="136"/>
      <c r="AL44" s="136"/>
      <c r="AM44" s="136"/>
      <c r="AN44" s="136"/>
      <c r="AO44" s="136"/>
      <c r="AP44" s="136"/>
      <c r="AQ44" s="136"/>
      <c r="AR44" s="136"/>
      <c r="AS44" s="136"/>
      <c r="AT44" s="136"/>
      <c r="AU44" s="179"/>
      <c r="AV44" s="136"/>
      <c r="AW44" s="136"/>
      <c r="AX44" s="136"/>
      <c r="AY44" s="136"/>
      <c r="AZ44" s="136"/>
      <c r="BA44" s="136"/>
      <c r="BB44" s="136"/>
      <c r="BC44" s="136"/>
      <c r="BD44" s="136"/>
      <c r="BE44" s="136"/>
      <c r="BF44" s="136"/>
      <c r="BG44" s="136"/>
      <c r="BH44" s="136"/>
      <c r="BI44" s="136"/>
      <c r="BJ44" s="136"/>
      <c r="BK44" s="180"/>
      <c r="BL44" s="180"/>
      <c r="BM44" s="180"/>
      <c r="BN44" s="180"/>
      <c r="BO44" s="180"/>
      <c r="BP44" s="180"/>
      <c r="BQ44" s="180"/>
      <c r="BR44" s="180"/>
      <c r="BS44" s="180"/>
      <c r="BT44" s="180"/>
      <c r="BU44" s="180"/>
      <c r="BV44" s="180"/>
      <c r="BW44" s="180"/>
      <c r="BX44" s="180"/>
      <c r="BY44" s="180"/>
      <c r="BZ44" s="180"/>
      <c r="CA44" s="180"/>
      <c r="CB44" s="180"/>
      <c r="CC44" s="180"/>
      <c r="CD44" s="180"/>
      <c r="CE44" s="180"/>
      <c r="CF44" s="180"/>
      <c r="CG44" s="180"/>
      <c r="CH44" s="180"/>
      <c r="CI44" s="180"/>
      <c r="CJ44" s="180"/>
      <c r="CK44" s="180"/>
      <c r="CL44" s="180"/>
      <c r="CM44" s="180"/>
      <c r="CN44" s="180"/>
      <c r="CO44" s="180"/>
      <c r="CP44" s="180"/>
    </row>
    <row r="45" spans="1:94" x14ac:dyDescent="0.25">
      <c r="A45" s="136"/>
      <c r="B45" s="136"/>
      <c r="C45" s="136"/>
      <c r="D45" s="136"/>
      <c r="E45" s="136"/>
      <c r="F45" s="136" t="s">
        <v>204</v>
      </c>
      <c r="G45" s="136"/>
      <c r="H45" s="136"/>
      <c r="I45" s="136"/>
      <c r="J45" s="136"/>
      <c r="K45" s="136"/>
      <c r="L45" s="136"/>
      <c r="M45" s="136"/>
      <c r="N45" s="136"/>
      <c r="O45" s="136"/>
      <c r="P45" s="136"/>
      <c r="Q45" s="136"/>
      <c r="R45" s="136"/>
      <c r="S45" s="136"/>
      <c r="T45" s="136"/>
      <c r="U45" s="136"/>
      <c r="V45" s="136"/>
      <c r="W45" s="136"/>
      <c r="X45" s="136"/>
      <c r="Y45" s="136"/>
      <c r="Z45" s="136"/>
      <c r="AA45" s="136"/>
      <c r="AB45" s="136"/>
      <c r="AC45" s="136"/>
      <c r="AD45" s="136"/>
      <c r="AE45" s="136"/>
      <c r="AF45" s="136"/>
      <c r="AG45" s="136"/>
      <c r="AH45" s="136"/>
      <c r="AI45" s="136"/>
      <c r="AJ45" s="136"/>
      <c r="AK45" s="136"/>
      <c r="AL45" s="136"/>
      <c r="AM45" s="136"/>
      <c r="AN45" s="136"/>
      <c r="AO45" s="136"/>
      <c r="AP45" s="136"/>
      <c r="AQ45" s="136"/>
      <c r="AR45" s="136"/>
      <c r="AS45" s="136"/>
      <c r="AT45" s="136"/>
      <c r="AU45" s="179"/>
      <c r="AV45" s="136"/>
      <c r="AW45" s="136"/>
      <c r="AX45" s="136"/>
      <c r="AY45" s="136"/>
      <c r="AZ45" s="136"/>
      <c r="BA45" s="136"/>
      <c r="BB45" s="136"/>
      <c r="BC45" s="136"/>
      <c r="BD45" s="136"/>
      <c r="BE45" s="136"/>
      <c r="BF45" s="136"/>
      <c r="BG45" s="136"/>
      <c r="BH45" s="136"/>
      <c r="BI45" s="136"/>
      <c r="BJ45" s="136"/>
      <c r="BK45" s="180"/>
      <c r="BL45" s="180"/>
      <c r="BM45" s="180"/>
      <c r="BN45" s="180"/>
      <c r="BO45" s="180"/>
      <c r="BP45" s="180"/>
      <c r="BQ45" s="180"/>
      <c r="BR45" s="180"/>
      <c r="BS45" s="180"/>
      <c r="BT45" s="180"/>
      <c r="BU45" s="180"/>
      <c r="BV45" s="180"/>
      <c r="BW45" s="180"/>
      <c r="BX45" s="180"/>
      <c r="BY45" s="180"/>
      <c r="BZ45" s="180"/>
      <c r="CA45" s="180"/>
      <c r="CB45" s="180"/>
      <c r="CC45" s="180"/>
      <c r="CD45" s="180"/>
      <c r="CE45" s="180"/>
      <c r="CF45" s="180"/>
      <c r="CG45" s="180"/>
      <c r="CH45" s="180"/>
      <c r="CI45" s="180"/>
      <c r="CJ45" s="180"/>
      <c r="CK45" s="180"/>
      <c r="CL45" s="180"/>
      <c r="CM45" s="180"/>
      <c r="CN45" s="180"/>
      <c r="CO45" s="180"/>
      <c r="CP45" s="180"/>
    </row>
    <row r="46" spans="1:94" x14ac:dyDescent="0.25">
      <c r="A46" s="136"/>
      <c r="B46" s="136"/>
      <c r="C46" s="136"/>
      <c r="D46" s="136"/>
      <c r="E46" s="136"/>
      <c r="F46" s="136"/>
      <c r="G46" s="136"/>
      <c r="H46" s="136"/>
      <c r="I46" s="136"/>
      <c r="J46" s="136" t="s">
        <v>210</v>
      </c>
      <c r="K46" s="136"/>
      <c r="L46" s="136"/>
      <c r="M46" s="136"/>
      <c r="N46" s="136"/>
      <c r="O46" s="136"/>
      <c r="P46" s="136"/>
      <c r="Q46" s="136"/>
      <c r="R46" s="136"/>
      <c r="S46" s="136"/>
      <c r="T46" s="136"/>
      <c r="U46" s="136"/>
      <c r="V46" s="136"/>
      <c r="W46" s="136"/>
      <c r="X46" s="136"/>
      <c r="Y46" s="136"/>
      <c r="Z46" s="136"/>
      <c r="AA46" s="136"/>
      <c r="AB46" s="136"/>
      <c r="AC46" s="136"/>
      <c r="AD46" s="136"/>
      <c r="AE46" s="136"/>
      <c r="AF46" s="136"/>
      <c r="AG46" s="136"/>
      <c r="AH46" s="136"/>
      <c r="AI46" s="136"/>
      <c r="AJ46" s="136"/>
      <c r="AK46" s="136"/>
      <c r="AL46" s="136"/>
      <c r="AM46" s="136"/>
      <c r="AN46" s="136"/>
      <c r="AO46" s="136"/>
      <c r="AP46" s="136"/>
      <c r="AQ46" s="136"/>
      <c r="AR46" s="136"/>
      <c r="AS46" s="136"/>
      <c r="AT46" s="136"/>
      <c r="AU46" s="179"/>
      <c r="AV46" s="136"/>
      <c r="AW46" s="136"/>
      <c r="AX46" s="136"/>
      <c r="AY46" s="136"/>
      <c r="AZ46" s="136"/>
      <c r="BA46" s="136"/>
      <c r="BB46" s="136"/>
      <c r="BC46" s="136"/>
      <c r="BD46" s="136"/>
      <c r="BE46" s="136"/>
      <c r="BF46" s="136"/>
      <c r="BG46" s="136"/>
      <c r="BH46" s="136"/>
      <c r="BI46" s="136"/>
      <c r="BJ46" s="136"/>
      <c r="BK46" s="180"/>
      <c r="BL46" s="180"/>
      <c r="BM46" s="180"/>
      <c r="BN46" s="180"/>
      <c r="BO46" s="180"/>
      <c r="BP46" s="180"/>
      <c r="BQ46" s="180"/>
      <c r="BR46" s="180"/>
      <c r="BS46" s="180"/>
      <c r="BT46" s="180"/>
      <c r="BU46" s="180"/>
      <c r="BV46" s="180"/>
      <c r="BW46" s="180"/>
      <c r="BX46" s="180"/>
      <c r="BY46" s="180"/>
      <c r="BZ46" s="180"/>
      <c r="CA46" s="180"/>
      <c r="CB46" s="180"/>
      <c r="CC46" s="180"/>
      <c r="CD46" s="180"/>
      <c r="CE46" s="180"/>
      <c r="CF46" s="180"/>
      <c r="CG46" s="180"/>
      <c r="CH46" s="180"/>
      <c r="CI46" s="180"/>
      <c r="CJ46" s="180"/>
      <c r="CK46" s="180"/>
      <c r="CL46" s="180"/>
      <c r="CM46" s="180"/>
      <c r="CN46" s="180"/>
      <c r="CO46" s="180"/>
      <c r="CP46" s="180"/>
    </row>
    <row r="47" spans="1:94" ht="14.5" x14ac:dyDescent="0.3">
      <c r="A47" s="177"/>
      <c r="B47" s="177"/>
      <c r="C47" s="177"/>
      <c r="D47" s="177"/>
      <c r="E47" s="177"/>
      <c r="F47" s="177"/>
      <c r="G47" s="177"/>
      <c r="H47" s="177"/>
      <c r="I47" s="136"/>
      <c r="J47" s="136"/>
      <c r="K47" s="136"/>
      <c r="L47" s="136"/>
      <c r="M47" s="136"/>
      <c r="N47" s="136"/>
      <c r="O47" s="136"/>
      <c r="P47" s="136"/>
      <c r="Q47" s="136"/>
      <c r="R47" s="136"/>
      <c r="S47" s="136"/>
      <c r="T47" s="136"/>
      <c r="U47" s="136"/>
      <c r="V47" s="136"/>
      <c r="W47" s="136"/>
      <c r="X47" s="136"/>
      <c r="Y47" s="136"/>
      <c r="Z47" s="136"/>
      <c r="AA47" s="136"/>
      <c r="AB47" s="136"/>
      <c r="AC47" s="136"/>
      <c r="AD47" s="136"/>
      <c r="AE47" s="136"/>
      <c r="AF47" s="136"/>
      <c r="AG47" s="136"/>
      <c r="AH47" s="136"/>
      <c r="AI47" s="136"/>
      <c r="AJ47" s="136"/>
      <c r="AK47" s="136"/>
      <c r="AL47" s="136"/>
      <c r="AM47" s="136"/>
      <c r="AN47" s="136"/>
      <c r="AO47" s="136"/>
      <c r="AP47" s="136"/>
      <c r="AQ47" s="136"/>
      <c r="AR47" s="136"/>
      <c r="AS47" s="136"/>
      <c r="AT47" s="136"/>
      <c r="AU47" s="179"/>
      <c r="AV47" s="136"/>
      <c r="AW47" s="136"/>
      <c r="AX47" s="136"/>
      <c r="AY47" s="136"/>
      <c r="AZ47" s="136"/>
      <c r="BA47" s="136"/>
      <c r="BB47" s="136"/>
      <c r="BC47" s="136"/>
      <c r="BD47" s="136"/>
      <c r="BE47" s="136"/>
      <c r="BF47" s="136"/>
      <c r="BG47" s="136"/>
      <c r="BH47" s="136"/>
      <c r="BI47" s="136"/>
      <c r="BJ47" s="136"/>
      <c r="BK47" s="180"/>
      <c r="BL47" s="180"/>
      <c r="BM47" s="180"/>
      <c r="BN47" s="180"/>
      <c r="BO47" s="180"/>
      <c r="BP47" s="180"/>
      <c r="BQ47" s="180"/>
      <c r="BR47" s="180"/>
      <c r="BS47" s="180"/>
      <c r="BT47" s="180"/>
      <c r="BU47" s="180"/>
      <c r="BV47" s="180"/>
      <c r="BW47" s="180"/>
      <c r="BX47" s="180"/>
      <c r="BY47" s="180"/>
      <c r="BZ47" s="180"/>
      <c r="CA47" s="180"/>
      <c r="CB47" s="180"/>
      <c r="CC47" s="180"/>
      <c r="CD47" s="180"/>
      <c r="CE47" s="180"/>
      <c r="CF47" s="180"/>
      <c r="CG47" s="180"/>
      <c r="CH47" s="180"/>
      <c r="CI47" s="180"/>
      <c r="CJ47" s="180"/>
      <c r="CK47" s="180"/>
      <c r="CL47" s="180"/>
      <c r="CM47" s="180"/>
      <c r="CN47" s="180"/>
      <c r="CO47" s="180"/>
      <c r="CP47" s="180"/>
    </row>
    <row r="48" spans="1:94" ht="14.5" x14ac:dyDescent="0.3">
      <c r="A48" s="177" t="s">
        <v>203</v>
      </c>
      <c r="B48" s="177" t="s">
        <v>187</v>
      </c>
      <c r="C48" s="177" t="s">
        <v>219</v>
      </c>
      <c r="D48" s="177" t="s">
        <v>220</v>
      </c>
      <c r="E48" s="177" t="s">
        <v>221</v>
      </c>
      <c r="F48" s="177" t="s">
        <v>222</v>
      </c>
      <c r="G48" s="177" t="s">
        <v>223</v>
      </c>
      <c r="H48" s="177" t="s">
        <v>224</v>
      </c>
      <c r="I48" s="136"/>
      <c r="J48" s="177" t="s">
        <v>225</v>
      </c>
      <c r="K48" s="177" t="s">
        <v>226</v>
      </c>
      <c r="L48" s="136"/>
      <c r="M48" s="136"/>
      <c r="N48" s="177" t="s">
        <v>227</v>
      </c>
      <c r="O48" s="136"/>
      <c r="P48" s="136"/>
      <c r="Q48" s="136"/>
      <c r="R48" s="136"/>
      <c r="S48" s="136"/>
      <c r="T48" s="136"/>
      <c r="U48" s="136"/>
      <c r="V48" s="136"/>
      <c r="W48" s="136"/>
      <c r="X48" s="136"/>
      <c r="Y48" s="136"/>
      <c r="Z48" s="136"/>
      <c r="AA48" s="136"/>
      <c r="AB48" s="136"/>
      <c r="AC48" s="136"/>
      <c r="AD48" s="136"/>
      <c r="AE48" s="136"/>
      <c r="AF48" s="136"/>
      <c r="AG48" s="136"/>
      <c r="AH48" s="136"/>
      <c r="AI48" s="136"/>
      <c r="AJ48" s="136"/>
      <c r="AK48" s="136"/>
      <c r="AL48" s="136"/>
      <c r="AM48" s="136"/>
      <c r="AN48" s="136"/>
      <c r="AO48" s="136"/>
      <c r="AP48" s="136"/>
      <c r="AQ48" s="136"/>
      <c r="AR48" s="136"/>
      <c r="AS48" s="136"/>
      <c r="AT48" s="136"/>
      <c r="AU48" s="179"/>
      <c r="AV48" s="136"/>
      <c r="AW48" s="136"/>
      <c r="AX48" s="136"/>
      <c r="AY48" s="136"/>
      <c r="AZ48" s="136"/>
      <c r="BA48" s="136"/>
      <c r="BB48" s="136"/>
      <c r="BC48" s="136"/>
      <c r="BD48" s="136"/>
      <c r="BE48" s="136"/>
      <c r="BF48" s="136"/>
      <c r="BG48" s="136"/>
      <c r="BH48" s="136"/>
      <c r="BI48" s="136"/>
      <c r="BJ48" s="136"/>
      <c r="BK48" s="180"/>
      <c r="BL48" s="180"/>
      <c r="BM48" s="180"/>
      <c r="BN48" s="180"/>
      <c r="BO48" s="180"/>
      <c r="BP48" s="180"/>
      <c r="BQ48" s="180"/>
      <c r="BR48" s="180"/>
      <c r="BS48" s="180"/>
      <c r="BT48" s="180"/>
      <c r="BU48" s="180"/>
      <c r="BV48" s="180"/>
      <c r="BW48" s="180"/>
      <c r="BX48" s="180"/>
      <c r="BY48" s="180"/>
      <c r="BZ48" s="180"/>
      <c r="CA48" s="180"/>
      <c r="CB48" s="180"/>
      <c r="CC48" s="180"/>
      <c r="CD48" s="180"/>
      <c r="CE48" s="180"/>
      <c r="CF48" s="180"/>
      <c r="CG48" s="180"/>
      <c r="CH48" s="180"/>
      <c r="CI48" s="180"/>
      <c r="CJ48" s="180"/>
      <c r="CK48" s="180"/>
      <c r="CL48" s="180"/>
      <c r="CM48" s="180"/>
      <c r="CN48" s="180"/>
      <c r="CO48" s="180"/>
      <c r="CP48" s="180"/>
    </row>
    <row r="49" spans="1:119" x14ac:dyDescent="0.25">
      <c r="A49" s="136">
        <v>0</v>
      </c>
      <c r="B49" s="136">
        <f t="shared" ref="B49:B112" si="0">Fstart*10^(Step*A49)</f>
        <v>1</v>
      </c>
      <c r="C49" s="136" t="str">
        <f>COMPLEX(0,2*PI()*B49,"j")</f>
        <v>6.28318530717959j</v>
      </c>
      <c r="D49" s="136">
        <f t="shared" ref="D49:D112" si="1">(IMPRODUCT(C49,C49))/Wn^2 + 1</f>
        <v>0.999999999975</v>
      </c>
      <c r="E49" s="136" t="str">
        <f t="shared" ref="E49:E112" si="2">IMDIV(C49,Wn*Qn)</f>
        <v>-7.85398163397449E-06j</v>
      </c>
      <c r="F49" s="136" t="str">
        <f>IMSUM(D49,E49)</f>
        <v>0.999999999975-7.85398163397449E-06j</v>
      </c>
      <c r="G49" s="136">
        <f>20*LOG(IMABS(F49),10)</f>
        <v>5.0746768599751931E-11</v>
      </c>
      <c r="H49" s="136">
        <f>(IMARGUMENT(F49)*(180/PI()))</f>
        <v>-4.5000000000199768E-4</v>
      </c>
      <c r="I49" s="136"/>
      <c r="J49" s="136">
        <f t="shared" ref="J49:J112" si="3">Vin/(Rout+DCR/1000)</f>
        <v>7.0726915520628681</v>
      </c>
      <c r="K49" s="136" t="str">
        <f t="shared" ref="K49:K112" si="4">IMSUM(1,IMPRODUCT(C49,ncap*(cap*10^-6)*(Rout+(esr/(ncap*1000)))))</f>
        <v>1+0.000461181612756777j</v>
      </c>
      <c r="L49" s="136">
        <f t="shared" ref="L49:L112" si="5">(IMPRODUCT(C49,C49))/Gdo^2 + 1</f>
        <v>0.9999999883864702</v>
      </c>
      <c r="M49" s="136" t="str">
        <f t="shared" ref="M49:M112" si="6">IMDIV(C49,Q*Gdo)</f>
        <v>0.0000337512964020958j</v>
      </c>
      <c r="N49" s="136" t="str">
        <f>IMSUM(L49,M49)</f>
        <v>0.99999998838647+0.0000337512964020958j</v>
      </c>
      <c r="O49" s="136"/>
      <c r="P49" s="136"/>
      <c r="Q49" s="136"/>
      <c r="R49" s="136"/>
      <c r="S49" s="136"/>
      <c r="T49" s="136"/>
      <c r="U49" s="136"/>
      <c r="V49" s="136"/>
      <c r="W49" s="136"/>
      <c r="X49" s="136"/>
      <c r="Y49" s="136"/>
      <c r="Z49" s="136"/>
      <c r="AA49" s="136"/>
      <c r="AB49" s="136"/>
      <c r="AC49" s="136"/>
      <c r="AD49" s="136"/>
      <c r="AE49" s="136"/>
      <c r="AF49" s="136"/>
      <c r="AG49" s="136"/>
      <c r="AH49" s="136"/>
      <c r="AI49" s="136"/>
      <c r="AJ49" s="136"/>
      <c r="AK49" s="136"/>
      <c r="AL49" s="136"/>
      <c r="AM49" s="136"/>
      <c r="AN49" s="136"/>
      <c r="AO49" s="136"/>
      <c r="AP49" s="136"/>
      <c r="AQ49" s="136"/>
      <c r="AR49" s="136"/>
      <c r="AS49" s="136"/>
      <c r="AT49" s="136"/>
      <c r="AU49" s="179"/>
      <c r="AV49" s="136"/>
      <c r="AW49" s="136"/>
      <c r="AX49" s="136"/>
      <c r="AY49" s="136"/>
      <c r="AZ49" s="136"/>
      <c r="BA49" s="136"/>
      <c r="BB49" s="136"/>
      <c r="BC49" s="136"/>
      <c r="BD49" s="136"/>
      <c r="BE49" s="136"/>
      <c r="BF49" s="136"/>
      <c r="BG49" s="136"/>
      <c r="BH49" s="136"/>
      <c r="BI49" s="136"/>
      <c r="BJ49" s="136"/>
      <c r="BK49" s="136"/>
      <c r="BL49" s="136"/>
      <c r="BM49" s="136"/>
      <c r="BN49" s="136"/>
      <c r="BO49" s="136"/>
      <c r="BP49" s="136"/>
      <c r="BQ49" s="136"/>
      <c r="BR49" s="136"/>
      <c r="BS49" s="136"/>
      <c r="BT49" s="136"/>
      <c r="BU49" s="136"/>
      <c r="BV49" s="136"/>
      <c r="BW49" s="136"/>
      <c r="BX49" s="136"/>
      <c r="BY49" s="136"/>
      <c r="BZ49" s="136"/>
      <c r="CA49" s="136"/>
      <c r="CB49" s="136"/>
      <c r="CC49" s="136"/>
      <c r="CD49" s="136"/>
      <c r="CE49" s="136"/>
      <c r="CF49" s="136"/>
      <c r="CG49" s="136"/>
      <c r="CH49" s="136"/>
      <c r="CI49" s="136"/>
      <c r="CJ49" s="136"/>
      <c r="CK49" s="136"/>
      <c r="CL49" s="136"/>
      <c r="CM49" s="136"/>
      <c r="CN49" s="136"/>
      <c r="CO49" s="136"/>
      <c r="CP49" s="136"/>
      <c r="CQ49" s="65"/>
      <c r="CR49" s="65"/>
      <c r="CS49" s="65"/>
      <c r="CT49" s="65"/>
      <c r="CU49" s="65"/>
      <c r="CV49" s="65"/>
      <c r="CW49" s="65"/>
      <c r="CX49" s="65"/>
      <c r="CY49" s="65"/>
      <c r="CZ49" s="65"/>
      <c r="DA49" s="65"/>
      <c r="DB49" s="65"/>
      <c r="DC49" s="65"/>
      <c r="DD49" s="65"/>
      <c r="DE49" s="65"/>
      <c r="DF49" s="65"/>
      <c r="DG49" s="65"/>
      <c r="DH49" s="65"/>
      <c r="DI49" s="65"/>
      <c r="DJ49" s="65"/>
      <c r="DK49" s="65"/>
    </row>
    <row r="50" spans="1:119" x14ac:dyDescent="0.25">
      <c r="A50" s="136">
        <v>1</v>
      </c>
      <c r="B50" s="136">
        <f t="shared" si="0"/>
        <v>1.0715193052376064</v>
      </c>
      <c r="C50" s="136" t="str">
        <f t="shared" ref="C50:C113" si="7">COMPLEX(0,2*PI()*B50,"j")</f>
        <v>6.73255435502821j</v>
      </c>
      <c r="D50" s="136">
        <f t="shared" si="1"/>
        <v>0.99999999997129618</v>
      </c>
      <c r="E50" s="136" t="str">
        <f t="shared" si="2"/>
        <v>-8.41569294378526E-06j</v>
      </c>
      <c r="F50" s="136" t="str">
        <f t="shared" ref="F50:F113" si="8">IMSUM(D50,E50)</f>
        <v>0.999999999971296-8.41569294378526E-06j</v>
      </c>
      <c r="G50" s="136">
        <f t="shared" ref="G50:G113" si="9">20*LOG(IMABS(F50),10)</f>
        <v>5.8264665528954174E-11</v>
      </c>
      <c r="H50" s="136">
        <f t="shared" ref="H50:H113" si="10">(IMARGUMENT(F50)*(180/PI()))</f>
        <v>-4.821836873593802E-4</v>
      </c>
      <c r="I50" s="136"/>
      <c r="J50" s="136">
        <f t="shared" si="3"/>
        <v>7.0726915520628681</v>
      </c>
      <c r="K50" s="136" t="str">
        <f t="shared" si="4"/>
        <v>1+0.000494165001289501j</v>
      </c>
      <c r="L50" s="136">
        <f t="shared" si="5"/>
        <v>0.99999998666588374</v>
      </c>
      <c r="M50" s="136" t="str">
        <f t="shared" si="6"/>
        <v>0.0000361651656716422j</v>
      </c>
      <c r="N50" s="136" t="str">
        <f t="shared" ref="N50:N113" si="11">IMSUM(L50,M50)</f>
        <v>0.999999986665884+0.0000361651656716422j</v>
      </c>
      <c r="O50" s="136"/>
      <c r="P50" s="136"/>
      <c r="Q50" s="136"/>
      <c r="R50" s="136"/>
      <c r="S50" s="136"/>
      <c r="T50" s="136"/>
      <c r="U50" s="136"/>
      <c r="V50" s="136"/>
      <c r="W50" s="136"/>
      <c r="X50" s="136"/>
      <c r="Y50" s="136"/>
      <c r="Z50" s="136"/>
      <c r="AA50" s="136"/>
      <c r="AB50" s="136"/>
      <c r="AC50" s="136"/>
      <c r="AD50" s="136"/>
      <c r="AE50" s="136"/>
      <c r="AF50" s="136"/>
      <c r="AG50" s="136"/>
      <c r="AH50" s="136"/>
      <c r="AI50" s="136"/>
      <c r="AJ50" s="136"/>
      <c r="AK50" s="136"/>
      <c r="AL50" s="136"/>
      <c r="AM50" s="136"/>
      <c r="AN50" s="136"/>
      <c r="AO50" s="136"/>
      <c r="AP50" s="136"/>
      <c r="AQ50" s="136"/>
      <c r="AR50" s="136"/>
      <c r="AS50" s="136"/>
      <c r="AT50" s="136"/>
      <c r="AU50" s="179"/>
      <c r="AV50" s="136"/>
      <c r="AW50" s="136"/>
      <c r="AX50" s="136"/>
      <c r="AY50" s="136"/>
      <c r="AZ50" s="136"/>
      <c r="BA50" s="136"/>
      <c r="BB50" s="136"/>
      <c r="BC50" s="136"/>
      <c r="BD50" s="136"/>
      <c r="BE50" s="136"/>
      <c r="BF50" s="136"/>
      <c r="BG50" s="136"/>
      <c r="BH50" s="136"/>
      <c r="BI50" s="136"/>
      <c r="BJ50" s="136"/>
      <c r="BK50" s="136"/>
      <c r="BL50" s="136"/>
      <c r="BM50" s="136"/>
      <c r="BN50" s="136"/>
      <c r="BO50" s="136"/>
      <c r="BP50" s="136"/>
      <c r="BQ50" s="136"/>
      <c r="BR50" s="136"/>
      <c r="BS50" s="136"/>
      <c r="BT50" s="136"/>
      <c r="BU50" s="136"/>
      <c r="BV50" s="136"/>
      <c r="BW50" s="136"/>
      <c r="BX50" s="136"/>
      <c r="BY50" s="136"/>
      <c r="BZ50" s="136"/>
      <c r="CA50" s="136"/>
      <c r="CB50" s="136"/>
      <c r="CC50" s="136"/>
      <c r="CD50" s="136"/>
      <c r="CE50" s="136"/>
      <c r="CF50" s="136"/>
      <c r="CG50" s="136"/>
      <c r="CH50" s="136"/>
      <c r="CI50" s="136"/>
      <c r="CJ50" s="136"/>
      <c r="CK50" s="136"/>
      <c r="CL50" s="136"/>
      <c r="CM50" s="136"/>
      <c r="CN50" s="136"/>
      <c r="CO50" s="136"/>
      <c r="CP50" s="136"/>
      <c r="CQ50" s="65"/>
      <c r="CR50" s="65"/>
      <c r="CS50" s="65"/>
      <c r="CT50" s="65"/>
      <c r="CU50" s="65"/>
      <c r="CV50" s="65"/>
      <c r="CW50" s="65"/>
      <c r="CX50" s="65"/>
      <c r="CY50" s="65"/>
      <c r="CZ50" s="65"/>
      <c r="DA50" s="65"/>
      <c r="DB50" s="65"/>
      <c r="DC50" s="65"/>
      <c r="DD50" s="65"/>
      <c r="DE50" s="65"/>
      <c r="DF50" s="65"/>
      <c r="DG50" s="65"/>
      <c r="DH50" s="65"/>
      <c r="DI50" s="65"/>
      <c r="DJ50" s="65"/>
      <c r="DK50" s="65"/>
    </row>
    <row r="51" spans="1:119" x14ac:dyDescent="0.25">
      <c r="A51" s="136">
        <v>2</v>
      </c>
      <c r="B51" s="136">
        <f t="shared" si="0"/>
        <v>1.1481536214968828</v>
      </c>
      <c r="C51" s="136" t="str">
        <f t="shared" si="7"/>
        <v>7.21406196497425j</v>
      </c>
      <c r="D51" s="136">
        <f t="shared" si="1"/>
        <v>0.99999999996704358</v>
      </c>
      <c r="E51" s="136" t="str">
        <f t="shared" si="2"/>
        <v>-9.01757745621781E-06j</v>
      </c>
      <c r="F51" s="136" t="str">
        <f t="shared" si="8"/>
        <v>0.999999999967044-9.01757745621781E-06j</v>
      </c>
      <c r="G51" s="136">
        <f t="shared" si="9"/>
        <v>6.6901182319343202E-11</v>
      </c>
      <c r="H51" s="136">
        <f t="shared" si="10"/>
        <v>-5.1666912967662012E-4</v>
      </c>
      <c r="I51" s="136"/>
      <c r="J51" s="136">
        <f t="shared" si="3"/>
        <v>7.0726915520628681</v>
      </c>
      <c r="K51" s="136" t="str">
        <f t="shared" si="4"/>
        <v>1+0.000529507338854467j</v>
      </c>
      <c r="L51" s="136">
        <f t="shared" si="5"/>
        <v>0.99999998469038609</v>
      </c>
      <c r="M51" s="136" t="str">
        <f t="shared" si="6"/>
        <v>0.000038751673194281j</v>
      </c>
      <c r="N51" s="136" t="str">
        <f t="shared" si="11"/>
        <v>0.999999984690386+0.000038751673194281j</v>
      </c>
      <c r="O51" s="136"/>
      <c r="P51" s="136"/>
      <c r="Q51" s="136"/>
      <c r="R51" s="136"/>
      <c r="S51" s="136"/>
      <c r="T51" s="136"/>
      <c r="U51" s="136"/>
      <c r="V51" s="136"/>
      <c r="W51" s="136"/>
      <c r="X51" s="136"/>
      <c r="Y51" s="136"/>
      <c r="Z51" s="136"/>
      <c r="AA51" s="136"/>
      <c r="AB51" s="136"/>
      <c r="AC51" s="136"/>
      <c r="AD51" s="136"/>
      <c r="AE51" s="136"/>
      <c r="AF51" s="136"/>
      <c r="AG51" s="136"/>
      <c r="AH51" s="136"/>
      <c r="AI51" s="136"/>
      <c r="AJ51" s="136"/>
      <c r="AK51" s="136"/>
      <c r="AL51" s="136"/>
      <c r="AM51" s="136"/>
      <c r="AN51" s="136"/>
      <c r="AO51" s="136"/>
      <c r="AP51" s="136"/>
      <c r="AQ51" s="136"/>
      <c r="AR51" s="136"/>
      <c r="AS51" s="136"/>
      <c r="AT51" s="136"/>
      <c r="AU51" s="179"/>
      <c r="AV51" s="136"/>
      <c r="AW51" s="136"/>
      <c r="AX51" s="136"/>
      <c r="AY51" s="136"/>
      <c r="AZ51" s="136"/>
      <c r="BA51" s="136"/>
      <c r="BB51" s="136"/>
      <c r="BC51" s="136"/>
      <c r="BD51" s="136"/>
      <c r="BE51" s="136"/>
      <c r="BF51" s="136"/>
      <c r="BG51" s="136"/>
      <c r="BH51" s="136"/>
      <c r="BI51" s="136"/>
      <c r="BJ51" s="136"/>
      <c r="BK51" s="136"/>
      <c r="BL51" s="136"/>
      <c r="BM51" s="136"/>
      <c r="BN51" s="136"/>
      <c r="BO51" s="136"/>
      <c r="BP51" s="136"/>
      <c r="BQ51" s="136"/>
      <c r="BR51" s="136"/>
      <c r="BS51" s="136"/>
      <c r="BT51" s="136"/>
      <c r="BU51" s="136"/>
      <c r="BV51" s="136"/>
      <c r="BW51" s="136"/>
      <c r="BX51" s="136"/>
      <c r="BY51" s="136"/>
      <c r="BZ51" s="136"/>
      <c r="CA51" s="136"/>
      <c r="CB51" s="136"/>
      <c r="CC51" s="136"/>
      <c r="CD51" s="136"/>
      <c r="CE51" s="136"/>
      <c r="CF51" s="136"/>
      <c r="CG51" s="136"/>
      <c r="CH51" s="136"/>
      <c r="CI51" s="136"/>
      <c r="CJ51" s="136"/>
      <c r="CK51" s="136"/>
      <c r="CL51" s="136"/>
      <c r="CM51" s="136"/>
      <c r="CN51" s="136"/>
      <c r="CO51" s="136"/>
      <c r="CP51" s="136"/>
      <c r="CQ51" s="65"/>
      <c r="CR51" s="65"/>
      <c r="CS51" s="65"/>
      <c r="CT51" s="65"/>
      <c r="CU51" s="65"/>
      <c r="CV51" s="65"/>
      <c r="CW51" s="65"/>
      <c r="CX51" s="65"/>
      <c r="CY51" s="65"/>
      <c r="CZ51" s="65"/>
      <c r="DA51" s="65"/>
      <c r="DB51" s="65"/>
      <c r="DC51" s="65"/>
      <c r="DD51" s="65"/>
      <c r="DE51" s="65"/>
      <c r="DF51" s="65"/>
      <c r="DG51" s="65"/>
      <c r="DH51" s="65"/>
      <c r="DI51" s="65"/>
      <c r="DJ51" s="65"/>
      <c r="DK51" s="65"/>
    </row>
    <row r="52" spans="1:119" x14ac:dyDescent="0.25">
      <c r="A52" s="136">
        <v>3</v>
      </c>
      <c r="B52" s="136">
        <f t="shared" si="0"/>
        <v>1.2302687708123816</v>
      </c>
      <c r="C52" s="136" t="str">
        <f t="shared" si="7"/>
        <v>7.73000666465025j</v>
      </c>
      <c r="D52" s="136">
        <f t="shared" si="1"/>
        <v>0.99999999996216093</v>
      </c>
      <c r="E52" s="136" t="str">
        <f t="shared" si="2"/>
        <v>-9.66250833081281E-06j</v>
      </c>
      <c r="F52" s="136" t="str">
        <f t="shared" si="8"/>
        <v>0.999999999962161-9.66250833081281E-06j</v>
      </c>
      <c r="G52" s="136">
        <f t="shared" si="9"/>
        <v>7.6810611365562793E-11</v>
      </c>
      <c r="H52" s="136">
        <f t="shared" si="10"/>
        <v>-5.5362094686929088E-4</v>
      </c>
      <c r="I52" s="136"/>
      <c r="J52" s="136">
        <f t="shared" si="3"/>
        <v>7.0726915520628681</v>
      </c>
      <c r="K52" s="136" t="str">
        <f t="shared" si="4"/>
        <v>1+0.000567377335847552j</v>
      </c>
      <c r="L52" s="136">
        <f t="shared" si="5"/>
        <v>0.99999998242221144</v>
      </c>
      <c r="M52" s="136" t="str">
        <f t="shared" si="6"/>
        <v>0.0000415231659379307j</v>
      </c>
      <c r="N52" s="136" t="str">
        <f t="shared" si="11"/>
        <v>0.999999982422211+0.0000415231659379307j</v>
      </c>
      <c r="O52" s="136"/>
      <c r="P52" s="136"/>
      <c r="Q52" s="136"/>
      <c r="R52" s="136"/>
      <c r="S52" s="136"/>
      <c r="T52" s="136"/>
      <c r="U52" s="136"/>
      <c r="V52" s="136"/>
      <c r="W52" s="136"/>
      <c r="X52" s="136"/>
      <c r="Y52" s="136"/>
      <c r="Z52" s="136"/>
      <c r="AA52" s="136"/>
      <c r="AB52" s="136"/>
      <c r="AC52" s="136"/>
      <c r="AD52" s="136"/>
      <c r="AE52" s="136"/>
      <c r="AF52" s="136"/>
      <c r="AG52" s="136"/>
      <c r="AH52" s="136"/>
      <c r="AI52" s="136"/>
      <c r="AJ52" s="136"/>
      <c r="AK52" s="136"/>
      <c r="AL52" s="136"/>
      <c r="AM52" s="136"/>
      <c r="AN52" s="136"/>
      <c r="AO52" s="136"/>
      <c r="AP52" s="136"/>
      <c r="AQ52" s="136"/>
      <c r="AR52" s="136"/>
      <c r="AS52" s="136"/>
      <c r="AT52" s="136"/>
      <c r="AU52" s="179"/>
      <c r="AV52" s="136"/>
      <c r="AW52" s="136"/>
      <c r="AX52" s="136"/>
      <c r="AY52" s="136"/>
      <c r="AZ52" s="136"/>
      <c r="BA52" s="136"/>
      <c r="BB52" s="136"/>
      <c r="BC52" s="136"/>
      <c r="BD52" s="136"/>
      <c r="BE52" s="136"/>
      <c r="BF52" s="136"/>
      <c r="BG52" s="136"/>
      <c r="BH52" s="136"/>
      <c r="BI52" s="136"/>
      <c r="BJ52" s="136"/>
      <c r="BK52" s="136"/>
      <c r="BL52" s="136"/>
      <c r="BM52" s="136"/>
      <c r="BN52" s="136"/>
      <c r="BO52" s="136"/>
      <c r="BP52" s="136"/>
      <c r="BQ52" s="136"/>
      <c r="BR52" s="136"/>
      <c r="BS52" s="136"/>
      <c r="BT52" s="136"/>
      <c r="BU52" s="136"/>
      <c r="BV52" s="136"/>
      <c r="BW52" s="136"/>
      <c r="BX52" s="136"/>
      <c r="BY52" s="136"/>
      <c r="BZ52" s="136"/>
      <c r="CA52" s="136"/>
      <c r="CB52" s="136"/>
      <c r="CC52" s="136"/>
      <c r="CD52" s="136"/>
      <c r="CE52" s="136"/>
      <c r="CF52" s="136"/>
      <c r="CG52" s="136"/>
      <c r="CH52" s="136"/>
      <c r="CI52" s="136"/>
      <c r="CJ52" s="136"/>
      <c r="CK52" s="136"/>
      <c r="CL52" s="136"/>
      <c r="CM52" s="136"/>
      <c r="CN52" s="136"/>
      <c r="CO52" s="136"/>
      <c r="CP52" s="136"/>
      <c r="CQ52" s="65"/>
      <c r="CR52" s="65"/>
      <c r="CS52" s="65"/>
      <c r="CT52" s="65"/>
      <c r="CU52" s="65"/>
      <c r="CV52" s="65"/>
      <c r="CW52" s="65"/>
      <c r="CX52" s="65"/>
      <c r="CY52" s="65"/>
      <c r="CZ52" s="65"/>
      <c r="DA52" s="65"/>
      <c r="DB52" s="65"/>
      <c r="DC52" s="65"/>
      <c r="DD52" s="65"/>
      <c r="DE52" s="65"/>
      <c r="DF52" s="65"/>
      <c r="DG52" s="65"/>
      <c r="DH52" s="65"/>
      <c r="DI52" s="65"/>
      <c r="DJ52" s="65"/>
      <c r="DK52" s="65"/>
    </row>
    <row r="53" spans="1:119" x14ac:dyDescent="0.25">
      <c r="A53" s="136">
        <v>4</v>
      </c>
      <c r="B53" s="136">
        <f t="shared" si="0"/>
        <v>1.3182567385564072</v>
      </c>
      <c r="C53" s="136" t="str">
        <f t="shared" si="7"/>
        <v>8.2828513707881j</v>
      </c>
      <c r="D53" s="136">
        <f t="shared" si="1"/>
        <v>0.99999999995655497</v>
      </c>
      <c r="E53" s="136" t="str">
        <f t="shared" si="2"/>
        <v>-0.0000103535642134851j</v>
      </c>
      <c r="F53" s="136" t="str">
        <f t="shared" si="8"/>
        <v>0.999999999956555-0.0000103535642134851j</v>
      </c>
      <c r="G53" s="136">
        <f t="shared" si="9"/>
        <v>8.8187746815850409E-11</v>
      </c>
      <c r="H53" s="136">
        <f t="shared" si="10"/>
        <v>-5.9321553235495723E-4</v>
      </c>
      <c r="I53" s="136"/>
      <c r="J53" s="136">
        <f t="shared" si="3"/>
        <v>7.0726915520628681</v>
      </c>
      <c r="K53" s="136" t="str">
        <f t="shared" si="4"/>
        <v>1+0.000607955768714933j</v>
      </c>
      <c r="L53" s="136">
        <f t="shared" si="5"/>
        <v>0.99999997981799837</v>
      </c>
      <c r="M53" s="136" t="str">
        <f t="shared" si="6"/>
        <v>0.0000444928739170773j</v>
      </c>
      <c r="N53" s="136" t="str">
        <f t="shared" si="11"/>
        <v>0.999999979817998+0.0000444928739170773j</v>
      </c>
      <c r="O53" s="136"/>
      <c r="P53" s="136"/>
      <c r="Q53" s="136"/>
      <c r="R53" s="136"/>
      <c r="S53" s="136"/>
      <c r="T53" s="136"/>
      <c r="U53" s="136"/>
      <c r="V53" s="136"/>
      <c r="W53" s="136"/>
      <c r="X53" s="136"/>
      <c r="Y53" s="136"/>
      <c r="Z53" s="136"/>
      <c r="AA53" s="136"/>
      <c r="AB53" s="136"/>
      <c r="AC53" s="136"/>
      <c r="AD53" s="136"/>
      <c r="AE53" s="136"/>
      <c r="AF53" s="136"/>
      <c r="AG53" s="136"/>
      <c r="AH53" s="136"/>
      <c r="AI53" s="136"/>
      <c r="AJ53" s="136"/>
      <c r="AK53" s="136"/>
      <c r="AL53" s="136"/>
      <c r="AM53" s="136"/>
      <c r="AN53" s="136"/>
      <c r="AO53" s="136"/>
      <c r="AP53" s="136"/>
      <c r="AQ53" s="136"/>
      <c r="AR53" s="136"/>
      <c r="AS53" s="136"/>
      <c r="AT53" s="136"/>
      <c r="AU53" s="179"/>
      <c r="AV53" s="136"/>
      <c r="AW53" s="136"/>
      <c r="AX53" s="136"/>
      <c r="AY53" s="136"/>
      <c r="AZ53" s="136"/>
      <c r="BA53" s="136"/>
      <c r="BB53" s="136"/>
      <c r="BC53" s="136"/>
      <c r="BD53" s="136"/>
      <c r="BE53" s="136"/>
      <c r="BF53" s="136"/>
      <c r="BG53" s="136"/>
      <c r="BH53" s="136"/>
      <c r="BI53" s="136"/>
      <c r="BJ53" s="136"/>
      <c r="BK53" s="136"/>
      <c r="BL53" s="136"/>
      <c r="BM53" s="136"/>
      <c r="BN53" s="136"/>
      <c r="BO53" s="136"/>
      <c r="BP53" s="136"/>
      <c r="BQ53" s="136"/>
      <c r="BR53" s="136"/>
      <c r="BS53" s="136"/>
      <c r="BT53" s="136"/>
      <c r="BU53" s="136"/>
      <c r="BV53" s="136"/>
      <c r="BW53" s="136"/>
      <c r="BX53" s="136"/>
      <c r="BY53" s="136"/>
      <c r="BZ53" s="136"/>
      <c r="CA53" s="136"/>
      <c r="CB53" s="136"/>
      <c r="CC53" s="136"/>
      <c r="CD53" s="136"/>
      <c r="CE53" s="136"/>
      <c r="CF53" s="136"/>
      <c r="CG53" s="136"/>
      <c r="CH53" s="136"/>
      <c r="CI53" s="136"/>
      <c r="CJ53" s="136"/>
      <c r="CK53" s="136"/>
      <c r="CL53" s="136"/>
      <c r="CM53" s="136"/>
      <c r="CN53" s="136"/>
      <c r="CO53" s="136"/>
      <c r="CP53" s="136"/>
      <c r="CQ53" s="68"/>
      <c r="CR53" s="68"/>
      <c r="CS53" s="68"/>
      <c r="CT53" s="68"/>
      <c r="CU53" s="68"/>
      <c r="CV53" s="68"/>
      <c r="CW53" s="68"/>
      <c r="CX53" s="68"/>
      <c r="CY53" s="68"/>
      <c r="CZ53" s="68"/>
      <c r="DA53" s="68"/>
      <c r="DB53" s="68"/>
      <c r="DC53" s="68"/>
      <c r="DD53" s="68"/>
      <c r="DE53" s="68"/>
      <c r="DF53" s="68"/>
      <c r="DG53" s="68"/>
      <c r="DH53" s="68"/>
      <c r="DI53" s="68"/>
      <c r="DJ53" s="68"/>
      <c r="DK53" s="68"/>
    </row>
    <row r="54" spans="1:119" x14ac:dyDescent="0.25">
      <c r="A54" s="136">
        <v>5</v>
      </c>
      <c r="B54" s="136">
        <f t="shared" si="0"/>
        <v>1.4125375446227544</v>
      </c>
      <c r="C54" s="136" t="str">
        <f t="shared" si="7"/>
        <v>8.87523514621322j</v>
      </c>
      <c r="D54" s="136">
        <f t="shared" si="1"/>
        <v>0.99999999995011846</v>
      </c>
      <c r="E54" s="136" t="str">
        <f t="shared" si="2"/>
        <v>-0.0000110940439327665j</v>
      </c>
      <c r="F54" s="136" t="str">
        <f t="shared" si="8"/>
        <v>0.999999999950118-0.0000110940439327665j</v>
      </c>
      <c r="G54" s="136">
        <f t="shared" si="9"/>
        <v>1.0125052667763878E-10</v>
      </c>
      <c r="H54" s="136">
        <f t="shared" si="10"/>
        <v>-6.3564189508586745E-4</v>
      </c>
      <c r="I54" s="136"/>
      <c r="J54" s="136">
        <f t="shared" si="3"/>
        <v>7.0726915520628681</v>
      </c>
      <c r="K54" s="136" t="str">
        <f t="shared" si="4"/>
        <v>1+0.00065143634290862j</v>
      </c>
      <c r="L54" s="136">
        <f t="shared" si="5"/>
        <v>0.99999997682796171</v>
      </c>
      <c r="M54" s="136" t="str">
        <f t="shared" si="6"/>
        <v>0.0000476749733476511j</v>
      </c>
      <c r="N54" s="136" t="str">
        <f t="shared" si="11"/>
        <v>0.999999976827962+0.0000476749733476511j</v>
      </c>
      <c r="O54" s="136"/>
      <c r="P54" s="136"/>
      <c r="Q54" s="136"/>
      <c r="R54" s="136"/>
      <c r="S54" s="136"/>
      <c r="T54" s="136"/>
      <c r="U54" s="136"/>
      <c r="V54" s="136"/>
      <c r="W54" s="136"/>
      <c r="X54" s="136"/>
      <c r="Y54" s="136"/>
      <c r="Z54" s="136"/>
      <c r="AA54" s="136"/>
      <c r="AB54" s="136"/>
      <c r="AC54" s="136"/>
      <c r="AD54" s="136"/>
      <c r="AE54" s="136"/>
      <c r="AF54" s="136"/>
      <c r="AG54" s="136"/>
      <c r="AH54" s="136"/>
      <c r="AI54" s="136"/>
      <c r="AJ54" s="136"/>
      <c r="AK54" s="136"/>
      <c r="AL54" s="136"/>
      <c r="AM54" s="136"/>
      <c r="AN54" s="136"/>
      <c r="AO54" s="136"/>
      <c r="AP54" s="136"/>
      <c r="AQ54" s="136"/>
      <c r="AR54" s="136"/>
      <c r="AS54" s="136"/>
      <c r="AT54" s="136"/>
      <c r="AU54" s="179"/>
      <c r="AV54" s="136"/>
      <c r="AW54" s="136"/>
      <c r="AX54" s="136"/>
      <c r="AY54" s="136"/>
      <c r="AZ54" s="136"/>
      <c r="BA54" s="136"/>
      <c r="BB54" s="136"/>
      <c r="BC54" s="136"/>
      <c r="BD54" s="136"/>
      <c r="BE54" s="136"/>
      <c r="BF54" s="136"/>
      <c r="BG54" s="136"/>
      <c r="BH54" s="136"/>
      <c r="BI54" s="136"/>
      <c r="BJ54" s="136"/>
      <c r="BK54" s="136"/>
      <c r="BL54" s="136"/>
      <c r="BM54" s="136"/>
      <c r="BN54" s="136"/>
      <c r="BO54" s="136"/>
      <c r="BP54" s="136"/>
      <c r="BQ54" s="136"/>
      <c r="BR54" s="136"/>
      <c r="BS54" s="136"/>
      <c r="BT54" s="136"/>
      <c r="BU54" s="136"/>
      <c r="BV54" s="136"/>
      <c r="BW54" s="136"/>
      <c r="BX54" s="136"/>
      <c r="BY54" s="136"/>
      <c r="BZ54" s="136"/>
      <c r="CA54" s="136"/>
      <c r="CB54" s="136"/>
      <c r="CC54" s="136"/>
      <c r="CD54" s="136"/>
      <c r="CE54" s="136"/>
      <c r="CF54" s="136"/>
      <c r="CG54" s="136"/>
      <c r="CH54" s="136"/>
      <c r="CI54" s="136"/>
      <c r="CJ54" s="136"/>
      <c r="CK54" s="136"/>
      <c r="CL54" s="136"/>
      <c r="CM54" s="136"/>
      <c r="CN54" s="136"/>
      <c r="CO54" s="136"/>
      <c r="CP54" s="136"/>
      <c r="CQ54" s="68"/>
      <c r="CR54" s="68"/>
      <c r="CS54" s="68"/>
      <c r="CT54" s="68"/>
      <c r="CU54" s="68"/>
      <c r="CV54" s="68"/>
      <c r="CW54" s="68"/>
      <c r="CX54" s="68"/>
      <c r="CY54" s="68"/>
      <c r="CZ54" s="68"/>
      <c r="DA54" s="68"/>
      <c r="DB54" s="68"/>
      <c r="DC54" s="68"/>
      <c r="DD54" s="68"/>
      <c r="DE54" s="68"/>
      <c r="DF54" s="68"/>
      <c r="DG54" s="68"/>
      <c r="DH54" s="68"/>
      <c r="DI54" s="68"/>
      <c r="DJ54" s="68"/>
      <c r="DK54" s="68"/>
    </row>
    <row r="55" spans="1:119" x14ac:dyDescent="0.25">
      <c r="A55" s="136">
        <v>6</v>
      </c>
      <c r="B55" s="136">
        <f t="shared" si="0"/>
        <v>1.5135612484362082</v>
      </c>
      <c r="C55" s="136" t="str">
        <f t="shared" si="7"/>
        <v>9.50998579769077j</v>
      </c>
      <c r="D55" s="136">
        <f t="shared" si="1"/>
        <v>0.99999999994272826</v>
      </c>
      <c r="E55" s="136" t="str">
        <f t="shared" si="2"/>
        <v>-0.0000118874822471135j</v>
      </c>
      <c r="F55" s="136" t="str">
        <f t="shared" si="8"/>
        <v>0.999999999942728-0.0000118874822471135j</v>
      </c>
      <c r="G55" s="136">
        <f t="shared" si="9"/>
        <v>1.1625353340208698E-10</v>
      </c>
      <c r="H55" s="136">
        <f t="shared" si="10"/>
        <v>-6.8110256180322097E-4</v>
      </c>
      <c r="I55" s="136"/>
      <c r="J55" s="136">
        <f t="shared" si="3"/>
        <v>7.0726915520628681</v>
      </c>
      <c r="K55" s="136" t="str">
        <f t="shared" si="4"/>
        <v>1+0.000698026617559971j</v>
      </c>
      <c r="L55" s="136">
        <f t="shared" si="5"/>
        <v>0.99999997339494029</v>
      </c>
      <c r="M55" s="136" t="str">
        <f t="shared" si="6"/>
        <v>0.0000510846543186965j</v>
      </c>
      <c r="N55" s="136" t="str">
        <f t="shared" si="11"/>
        <v>0.99999997339494+0.0000510846543186965j</v>
      </c>
      <c r="O55" s="136"/>
      <c r="P55" s="136"/>
      <c r="Q55" s="179"/>
      <c r="R55" s="136"/>
      <c r="S55" s="136"/>
      <c r="T55" s="136"/>
      <c r="U55" s="136"/>
      <c r="V55" s="136"/>
      <c r="W55" s="136"/>
      <c r="X55" s="136"/>
      <c r="Y55" s="136"/>
      <c r="Z55" s="136"/>
      <c r="AA55" s="136"/>
      <c r="AB55" s="136"/>
      <c r="AC55" s="136"/>
      <c r="AD55" s="136"/>
      <c r="AE55" s="136"/>
      <c r="AF55" s="136"/>
      <c r="AG55" s="136"/>
      <c r="AH55" s="136"/>
      <c r="AI55" s="136"/>
      <c r="AJ55" s="136"/>
      <c r="AK55" s="136"/>
      <c r="AL55" s="136"/>
      <c r="AM55" s="136"/>
      <c r="AN55" s="136"/>
      <c r="AO55" s="136"/>
      <c r="AP55" s="136"/>
      <c r="AQ55" s="136"/>
      <c r="AR55" s="136"/>
      <c r="AS55" s="136"/>
      <c r="AT55" s="136"/>
      <c r="AU55" s="179"/>
      <c r="AV55" s="136"/>
      <c r="AW55" s="136"/>
      <c r="AX55" s="136"/>
      <c r="AY55" s="136"/>
      <c r="AZ55" s="136"/>
      <c r="BA55" s="136"/>
      <c r="BB55" s="136"/>
      <c r="BC55" s="136"/>
      <c r="BD55" s="136"/>
      <c r="BE55" s="136"/>
      <c r="BF55" s="136"/>
      <c r="BG55" s="136"/>
      <c r="BH55" s="136"/>
      <c r="BI55" s="136"/>
      <c r="BJ55" s="136"/>
      <c r="BK55" s="136"/>
      <c r="BL55" s="136"/>
      <c r="BM55" s="136"/>
      <c r="BN55" s="136"/>
      <c r="BO55" s="136"/>
      <c r="BP55" s="136"/>
      <c r="BQ55" s="136"/>
      <c r="BR55" s="136"/>
      <c r="BS55" s="136"/>
      <c r="BT55" s="136"/>
      <c r="BU55" s="136"/>
      <c r="BV55" s="136"/>
      <c r="BW55" s="136"/>
      <c r="BX55" s="136"/>
      <c r="BY55" s="136"/>
      <c r="BZ55" s="136"/>
      <c r="CA55" s="136"/>
      <c r="CB55" s="136"/>
      <c r="CC55" s="136"/>
      <c r="CD55" s="136"/>
      <c r="CE55" s="136"/>
      <c r="CF55" s="136"/>
      <c r="CG55" s="136"/>
      <c r="CH55" s="136"/>
      <c r="CI55" s="136"/>
      <c r="CJ55" s="136"/>
      <c r="CK55" s="136"/>
      <c r="CL55" s="136"/>
      <c r="CM55" s="136"/>
      <c r="CN55" s="136"/>
      <c r="CO55" s="136"/>
      <c r="CP55" s="136"/>
      <c r="CQ55" s="68"/>
      <c r="CR55" s="68"/>
      <c r="CS55" s="68"/>
      <c r="CT55" s="68"/>
      <c r="CU55" s="68"/>
      <c r="CV55" s="68"/>
      <c r="CW55" s="68"/>
      <c r="CX55" s="68"/>
      <c r="CY55" s="68"/>
      <c r="CZ55" s="68"/>
      <c r="DA55" s="68"/>
      <c r="DB55" s="68"/>
      <c r="DC55" s="68"/>
      <c r="DD55" s="68"/>
      <c r="DE55" s="68"/>
      <c r="DF55" s="68"/>
      <c r="DG55" s="68"/>
      <c r="DH55" s="68"/>
      <c r="DI55" s="68"/>
      <c r="DJ55" s="68"/>
      <c r="DK55" s="68"/>
    </row>
    <row r="56" spans="1:119" x14ac:dyDescent="0.25">
      <c r="A56" s="136">
        <v>7</v>
      </c>
      <c r="B56" s="136">
        <f t="shared" si="0"/>
        <v>1.62181009735893</v>
      </c>
      <c r="C56" s="136" t="str">
        <f t="shared" si="7"/>
        <v>10.1901333747611j</v>
      </c>
      <c r="D56" s="136">
        <f t="shared" si="1"/>
        <v>0.99999999993424327</v>
      </c>
      <c r="E56" s="136" t="str">
        <f t="shared" si="2"/>
        <v>-0.0000127376667184514j</v>
      </c>
      <c r="F56" s="136" t="str">
        <f t="shared" si="8"/>
        <v>0.999999999934243-0.0000127376667184514j</v>
      </c>
      <c r="G56" s="136">
        <f t="shared" si="9"/>
        <v>1.3347642195448108E-10</v>
      </c>
      <c r="H56" s="136">
        <f t="shared" si="10"/>
        <v>-7.2981454382003833E-4</v>
      </c>
      <c r="I56" s="136"/>
      <c r="J56" s="136">
        <f t="shared" si="3"/>
        <v>7.0726915520628681</v>
      </c>
      <c r="K56" s="136" t="str">
        <f t="shared" si="4"/>
        <v>1+0.000747948996285215j</v>
      </c>
      <c r="L56" s="136">
        <f t="shared" si="5"/>
        <v>0.99999996945330438</v>
      </c>
      <c r="M56" s="136" t="str">
        <f t="shared" si="6"/>
        <v>0.0000547381933038729j</v>
      </c>
      <c r="N56" s="136" t="str">
        <f t="shared" si="11"/>
        <v>0.999999969453304+0.0000547381933038729j</v>
      </c>
      <c r="O56" s="136"/>
      <c r="P56" s="136"/>
      <c r="Q56" s="136"/>
      <c r="R56" s="136"/>
      <c r="S56" s="136"/>
      <c r="T56" s="136"/>
      <c r="U56" s="136"/>
      <c r="V56" s="136"/>
      <c r="W56" s="136"/>
      <c r="X56" s="136"/>
      <c r="Y56" s="136"/>
      <c r="Z56" s="136"/>
      <c r="AA56" s="136"/>
      <c r="AB56" s="136"/>
      <c r="AC56" s="136"/>
      <c r="AD56" s="136"/>
      <c r="AE56" s="136"/>
      <c r="AF56" s="136"/>
      <c r="AG56" s="136"/>
      <c r="AH56" s="136"/>
      <c r="AI56" s="136"/>
      <c r="AJ56" s="136"/>
      <c r="AK56" s="136"/>
      <c r="AL56" s="136"/>
      <c r="AM56" s="136"/>
      <c r="AN56" s="136"/>
      <c r="AO56" s="136"/>
      <c r="AP56" s="136"/>
      <c r="AQ56" s="136"/>
      <c r="AR56" s="136"/>
      <c r="AS56" s="136"/>
      <c r="AT56" s="136"/>
      <c r="AU56" s="179"/>
      <c r="AV56" s="136"/>
      <c r="AW56" s="136"/>
      <c r="AX56" s="136"/>
      <c r="AY56" s="136"/>
      <c r="AZ56" s="136"/>
      <c r="BA56" s="136"/>
      <c r="BB56" s="136"/>
      <c r="BC56" s="136"/>
      <c r="BD56" s="136"/>
      <c r="BE56" s="136"/>
      <c r="BF56" s="136"/>
      <c r="BG56" s="136"/>
      <c r="BH56" s="136"/>
      <c r="BI56" s="136"/>
      <c r="BJ56" s="136"/>
      <c r="BK56" s="136"/>
      <c r="BL56" s="136"/>
      <c r="BM56" s="136"/>
      <c r="BN56" s="136"/>
      <c r="BO56" s="136"/>
      <c r="BP56" s="136"/>
      <c r="BQ56" s="136"/>
      <c r="BR56" s="136"/>
      <c r="BS56" s="136"/>
      <c r="BT56" s="136"/>
      <c r="BU56" s="136"/>
      <c r="BV56" s="136"/>
      <c r="BW56" s="136"/>
      <c r="BX56" s="136"/>
      <c r="BY56" s="136"/>
      <c r="BZ56" s="136"/>
      <c r="CA56" s="136"/>
      <c r="CB56" s="136"/>
      <c r="CC56" s="136"/>
      <c r="CD56" s="136"/>
      <c r="CE56" s="136"/>
      <c r="CF56" s="136"/>
      <c r="CG56" s="136"/>
      <c r="CH56" s="136"/>
      <c r="CI56" s="136"/>
      <c r="CJ56" s="136"/>
      <c r="CK56" s="136"/>
      <c r="CL56" s="136"/>
      <c r="CM56" s="136"/>
      <c r="CN56" s="136"/>
      <c r="CO56" s="136"/>
      <c r="CP56" s="136"/>
      <c r="CQ56" s="68"/>
      <c r="CR56" s="68"/>
      <c r="CS56" s="68"/>
      <c r="CT56" s="68"/>
      <c r="CU56" s="68"/>
      <c r="CV56" s="68"/>
      <c r="CW56" s="68"/>
      <c r="CX56" s="68"/>
      <c r="CY56" s="68"/>
      <c r="CZ56" s="68"/>
      <c r="DA56" s="68"/>
      <c r="DB56" s="68"/>
      <c r="DC56" s="68"/>
      <c r="DD56" s="68"/>
      <c r="DE56" s="68"/>
      <c r="DF56" s="68"/>
      <c r="DG56" s="68"/>
      <c r="DH56" s="68"/>
      <c r="DI56" s="68"/>
      <c r="DJ56" s="68"/>
      <c r="DK56" s="68"/>
    </row>
    <row r="57" spans="1:119" x14ac:dyDescent="0.25">
      <c r="A57" s="136">
        <v>8</v>
      </c>
      <c r="B57" s="136">
        <f t="shared" si="0"/>
        <v>1.7378008287493756</v>
      </c>
      <c r="C57" s="136" t="str">
        <f t="shared" si="7"/>
        <v>10.9189246340026j</v>
      </c>
      <c r="D57" s="136">
        <f t="shared" si="1"/>
        <v>0.99999999992450117</v>
      </c>
      <c r="E57" s="136" t="str">
        <f t="shared" si="2"/>
        <v>-0.0000136486557925033j</v>
      </c>
      <c r="F57" s="136" t="str">
        <f t="shared" si="8"/>
        <v>0.999999999924501-0.0000136486557925033j</v>
      </c>
      <c r="G57" s="136">
        <f t="shared" si="9"/>
        <v>1.5325092098329643E-10</v>
      </c>
      <c r="H57" s="136">
        <f t="shared" si="10"/>
        <v>-7.8201037294770481E-4</v>
      </c>
      <c r="I57" s="136"/>
      <c r="J57" s="136">
        <f t="shared" si="3"/>
        <v>7.0726915520628681</v>
      </c>
      <c r="K57" s="136" t="str">
        <f t="shared" si="4"/>
        <v>1+0.000801441788852702j</v>
      </c>
      <c r="L57" s="136">
        <f t="shared" si="5"/>
        <v>0.99999996492770082</v>
      </c>
      <c r="M57" s="136" t="str">
        <f t="shared" si="6"/>
        <v>0.0000586530308589279j</v>
      </c>
      <c r="N57" s="136" t="str">
        <f t="shared" si="11"/>
        <v>0.999999964927701+0.0000586530308589279j</v>
      </c>
      <c r="O57" s="136"/>
      <c r="P57" s="136"/>
      <c r="Q57" s="136"/>
      <c r="R57" s="136"/>
      <c r="S57" s="136"/>
      <c r="T57" s="136"/>
      <c r="U57" s="136"/>
      <c r="V57" s="136"/>
      <c r="W57" s="136"/>
      <c r="X57" s="136"/>
      <c r="Y57" s="136"/>
      <c r="Z57" s="136"/>
      <c r="AA57" s="136"/>
      <c r="AB57" s="136"/>
      <c r="AC57" s="136"/>
      <c r="AD57" s="136"/>
      <c r="AE57" s="136"/>
      <c r="AF57" s="136"/>
      <c r="AG57" s="136"/>
      <c r="AH57" s="136"/>
      <c r="AI57" s="136"/>
      <c r="AJ57" s="136"/>
      <c r="AK57" s="136"/>
      <c r="AL57" s="136"/>
      <c r="AM57" s="136"/>
      <c r="AN57" s="136"/>
      <c r="AO57" s="136"/>
      <c r="AP57" s="136"/>
      <c r="AQ57" s="136"/>
      <c r="AR57" s="136"/>
      <c r="AS57" s="136"/>
      <c r="AT57" s="136"/>
      <c r="AU57" s="179"/>
      <c r="AV57" s="136"/>
      <c r="AW57" s="136"/>
      <c r="AX57" s="136"/>
      <c r="AY57" s="136"/>
      <c r="AZ57" s="136"/>
      <c r="BA57" s="136"/>
      <c r="BB57" s="136"/>
      <c r="BC57" s="136"/>
      <c r="BD57" s="136"/>
      <c r="BE57" s="136"/>
      <c r="BF57" s="136"/>
      <c r="BG57" s="136"/>
      <c r="BH57" s="136"/>
      <c r="BI57" s="136"/>
      <c r="BJ57" s="136"/>
      <c r="BK57" s="136"/>
      <c r="BL57" s="136"/>
      <c r="BM57" s="136"/>
      <c r="BN57" s="136"/>
      <c r="BO57" s="136"/>
      <c r="BP57" s="136"/>
      <c r="BQ57" s="136"/>
      <c r="BR57" s="136"/>
      <c r="BS57" s="136"/>
      <c r="BT57" s="136"/>
      <c r="BU57" s="136"/>
      <c r="BV57" s="136"/>
      <c r="BW57" s="136"/>
      <c r="BX57" s="136"/>
      <c r="BY57" s="136"/>
      <c r="BZ57" s="136"/>
      <c r="CA57" s="136"/>
      <c r="CB57" s="136"/>
      <c r="CC57" s="136"/>
      <c r="CD57" s="136"/>
      <c r="CE57" s="136"/>
      <c r="CF57" s="136"/>
      <c r="CG57" s="136"/>
      <c r="CH57" s="136"/>
      <c r="CI57" s="136"/>
      <c r="CJ57" s="136"/>
      <c r="CK57" s="136"/>
      <c r="CL57" s="136"/>
      <c r="CM57" s="136"/>
      <c r="CN57" s="136"/>
      <c r="CO57" s="136"/>
      <c r="CP57" s="136"/>
      <c r="CQ57" s="68"/>
      <c r="CR57" s="68"/>
      <c r="CS57" s="68"/>
      <c r="CT57" s="68"/>
      <c r="CU57" s="68"/>
      <c r="CV57" s="68"/>
      <c r="CW57" s="68"/>
      <c r="CX57" s="68"/>
      <c r="CY57" s="68"/>
      <c r="CZ57" s="68"/>
      <c r="DA57" s="68"/>
      <c r="DB57" s="68"/>
      <c r="DC57" s="68"/>
      <c r="DD57" s="68"/>
      <c r="DE57" s="68"/>
      <c r="DF57" s="68"/>
      <c r="DG57" s="68"/>
      <c r="DH57" s="68"/>
      <c r="DI57" s="68"/>
      <c r="DJ57" s="68"/>
      <c r="DK57" s="68"/>
    </row>
    <row r="58" spans="1:119" x14ac:dyDescent="0.25">
      <c r="A58" s="136">
        <v>9</v>
      </c>
      <c r="B58" s="136">
        <f t="shared" si="0"/>
        <v>1.8620871366628675</v>
      </c>
      <c r="C58" s="136" t="str">
        <f t="shared" si="7"/>
        <v>11.6998385377682j</v>
      </c>
      <c r="D58" s="136">
        <f t="shared" si="1"/>
        <v>0.99999999991331578</v>
      </c>
      <c r="E58" s="136" t="str">
        <f t="shared" si="2"/>
        <v>-0.0000146247981722102j</v>
      </c>
      <c r="F58" s="136" t="str">
        <f t="shared" si="8"/>
        <v>0.999999999913316-0.0000146247981722102j</v>
      </c>
      <c r="G58" s="136">
        <f t="shared" si="9"/>
        <v>1.7596276147512904E-10</v>
      </c>
      <c r="H58" s="136">
        <f t="shared" si="10"/>
        <v>-8.3793921151117999E-4</v>
      </c>
      <c r="I58" s="136"/>
      <c r="J58" s="136">
        <f t="shared" si="3"/>
        <v>7.0726915520628681</v>
      </c>
      <c r="K58" s="136" t="str">
        <f t="shared" si="4"/>
        <v>1+0.000858760348779827j</v>
      </c>
      <c r="L58" s="136">
        <f t="shared" si="5"/>
        <v>0.99999995973161271</v>
      </c>
      <c r="M58" s="136" t="str">
        <f t="shared" si="6"/>
        <v>0.000062847854876038j</v>
      </c>
      <c r="N58" s="136" t="str">
        <f t="shared" si="11"/>
        <v>0.999999959731613+0.000062847854876038j</v>
      </c>
      <c r="O58" s="136"/>
      <c r="P58" s="136"/>
      <c r="Q58" s="136"/>
      <c r="R58" s="136"/>
      <c r="S58" s="136"/>
      <c r="T58" s="136"/>
      <c r="U58" s="136"/>
      <c r="V58" s="136"/>
      <c r="W58" s="136"/>
      <c r="X58" s="136"/>
      <c r="Y58" s="136"/>
      <c r="Z58" s="136"/>
      <c r="AA58" s="136"/>
      <c r="AB58" s="136"/>
      <c r="AC58" s="136"/>
      <c r="AD58" s="136"/>
      <c r="AE58" s="136"/>
      <c r="AF58" s="136"/>
      <c r="AG58" s="136"/>
      <c r="AH58" s="136"/>
      <c r="AI58" s="136"/>
      <c r="AJ58" s="136"/>
      <c r="AK58" s="136"/>
      <c r="AL58" s="136"/>
      <c r="AM58" s="136"/>
      <c r="AN58" s="136"/>
      <c r="AO58" s="136"/>
      <c r="AP58" s="136"/>
      <c r="AQ58" s="136"/>
      <c r="AR58" s="136"/>
      <c r="AS58" s="136"/>
      <c r="AT58" s="136"/>
      <c r="AU58" s="179"/>
      <c r="AV58" s="136"/>
      <c r="AW58" s="136"/>
      <c r="AX58" s="136"/>
      <c r="AY58" s="136"/>
      <c r="AZ58" s="136"/>
      <c r="BA58" s="136"/>
      <c r="BB58" s="136"/>
      <c r="BC58" s="136"/>
      <c r="BD58" s="136"/>
      <c r="BE58" s="136"/>
      <c r="BF58" s="136"/>
      <c r="BG58" s="136"/>
      <c r="BH58" s="136"/>
      <c r="BI58" s="136"/>
      <c r="BJ58" s="136"/>
      <c r="BK58" s="136"/>
      <c r="BL58" s="136"/>
      <c r="BM58" s="136"/>
      <c r="BN58" s="136"/>
      <c r="BO58" s="136"/>
      <c r="BP58" s="136"/>
      <c r="BQ58" s="136"/>
      <c r="BR58" s="136"/>
      <c r="BS58" s="136"/>
      <c r="BT58" s="136"/>
      <c r="BU58" s="136"/>
      <c r="BV58" s="136"/>
      <c r="BW58" s="136"/>
      <c r="BX58" s="136"/>
      <c r="BY58" s="136"/>
      <c r="BZ58" s="136"/>
      <c r="CA58" s="136"/>
      <c r="CB58" s="136"/>
      <c r="CC58" s="136"/>
      <c r="CD58" s="136"/>
      <c r="CE58" s="136"/>
      <c r="CF58" s="136"/>
      <c r="CG58" s="136"/>
      <c r="CH58" s="136"/>
      <c r="CI58" s="136"/>
      <c r="CJ58" s="136"/>
      <c r="CK58" s="136"/>
      <c r="CL58" s="136"/>
      <c r="CM58" s="136"/>
      <c r="CN58" s="136"/>
      <c r="CO58" s="136"/>
      <c r="CP58" s="136"/>
      <c r="CQ58" s="68"/>
      <c r="CR58" s="68"/>
      <c r="CS58" s="68"/>
      <c r="CT58" s="68"/>
      <c r="CU58" s="68"/>
      <c r="CV58" s="68"/>
      <c r="CW58" s="68"/>
      <c r="CX58" s="68"/>
      <c r="CY58" s="68"/>
      <c r="CZ58" s="68"/>
      <c r="DA58" s="68"/>
      <c r="DB58" s="68"/>
      <c r="DC58" s="68"/>
      <c r="DD58" s="68"/>
      <c r="DE58" s="68"/>
      <c r="DF58" s="68"/>
      <c r="DG58" s="68"/>
      <c r="DH58" s="68"/>
      <c r="DI58" s="68"/>
      <c r="DJ58" s="68"/>
      <c r="DK58" s="68"/>
    </row>
    <row r="59" spans="1:119" x14ac:dyDescent="0.25">
      <c r="A59" s="136">
        <v>10</v>
      </c>
      <c r="B59" s="136">
        <f t="shared" si="0"/>
        <v>1.9952623149688797</v>
      </c>
      <c r="C59" s="136" t="str">
        <f t="shared" si="7"/>
        <v>12.5366028613816j</v>
      </c>
      <c r="D59" s="136">
        <f t="shared" si="1"/>
        <v>0.99999999990047317</v>
      </c>
      <c r="E59" s="136" t="str">
        <f t="shared" si="2"/>
        <v>-0.000015670753576727j</v>
      </c>
      <c r="F59" s="136" t="str">
        <f t="shared" si="8"/>
        <v>0.999999999900473-0.000015670753576727j</v>
      </c>
      <c r="G59" s="136">
        <f t="shared" si="9"/>
        <v>2.0202660424056416E-10</v>
      </c>
      <c r="H59" s="136">
        <f t="shared" si="10"/>
        <v>-8.9786804175186132E-4</v>
      </c>
      <c r="I59" s="136"/>
      <c r="J59" s="136">
        <f t="shared" si="3"/>
        <v>7.0726915520628681</v>
      </c>
      <c r="K59" s="136" t="str">
        <f t="shared" si="4"/>
        <v>1+0.000920178292290169j</v>
      </c>
      <c r="L59" s="136">
        <f t="shared" si="5"/>
        <v>0.99999995376570527</v>
      </c>
      <c r="M59" s="136" t="str">
        <f t="shared" si="6"/>
        <v>0.0000673426897924464j</v>
      </c>
      <c r="N59" s="136" t="str">
        <f t="shared" si="11"/>
        <v>0.999999953765705+0.0000673426897924464j</v>
      </c>
      <c r="O59" s="136"/>
      <c r="P59" s="136"/>
      <c r="Q59" s="136"/>
      <c r="R59" s="136"/>
      <c r="S59" s="136"/>
      <c r="T59" s="136"/>
      <c r="U59" s="136"/>
      <c r="V59" s="136"/>
      <c r="W59" s="136"/>
      <c r="X59" s="136"/>
      <c r="Y59" s="136"/>
      <c r="Z59" s="136"/>
      <c r="AA59" s="136"/>
      <c r="AB59" s="136"/>
      <c r="AC59" s="136"/>
      <c r="AD59" s="136"/>
      <c r="AE59" s="136"/>
      <c r="AF59" s="136"/>
      <c r="AG59" s="136"/>
      <c r="AH59" s="136"/>
      <c r="AI59" s="136"/>
      <c r="AJ59" s="136"/>
      <c r="AK59" s="136"/>
      <c r="AL59" s="136"/>
      <c r="AM59" s="136"/>
      <c r="AN59" s="136"/>
      <c r="AO59" s="136"/>
      <c r="AP59" s="136"/>
      <c r="AQ59" s="136"/>
      <c r="AR59" s="136"/>
      <c r="AS59" s="136"/>
      <c r="AT59" s="136"/>
      <c r="AU59" s="179"/>
      <c r="AV59" s="136"/>
      <c r="AW59" s="136"/>
      <c r="AX59" s="136"/>
      <c r="AY59" s="136"/>
      <c r="AZ59" s="136"/>
      <c r="BA59" s="136"/>
      <c r="BB59" s="136"/>
      <c r="BC59" s="136"/>
      <c r="BD59" s="136"/>
      <c r="BE59" s="136"/>
      <c r="BF59" s="136"/>
      <c r="BG59" s="136"/>
      <c r="BH59" s="136"/>
      <c r="BI59" s="136"/>
      <c r="BJ59" s="136"/>
      <c r="BK59" s="136"/>
      <c r="BL59" s="136"/>
      <c r="BM59" s="136"/>
      <c r="BN59" s="136"/>
      <c r="BO59" s="136"/>
      <c r="BP59" s="136" t="s">
        <v>297</v>
      </c>
      <c r="BQ59" s="136"/>
      <c r="BR59" s="136"/>
      <c r="BS59" s="136"/>
      <c r="BT59" s="136"/>
      <c r="BU59" s="136"/>
      <c r="BV59" s="136"/>
      <c r="BW59" s="136"/>
      <c r="BX59" s="136"/>
      <c r="BY59" s="136"/>
      <c r="BZ59" s="136"/>
      <c r="CA59" s="136"/>
      <c r="CB59" s="136"/>
      <c r="CC59" s="136"/>
      <c r="CD59" s="136"/>
      <c r="CE59" s="136"/>
      <c r="CF59" s="136"/>
      <c r="CG59" s="136"/>
      <c r="CH59" s="136"/>
      <c r="CI59" s="136"/>
      <c r="CJ59" s="136"/>
      <c r="CK59" s="136"/>
      <c r="CL59" s="136"/>
      <c r="CM59" s="136"/>
      <c r="CN59" s="136"/>
      <c r="CO59" s="136"/>
      <c r="CP59" s="136"/>
      <c r="CQ59" s="68"/>
      <c r="CR59" s="68"/>
      <c r="CS59" s="68"/>
      <c r="CT59" s="68"/>
      <c r="CU59" s="68"/>
      <c r="CV59" s="68"/>
      <c r="CW59" s="68"/>
      <c r="CX59" s="68"/>
      <c r="CY59" s="68"/>
      <c r="CZ59" s="68"/>
      <c r="DA59" s="68"/>
      <c r="DB59" s="68"/>
      <c r="DC59" s="68"/>
      <c r="DD59" s="68"/>
      <c r="DE59" s="68"/>
      <c r="DF59" s="68"/>
      <c r="DG59" s="68"/>
      <c r="DH59" s="68"/>
      <c r="DI59" s="68"/>
      <c r="DJ59" s="68"/>
      <c r="DK59" s="68"/>
    </row>
    <row r="60" spans="1:119" x14ac:dyDescent="0.25">
      <c r="A60" s="136">
        <v>11</v>
      </c>
      <c r="B60" s="136">
        <f t="shared" si="0"/>
        <v>2.1379620895022322</v>
      </c>
      <c r="C60" s="136" t="str">
        <f t="shared" si="7"/>
        <v>13.4332119880674j</v>
      </c>
      <c r="D60" s="136">
        <f t="shared" si="1"/>
        <v>0.99999999988572796</v>
      </c>
      <c r="E60" s="136" t="str">
        <f t="shared" si="2"/>
        <v>-0.0000167915149850842j</v>
      </c>
      <c r="F60" s="136" t="str">
        <f t="shared" si="8"/>
        <v>0.999999999885728-0.0000167915149850842j</v>
      </c>
      <c r="G60" s="136">
        <f t="shared" si="9"/>
        <v>2.3195932880163039E-10</v>
      </c>
      <c r="H60" s="136">
        <f t="shared" si="10"/>
        <v>-9.6208294029552E-4</v>
      </c>
      <c r="I60" s="136"/>
      <c r="J60" s="136">
        <f t="shared" si="3"/>
        <v>7.0726915520628681</v>
      </c>
      <c r="K60" s="136" t="str">
        <f t="shared" si="4"/>
        <v>1+0.000985988804449489j</v>
      </c>
      <c r="L60" s="136">
        <f t="shared" si="5"/>
        <v>0.99999994691592708</v>
      </c>
      <c r="M60" s="136" t="str">
        <f t="shared" si="6"/>
        <v>0.0000721589921792338j</v>
      </c>
      <c r="N60" s="136" t="str">
        <f t="shared" si="11"/>
        <v>0.999999946915927+0.0000721589921792338j</v>
      </c>
      <c r="O60" s="136"/>
      <c r="P60" s="136"/>
      <c r="Q60" s="136"/>
      <c r="R60" s="136"/>
      <c r="S60" s="136"/>
      <c r="T60" s="136"/>
      <c r="U60" s="136"/>
      <c r="V60" s="136"/>
      <c r="W60" s="136"/>
      <c r="X60" s="181" t="s">
        <v>205</v>
      </c>
      <c r="Y60" s="136"/>
      <c r="Z60" s="136"/>
      <c r="AA60" s="136"/>
      <c r="AB60" s="181" t="s">
        <v>206</v>
      </c>
      <c r="AC60" s="136"/>
      <c r="AD60" s="136"/>
      <c r="AE60" s="136"/>
      <c r="AF60" s="181" t="s">
        <v>207</v>
      </c>
      <c r="AG60" s="136"/>
      <c r="AH60" s="136"/>
      <c r="AI60" s="136"/>
      <c r="AJ60" s="136"/>
      <c r="AK60" s="136" t="s">
        <v>208</v>
      </c>
      <c r="AL60" s="136"/>
      <c r="AM60" s="136"/>
      <c r="AN60" s="136"/>
      <c r="AO60" s="136"/>
      <c r="AP60" s="136"/>
      <c r="AQ60" s="136" t="s">
        <v>209</v>
      </c>
      <c r="AR60" s="136"/>
      <c r="AS60" s="136"/>
      <c r="AT60" s="136"/>
      <c r="AU60" s="179"/>
      <c r="AV60" s="136"/>
      <c r="AW60" s="136"/>
      <c r="AX60" s="136"/>
      <c r="AY60" s="136"/>
      <c r="AZ60" s="136"/>
      <c r="BA60" s="136"/>
      <c r="BB60" s="136"/>
      <c r="BC60" s="136"/>
      <c r="BD60" s="136"/>
      <c r="BE60" s="136"/>
      <c r="BF60" s="136"/>
      <c r="BG60" s="136"/>
      <c r="BH60" s="136"/>
      <c r="BI60" s="136"/>
      <c r="BJ60" s="136"/>
      <c r="BK60" s="136"/>
      <c r="BL60" s="136"/>
      <c r="BM60" s="136"/>
      <c r="BN60" s="136"/>
      <c r="BO60" s="136"/>
      <c r="BP60" s="136"/>
      <c r="BQ60" s="136"/>
      <c r="BR60" s="136"/>
      <c r="BS60" s="136"/>
      <c r="BT60" s="136"/>
      <c r="BU60" s="136"/>
      <c r="BV60" s="136"/>
      <c r="BW60" s="136"/>
      <c r="BX60" s="136"/>
      <c r="BY60" s="136"/>
      <c r="BZ60" s="136"/>
      <c r="CA60" s="136"/>
      <c r="CB60" s="136"/>
      <c r="CC60" s="136"/>
      <c r="CD60" s="136"/>
      <c r="CE60" s="136"/>
      <c r="CF60" s="136"/>
      <c r="CG60" s="136"/>
      <c r="CH60" s="136"/>
      <c r="CI60" s="136"/>
      <c r="CJ60" s="136"/>
      <c r="CK60" s="136"/>
      <c r="CL60" s="136"/>
      <c r="CM60" s="136"/>
      <c r="CN60" s="136"/>
      <c r="CO60" s="136"/>
      <c r="CP60" s="136"/>
      <c r="CQ60" s="68"/>
      <c r="CR60" s="68"/>
      <c r="CS60" s="68"/>
      <c r="CT60" s="68"/>
      <c r="CU60" s="68"/>
      <c r="CV60" s="68"/>
      <c r="CW60" s="68"/>
      <c r="CX60" s="68"/>
      <c r="CY60" s="68"/>
      <c r="CZ60" s="68"/>
      <c r="DA60" s="68"/>
      <c r="DB60" s="68"/>
      <c r="DC60" s="68"/>
      <c r="DD60" s="68"/>
      <c r="DE60" s="68"/>
      <c r="DF60" s="68"/>
      <c r="DG60" s="68"/>
      <c r="DH60" s="68"/>
      <c r="DI60" s="68"/>
      <c r="DJ60" s="68"/>
      <c r="DK60" s="68"/>
    </row>
    <row r="61" spans="1:119" ht="14.5" x14ac:dyDescent="0.3">
      <c r="A61" s="136">
        <v>12</v>
      </c>
      <c r="B61" s="136">
        <f t="shared" si="0"/>
        <v>2.2908676527677732</v>
      </c>
      <c r="C61" s="136" t="str">
        <f t="shared" si="7"/>
        <v>14.3939459765635j</v>
      </c>
      <c r="D61" s="136">
        <f t="shared" si="1"/>
        <v>0.99999999986879817</v>
      </c>
      <c r="E61" s="136" t="str">
        <f t="shared" si="2"/>
        <v>-0.0000179924324707044j</v>
      </c>
      <c r="F61" s="136" t="str">
        <f t="shared" si="8"/>
        <v>0.999999999868798-0.0000179924324707044j</v>
      </c>
      <c r="G61" s="136">
        <f t="shared" si="9"/>
        <v>2.6632410239873763E-10</v>
      </c>
      <c r="H61" s="136">
        <f t="shared" si="10"/>
        <v>-1.0308904437695146E-3</v>
      </c>
      <c r="I61" s="136"/>
      <c r="J61" s="136">
        <f t="shared" si="3"/>
        <v>7.0726915520628681</v>
      </c>
      <c r="K61" s="136" t="str">
        <f t="shared" si="4"/>
        <v>1+0.00105650603871578j</v>
      </c>
      <c r="L61" s="136">
        <f t="shared" si="5"/>
        <v>0.99999993905132945</v>
      </c>
      <c r="M61" s="136" t="str">
        <f t="shared" si="6"/>
        <v>0.0000773197531665387j</v>
      </c>
      <c r="N61" s="136" t="str">
        <f t="shared" si="11"/>
        <v>0.999999939051329+0.0000773197531665387j</v>
      </c>
      <c r="O61" s="136"/>
      <c r="P61" s="136"/>
      <c r="Q61" s="136"/>
      <c r="R61" s="136" t="s">
        <v>211</v>
      </c>
      <c r="S61" s="136"/>
      <c r="T61" s="136"/>
      <c r="U61" s="136"/>
      <c r="V61" s="136"/>
      <c r="W61" s="136"/>
      <c r="X61" s="181" t="s">
        <v>212</v>
      </c>
      <c r="Y61" s="136"/>
      <c r="Z61" s="136"/>
      <c r="AA61" s="136"/>
      <c r="AB61" s="181" t="s">
        <v>213</v>
      </c>
      <c r="AC61" s="136"/>
      <c r="AD61" s="136"/>
      <c r="AE61" s="136"/>
      <c r="AF61" s="181" t="s">
        <v>214</v>
      </c>
      <c r="AG61" s="136"/>
      <c r="AH61" s="136"/>
      <c r="AI61" s="136"/>
      <c r="AJ61" s="136"/>
      <c r="AK61" s="136"/>
      <c r="AL61" s="136"/>
      <c r="AM61" s="136"/>
      <c r="AN61" s="136"/>
      <c r="AO61" s="136"/>
      <c r="AP61" s="136"/>
      <c r="AQ61" s="136"/>
      <c r="AR61" s="136"/>
      <c r="AS61" s="136"/>
      <c r="AT61" s="136"/>
      <c r="AU61" s="179"/>
      <c r="AV61" s="136"/>
      <c r="AW61" s="136"/>
      <c r="AX61" s="136"/>
      <c r="AY61" s="136"/>
      <c r="AZ61" s="136"/>
      <c r="BA61" s="136"/>
      <c r="BB61" s="136"/>
      <c r="BC61" s="136"/>
      <c r="BD61" s="136"/>
      <c r="BE61" s="136"/>
      <c r="BF61" s="136"/>
      <c r="BG61" s="136"/>
      <c r="BH61" s="136"/>
      <c r="BI61" s="136"/>
      <c r="BJ61" s="136"/>
      <c r="BK61" s="226"/>
      <c r="BL61" s="226"/>
      <c r="BM61" s="226"/>
      <c r="BN61" s="226"/>
      <c r="BO61" s="226"/>
      <c r="BP61" s="226"/>
      <c r="BQ61" s="226"/>
      <c r="BR61" s="226"/>
      <c r="BS61" s="226"/>
      <c r="BT61" s="226"/>
      <c r="BU61" s="226"/>
      <c r="BV61" s="226"/>
      <c r="BW61" s="226"/>
      <c r="BX61" s="226"/>
      <c r="BY61" s="226"/>
      <c r="BZ61" s="226"/>
      <c r="CA61" s="226"/>
      <c r="CB61" s="226"/>
      <c r="CC61" s="226"/>
      <c r="CD61" s="226"/>
      <c r="CE61" s="226"/>
      <c r="CF61" s="226"/>
      <c r="CG61" s="226"/>
      <c r="CH61" s="226"/>
      <c r="CI61" s="226"/>
      <c r="CJ61" s="226"/>
      <c r="CK61" s="226"/>
      <c r="CL61" s="226"/>
      <c r="CM61" s="226"/>
      <c r="CN61" s="226" t="s">
        <v>306</v>
      </c>
      <c r="CO61" s="226"/>
      <c r="CP61" s="226"/>
      <c r="CQ61" s="128"/>
      <c r="CR61" s="128"/>
      <c r="CS61" s="128"/>
      <c r="CT61" s="128"/>
      <c r="CU61" s="128"/>
      <c r="CV61" s="128"/>
      <c r="CW61" s="128"/>
      <c r="CX61" s="128"/>
      <c r="CY61" s="128"/>
      <c r="CZ61" s="210"/>
      <c r="DA61" s="210"/>
      <c r="DB61" s="210"/>
      <c r="DC61" s="210"/>
      <c r="DD61" s="210"/>
      <c r="DE61" s="210"/>
      <c r="DF61" s="210"/>
      <c r="DG61" s="210"/>
      <c r="DH61" s="210"/>
      <c r="DI61" s="210"/>
      <c r="DJ61" s="210"/>
      <c r="DK61" s="210"/>
    </row>
    <row r="62" spans="1:119" ht="14.5" x14ac:dyDescent="0.3">
      <c r="A62" s="136">
        <v>13</v>
      </c>
      <c r="B62" s="136">
        <f t="shared" si="0"/>
        <v>2.4547089156850306</v>
      </c>
      <c r="C62" s="136" t="str">
        <f t="shared" si="7"/>
        <v>15.4233909924349j</v>
      </c>
      <c r="D62" s="136">
        <f t="shared" si="1"/>
        <v>0.99999999984936006</v>
      </c>
      <c r="E62" s="136" t="str">
        <f t="shared" si="2"/>
        <v>-0.0000192792387405436j</v>
      </c>
      <c r="F62" s="136" t="str">
        <f t="shared" si="8"/>
        <v>0.99999999984936-0.0000192792387405436j</v>
      </c>
      <c r="G62" s="136">
        <f t="shared" si="9"/>
        <v>3.0578438232879857E-10</v>
      </c>
      <c r="H62" s="136">
        <f t="shared" si="10"/>
        <v>-1.1046190120878026E-3</v>
      </c>
      <c r="I62" s="136"/>
      <c r="J62" s="136">
        <f t="shared" si="3"/>
        <v>7.0726915520628681</v>
      </c>
      <c r="K62" s="136" t="str">
        <f t="shared" si="4"/>
        <v>1+0.00113206661658406j</v>
      </c>
      <c r="L62" s="136">
        <f t="shared" si="5"/>
        <v>0.99999993002156318</v>
      </c>
      <c r="M62" s="136" t="str">
        <f t="shared" si="6"/>
        <v>0.0000828496081941524j</v>
      </c>
      <c r="N62" s="136" t="str">
        <f t="shared" si="11"/>
        <v>0.999999930021563+0.0000828496081941524j</v>
      </c>
      <c r="O62" s="136"/>
      <c r="P62" s="136"/>
      <c r="Q62" s="136"/>
      <c r="R62" s="136"/>
      <c r="S62" s="136"/>
      <c r="T62" s="136"/>
      <c r="U62" s="136"/>
      <c r="V62" s="136"/>
      <c r="W62" s="136"/>
      <c r="X62" s="136"/>
      <c r="Y62" s="136"/>
      <c r="Z62" s="136"/>
      <c r="AA62" s="136"/>
      <c r="AB62" s="136"/>
      <c r="AC62" s="136"/>
      <c r="AD62" s="136"/>
      <c r="AE62" s="136"/>
      <c r="AF62" s="181"/>
      <c r="AG62" s="136"/>
      <c r="AH62" s="136"/>
      <c r="AI62" s="136"/>
      <c r="AJ62" s="136"/>
      <c r="AK62" s="136"/>
      <c r="AL62" s="136"/>
      <c r="AM62" s="136"/>
      <c r="AN62" s="136"/>
      <c r="AO62" s="136"/>
      <c r="AP62" s="136"/>
      <c r="AQ62" s="136"/>
      <c r="AR62" s="136"/>
      <c r="AS62" s="136"/>
      <c r="AT62" s="136"/>
      <c r="AU62" s="179"/>
      <c r="AV62" s="136"/>
      <c r="AW62" s="136"/>
      <c r="AX62" s="136"/>
      <c r="AY62" s="136"/>
      <c r="AZ62" s="202"/>
      <c r="BA62" s="202"/>
      <c r="BB62" s="177" t="s">
        <v>215</v>
      </c>
      <c r="BC62" s="177"/>
      <c r="BD62" s="177" t="s">
        <v>216</v>
      </c>
      <c r="BE62" s="136"/>
      <c r="BF62" s="136"/>
      <c r="BG62" s="136"/>
      <c r="BH62" s="136" t="s">
        <v>217</v>
      </c>
      <c r="BI62" s="136"/>
      <c r="BJ62" s="136"/>
      <c r="BK62" s="136"/>
      <c r="BL62" s="136" t="s">
        <v>218</v>
      </c>
      <c r="BM62" s="136"/>
      <c r="BN62" s="136"/>
      <c r="BO62" s="182"/>
      <c r="BP62" s="180"/>
      <c r="BQ62" s="77"/>
      <c r="BR62" s="77"/>
      <c r="BS62" s="77"/>
      <c r="BT62" s="77"/>
      <c r="BU62" s="77"/>
      <c r="BV62" s="182"/>
      <c r="BW62" s="182"/>
      <c r="BX62" s="182"/>
      <c r="BY62" s="77"/>
      <c r="BZ62" s="77" t="s">
        <v>292</v>
      </c>
      <c r="CA62" s="77"/>
      <c r="CB62" s="182" t="s">
        <v>294</v>
      </c>
      <c r="CC62" s="136" t="s">
        <v>217</v>
      </c>
      <c r="CD62" s="136"/>
      <c r="CE62" s="136"/>
      <c r="CF62" s="136"/>
      <c r="CG62" s="136" t="s">
        <v>218</v>
      </c>
      <c r="CH62" s="136"/>
      <c r="CI62" s="77"/>
      <c r="CJ62" s="182"/>
      <c r="CK62" s="77"/>
      <c r="CL62" s="77"/>
      <c r="CM62" s="77"/>
      <c r="CN62" s="182" t="s">
        <v>303</v>
      </c>
      <c r="CO62" s="77" t="s">
        <v>304</v>
      </c>
      <c r="CP62" s="77" t="s">
        <v>305</v>
      </c>
      <c r="CQ62" s="74"/>
      <c r="CR62" s="72"/>
      <c r="CS62" s="73"/>
      <c r="CT62" s="73"/>
      <c r="CU62" s="74"/>
      <c r="CV62" s="72"/>
      <c r="CW62" s="73"/>
      <c r="CX62" s="73"/>
      <c r="CY62" s="74"/>
      <c r="CZ62" s="72"/>
      <c r="DA62" s="73"/>
      <c r="DB62" s="73"/>
      <c r="DC62" s="74"/>
      <c r="DD62" s="72"/>
      <c r="DE62" s="73"/>
      <c r="DF62" s="73"/>
      <c r="DG62" s="74"/>
      <c r="DH62" s="72"/>
      <c r="DI62" s="73"/>
      <c r="DJ62" s="73"/>
      <c r="DK62" s="74"/>
      <c r="DL62" s="72"/>
      <c r="DM62" s="73"/>
      <c r="DN62" s="73"/>
      <c r="DO62" s="74"/>
    </row>
    <row r="63" spans="1:119" ht="14.5" x14ac:dyDescent="0.3">
      <c r="A63" s="136">
        <v>14</v>
      </c>
      <c r="B63" s="136">
        <f t="shared" si="0"/>
        <v>2.6302679918953822</v>
      </c>
      <c r="C63" s="136" t="str">
        <f t="shared" si="7"/>
        <v>16.5264612006218j</v>
      </c>
      <c r="D63" s="136">
        <f t="shared" si="1"/>
        <v>0.99999999982704224</v>
      </c>
      <c r="E63" s="136" t="str">
        <f t="shared" si="2"/>
        <v>-0.0000206580765007772j</v>
      </c>
      <c r="F63" s="136" t="str">
        <f t="shared" si="8"/>
        <v>0.999999999827042-0.0000206580765007772j</v>
      </c>
      <c r="G63" s="136">
        <f t="shared" si="9"/>
        <v>3.5108462939589287E-10</v>
      </c>
      <c r="H63" s="136">
        <f t="shared" si="10"/>
        <v>-1.1836205963892618E-3</v>
      </c>
      <c r="I63" s="136"/>
      <c r="J63" s="136">
        <f t="shared" si="3"/>
        <v>7.0726915520628681</v>
      </c>
      <c r="K63" s="136" t="str">
        <f t="shared" si="4"/>
        <v>1+0.00121303123448484j</v>
      </c>
      <c r="L63" s="136">
        <f t="shared" si="5"/>
        <v>0.99999991965400425</v>
      </c>
      <c r="M63" s="136" t="str">
        <f t="shared" si="6"/>
        <v>0.0000887749546114061j</v>
      </c>
      <c r="N63" s="136" t="str">
        <f t="shared" si="11"/>
        <v>0.999999919654004+0.0000887749546114061j</v>
      </c>
      <c r="O63" s="136"/>
      <c r="P63" s="183" t="s">
        <v>228</v>
      </c>
      <c r="Q63" s="136"/>
      <c r="R63" s="136" t="s">
        <v>225</v>
      </c>
      <c r="S63" s="136" t="s">
        <v>226</v>
      </c>
      <c r="T63" s="136" t="s">
        <v>229</v>
      </c>
      <c r="U63" s="136"/>
      <c r="V63" s="183" t="s">
        <v>230</v>
      </c>
      <c r="W63" s="136"/>
      <c r="X63" s="183" t="s">
        <v>231</v>
      </c>
      <c r="Y63" s="136" t="s">
        <v>225</v>
      </c>
      <c r="Z63" s="136" t="s">
        <v>232</v>
      </c>
      <c r="AA63" s="136"/>
      <c r="AB63" s="183" t="s">
        <v>233</v>
      </c>
      <c r="AC63" s="136" t="s">
        <v>225</v>
      </c>
      <c r="AD63" s="136" t="s">
        <v>232</v>
      </c>
      <c r="AE63" s="136"/>
      <c r="AF63" s="183" t="s">
        <v>234</v>
      </c>
      <c r="AG63" s="136" t="s">
        <v>235</v>
      </c>
      <c r="AH63" s="136" t="s">
        <v>236</v>
      </c>
      <c r="AI63" s="136"/>
      <c r="AJ63" s="136" t="s">
        <v>237</v>
      </c>
      <c r="AK63" s="136" t="s">
        <v>238</v>
      </c>
      <c r="AL63" s="178" t="s">
        <v>239</v>
      </c>
      <c r="AM63" s="178" t="s">
        <v>240</v>
      </c>
      <c r="AN63" s="178" t="s">
        <v>241</v>
      </c>
      <c r="AO63" s="136" t="s">
        <v>242</v>
      </c>
      <c r="AP63" s="183" t="s">
        <v>243</v>
      </c>
      <c r="AQ63" s="177" t="s">
        <v>244</v>
      </c>
      <c r="AR63" s="177"/>
      <c r="AS63" s="177"/>
      <c r="AT63" s="177" t="s">
        <v>245</v>
      </c>
      <c r="AU63" s="184" t="s">
        <v>246</v>
      </c>
      <c r="AV63" s="185" t="s">
        <v>257</v>
      </c>
      <c r="AW63" s="183"/>
      <c r="AX63" s="186" t="s">
        <v>258</v>
      </c>
      <c r="AY63" s="183"/>
      <c r="AZ63" s="187" t="s">
        <v>259</v>
      </c>
      <c r="BA63" s="177" t="s">
        <v>247</v>
      </c>
      <c r="BB63" s="177" t="s">
        <v>248</v>
      </c>
      <c r="BC63" s="177" t="s">
        <v>232</v>
      </c>
      <c r="BD63" s="177" t="s">
        <v>249</v>
      </c>
      <c r="BE63" s="177" t="s">
        <v>248</v>
      </c>
      <c r="BF63" s="177" t="s">
        <v>236</v>
      </c>
      <c r="BG63" s="136"/>
      <c r="BH63" s="177" t="s">
        <v>250</v>
      </c>
      <c r="BI63" s="177" t="s">
        <v>235</v>
      </c>
      <c r="BJ63" s="177" t="s">
        <v>236</v>
      </c>
      <c r="BK63" s="177"/>
      <c r="BL63" s="177" t="s">
        <v>251</v>
      </c>
      <c r="BM63" s="178" t="s">
        <v>263</v>
      </c>
      <c r="BN63" s="136"/>
      <c r="BO63" s="77"/>
      <c r="BP63" s="77" t="s">
        <v>287</v>
      </c>
      <c r="BQ63" s="77" t="s">
        <v>288</v>
      </c>
      <c r="BR63" s="77" t="s">
        <v>300</v>
      </c>
      <c r="BS63" s="77" t="s">
        <v>301</v>
      </c>
      <c r="BT63" s="77" t="s">
        <v>302</v>
      </c>
      <c r="BU63" s="77" t="s">
        <v>298</v>
      </c>
      <c r="BV63" s="77" t="s">
        <v>291</v>
      </c>
      <c r="BW63" s="77" t="s">
        <v>296</v>
      </c>
      <c r="BX63" s="188" t="s">
        <v>299</v>
      </c>
      <c r="BY63" s="77" t="s">
        <v>247</v>
      </c>
      <c r="BZ63" s="189" t="s">
        <v>293</v>
      </c>
      <c r="CA63" s="77" t="s">
        <v>232</v>
      </c>
      <c r="CB63" s="77" t="s">
        <v>295</v>
      </c>
      <c r="CC63" s="177" t="s">
        <v>250</v>
      </c>
      <c r="CD63" s="177" t="s">
        <v>235</v>
      </c>
      <c r="CE63" s="177" t="s">
        <v>236</v>
      </c>
      <c r="CF63" s="177"/>
      <c r="CG63" s="177" t="s">
        <v>251</v>
      </c>
      <c r="CH63" s="178" t="s">
        <v>263</v>
      </c>
      <c r="CI63" s="77"/>
      <c r="CJ63" s="77"/>
      <c r="CK63" s="77"/>
      <c r="CL63" s="77"/>
      <c r="CM63" s="77"/>
      <c r="CN63" s="77">
        <v>100</v>
      </c>
      <c r="CO63" s="77">
        <v>55.851031262664698</v>
      </c>
      <c r="CP63" s="77">
        <v>102.21392746803799</v>
      </c>
      <c r="CQ63" s="74"/>
      <c r="CR63" s="73"/>
      <c r="CS63" s="73"/>
      <c r="CT63" s="73"/>
      <c r="CU63" s="74"/>
      <c r="CV63" s="73"/>
      <c r="CW63" s="73"/>
      <c r="CX63" s="73"/>
      <c r="CY63" s="74"/>
      <c r="CZ63" s="73"/>
      <c r="DA63" s="73"/>
      <c r="DB63" s="73"/>
      <c r="DC63" s="74"/>
      <c r="DD63" s="73"/>
      <c r="DE63" s="73"/>
      <c r="DF63" s="73"/>
      <c r="DG63" s="74"/>
      <c r="DH63" s="73"/>
      <c r="DI63" s="73"/>
      <c r="DJ63" s="73"/>
      <c r="DK63" s="74"/>
      <c r="DL63" s="73"/>
      <c r="DM63" s="73"/>
      <c r="DN63" s="73"/>
      <c r="DO63" s="74"/>
    </row>
    <row r="64" spans="1:119" x14ac:dyDescent="0.25">
      <c r="A64" s="136">
        <v>15</v>
      </c>
      <c r="B64" s="136">
        <f t="shared" si="0"/>
        <v>2.8183829312644537</v>
      </c>
      <c r="C64" s="136" t="str">
        <f t="shared" si="7"/>
        <v>17.7084222237266j</v>
      </c>
      <c r="D64" s="136">
        <f t="shared" si="1"/>
        <v>0.99999999980141796</v>
      </c>
      <c r="E64" s="136" t="str">
        <f t="shared" si="2"/>
        <v>-0.0000221355277796583j</v>
      </c>
      <c r="F64" s="136" t="str">
        <f t="shared" si="8"/>
        <v>0.999999999801418-0.0000221355277796583j</v>
      </c>
      <c r="G64" s="136">
        <f t="shared" si="9"/>
        <v>4.0310045293951899E-10</v>
      </c>
      <c r="H64" s="136">
        <f t="shared" si="10"/>
        <v>-1.2682723191137233E-3</v>
      </c>
      <c r="I64" s="136"/>
      <c r="J64" s="136">
        <f t="shared" si="3"/>
        <v>7.0726915520628681</v>
      </c>
      <c r="K64" s="136" t="str">
        <f t="shared" si="4"/>
        <v>1+0.00129978638560672j</v>
      </c>
      <c r="L64" s="136">
        <f t="shared" si="5"/>
        <v>0.99999990775045411</v>
      </c>
      <c r="M64" s="136" t="str">
        <f t="shared" si="6"/>
        <v>0.0000951240776877143j</v>
      </c>
      <c r="N64" s="136" t="str">
        <f t="shared" si="11"/>
        <v>0.999999907750454+0.0000951240776877143j</v>
      </c>
      <c r="O64" s="136" t="str">
        <f t="shared" ref="O64:O127" si="12">IMDIV(K49,N49)</f>
        <v>1.00000002603986+0.000427430320439777j</v>
      </c>
      <c r="P64" s="136" t="str">
        <f t="shared" ref="P64:P127" si="13">IMPRODUCT(J49,O64)</f>
        <v>7.07269173623477+0.00302308281646994j</v>
      </c>
      <c r="Q64" s="136"/>
      <c r="R64" s="136">
        <f t="shared" ref="R64:R127" si="14">Vin/(1+((DCR*10^-3)/Rout))</f>
        <v>11.787819253438114</v>
      </c>
      <c r="S64" s="136" t="str">
        <f t="shared" ref="S64:S127" si="15">IMSUM(1,IMPRODUCT(C49,ncap*(cap*10^-6)*(esr/(ncap*1000))))</f>
        <v>1+4.14690230273853E-07j</v>
      </c>
      <c r="T64" s="136" t="str">
        <f t="shared" ref="T64:T127" si="16">IMSUM(L49,M49)</f>
        <v>0.99999998838647+0.0000337512964020958j</v>
      </c>
      <c r="U64" s="136" t="str">
        <f>IMDIV(S64,T64)</f>
        <v>1.00000001048838-0.0000333366069129739j</v>
      </c>
      <c r="V64" s="136" t="str">
        <f>IMPRODUCT(R64,U64)</f>
        <v>11.7878193770732-0.000392965896813052j</v>
      </c>
      <c r="W64" s="136"/>
      <c r="X64" s="136" t="str">
        <f t="shared" ref="X64:X127" si="17">IMPRODUCT(Fm,Rt,P64,F49)</f>
        <v>1.66801054219589+0.000699857735468929j</v>
      </c>
      <c r="Y64" s="136">
        <f>20*LOG(IMABS(X64),10)</f>
        <v>4.4439765875038528</v>
      </c>
      <c r="Z64" s="136">
        <f>IF((IMARGUMENT(X64)*(180/PI()))&lt;0,(IMARGUMENT(X64)*(180/PI()))+180,(IMARGUMENT(X64)*(180/PI()))-180)</f>
        <v>-179.97596004873199</v>
      </c>
      <c r="AA64" s="136"/>
      <c r="AB64" s="136" t="str">
        <f t="shared" ref="AB64:AB127" si="18">IMPRODUCT(Fm,V64)</f>
        <v>9.26672505943327-0.00030892116743685j</v>
      </c>
      <c r="AC64" s="136">
        <f>20*LOG(IMABS(AB64),10)</f>
        <v>19.338525561693459</v>
      </c>
      <c r="AD64" s="136">
        <f>IF((IMARGUMENT(AB64)*(180/PI()))&lt;0,(IMARGUMENT(AB64)*(180/PI()))+180,(IMARGUMENT(AB64)*(180/PI()))-180)</f>
        <v>179.99808995314135</v>
      </c>
      <c r="AE64" s="136"/>
      <c r="AF64" s="136" t="str">
        <f>IMDIV(AB64,IMSUM(1,X64))</f>
        <v>3.47327126119187-0.00102687634986217j</v>
      </c>
      <c r="AG64" s="136">
        <f>20*LOG(IMABS(AF64),10)</f>
        <v>10.814774437067138</v>
      </c>
      <c r="AH64" s="136">
        <f>IF((IMARGUMENT(AF64)*(180/PI()))&lt;0,(IMARGUMENT(AF64)*(180/PI()))+180,(IMARGUMENT(AF64)*(180/PI()))-180)</f>
        <v>179.98306044221999</v>
      </c>
      <c r="AI64" s="136"/>
      <c r="AJ64" s="136" t="str">
        <f t="shared" ref="AJ64:AJ127" si="19">IMDIV(_Rfb1,IMSUM(1,IMPRODUCT(C49,_Cfb1*_Rfb1)))</f>
        <v>99999.9996052158-6.28318528237457j</v>
      </c>
      <c r="AK64" s="136" t="str">
        <f t="shared" ref="AK64:AK127" si="20">IMDIV(_Rfb2,IMSUM(1,IMPRODUCT(C49,_Cfb2*_Rfb2)))</f>
        <v>19047.6190476186-0.00296349783195764j</v>
      </c>
      <c r="AL64" s="136" t="str">
        <f t="shared" ref="AL64:AL127" si="21">IMDIV(IMSUM(1,IMPRODUCT(C49,10000,0.000000000045)),IMPRODUCT(C49,0.000000000045))</f>
        <v>10000-3536776513.15322j</v>
      </c>
      <c r="AM64" s="136" t="str">
        <f t="shared" ref="AM64:AM127" si="22">IMDIV(AL64,IMSUM(1,IMPRODUCT(C49,AL64,0.0000000001)))</f>
        <v>963.139120091467-1097620297.18736j</v>
      </c>
      <c r="AN64" s="136" t="str">
        <f>IMSUM(10000,AM64)</f>
        <v>10963.1391200915-1097620297.18736j</v>
      </c>
      <c r="AO64" s="136" t="str">
        <f>IMDIV(IMPRODUCT(AN64,AK64),IMSUM(AN64,AK64))</f>
        <v>19047.6190384782-0.333507486529693j</v>
      </c>
      <c r="AP64" s="136" t="str">
        <f>IMDIV(AK64,IMSUM(AJ64,AK64))</f>
        <v>0.160000000085786+8.42369061127353E-06j</v>
      </c>
      <c r="AQ64" s="136" t="str">
        <f t="shared" ref="AQ64:AQ127" si="23">IMSUM(1,IMPRODUCT(C49,_Res1*_Cap1))</f>
        <v>1+0.000100530964914873j</v>
      </c>
      <c r="AR64" s="136" t="str">
        <f t="shared" ref="AR64:AR127" si="24">IMSUM(1,IMPRODUCT(C49,_Res1*_Cap1*_Cap2/(_Cap1+_Cap2)))</f>
        <v>1+2.00660608612522E-07j</v>
      </c>
      <c r="AS64" s="136" t="str">
        <f t="shared" ref="AS64:AS127" si="25">IMPRODUCT(C49,(_Cap1+_Cap2))</f>
        <v>3.14787583889697E-10j</v>
      </c>
      <c r="AT64" s="136" t="str">
        <f>IMPRODUCT(AR64,AS64)</f>
        <v>-6.31654681669719E-17+3.14787583889697E-10j</v>
      </c>
      <c r="AU64" s="179" t="str">
        <f>IMDIV(AQ64,AT64)</f>
        <v>318723.829785525-3176745371.15967j</v>
      </c>
      <c r="AV64" s="136" t="str">
        <f t="shared" ref="AV64:AV127" si="26">+IMDIV(1,IMSUM(IMDIV(1,_R3_T),IMDIV(1,AJ64),IMDIV(1,AK64)))</f>
        <v>7999.99999979258-0.0407351469824506j</v>
      </c>
      <c r="AW64" s="136"/>
      <c r="AX64" s="136" t="str">
        <f t="shared" ref="AX64:AX127" si="27">IMDIV(AV64,_R3_T)</f>
        <v>0.499999999987036-2.54594668640316E-06j</v>
      </c>
      <c r="AY64" s="136"/>
      <c r="AZ64" s="136" t="str">
        <f t="shared" ref="AZ64:AZ127" si="28">IMDIV(IMDIV(AU64,AJ64),IMPRODUCT(IMSUM(1,IMPRODUCT(C49,1/700000)),IMSUM(1,IMPRODUCT(C49,1/35000000))))</f>
        <v>4.89239940567909-31767.4535561801j</v>
      </c>
      <c r="BA64" s="136" t="str">
        <f t="shared" ref="BA64:BA127" si="29">IMPRODUCT(AX64, IMDIV(IMDIV(AU64,AJ64),IMPRODUCT(IMSUM(1,IMPRODUCT(C49,1/700000)),IMSUM(1,IMPRODUCT(C49,1/35000000)))))</f>
        <v>2.3653214596593-15883.726790134j</v>
      </c>
      <c r="BB64" s="136">
        <f>20*LOG(IMABS(BA64),10)</f>
        <v>84.019048262787408</v>
      </c>
      <c r="BC64" s="136">
        <f>IF((IMARGUMENT(BA64)*(180/PI()))&lt;0,(IMARGUMENT(BA64)*(180/PI()))+180,(IMARGUMENT(BA64)*(180/PI()))-180)</f>
        <v>90.00853218754132</v>
      </c>
      <c r="BD64" s="136" t="str">
        <f t="shared" ref="BD64:BD127" si="30">IMPRODUCT(BA64,Fm,V64)</f>
        <v>17.0119642205839-147190.129814024j</v>
      </c>
      <c r="BE64" s="136">
        <f>20*LOG(IMABS(BD64),10)</f>
        <v>103.35757382448088</v>
      </c>
      <c r="BF64" s="136">
        <f>IF((IMARGUMENT(BD64)*(180/PI()))&lt;0,(IMARGUMENT(BD64)*(180/PI()))+180,(IMARGUMENT(BD64)*(180/PI()))-180)</f>
        <v>90.006622140682651</v>
      </c>
      <c r="BG64" s="136"/>
      <c r="BH64" s="136" t="str">
        <f t="shared" ref="BH64:BH127" si="31">IMDIV(BD64,IMSUM(1,X64))</f>
        <v>-8.0952203391457-55168.4942096883j</v>
      </c>
      <c r="BI64" s="136">
        <f>20*LOG(IMABS(BH64),10)</f>
        <v>94.833822699854537</v>
      </c>
      <c r="BJ64" s="136">
        <f>IF((IMARGUMENT(BH64)*(180/PI()))&lt;0,(IMARGUMENT(BH64)*(180/PI()))+180,(IMARGUMENT(BH64)*(180/PI()))-180)</f>
        <v>89.9915926297613</v>
      </c>
      <c r="BK64" s="136"/>
      <c r="BL64" s="136">
        <f>1-BI64</f>
        <v>-93.833822699854537</v>
      </c>
      <c r="BM64" s="136">
        <f>+-1*BJ64</f>
        <v>-89.9915926297613</v>
      </c>
      <c r="BN64" s="136"/>
      <c r="BO64" s="189"/>
      <c r="BP64" s="189" t="str">
        <f t="shared" ref="BP64:BP127" si="32">IMSUM(1/_Rfb1,IMPRODUCT(C49,_Cfb1))</f>
        <v>0.00001+6.28318530717959E-10j</v>
      </c>
      <c r="BQ64" s="189" t="str">
        <f t="shared" ref="BQ64:BQ127" si="33">IMDIV(IMPRODUCT(C49,_Cap1),IMSUM(1,IMPRODUCT(C49,_Cap1,_Res1)))</f>
        <v>3.15827337642957E-14+3.14159262183936E-10j</v>
      </c>
      <c r="BR64" s="189" t="str">
        <f t="shared" ref="BR64:BR127" si="34">IMDIV(IMSUM(1/70000000,BQ64),IMSUB(BQ64,gm))</f>
        <v>-0.000357143585286135-7.85678655993304E-06j</v>
      </c>
      <c r="BS64" s="189" t="str">
        <f t="shared" ref="BS64:BS127" si="35">IMSUM(BP64,BQ64,1/_Rfb2)</f>
        <v>0.0000625000000315827+9.42477792901895E-10j</v>
      </c>
      <c r="BT64" s="189" t="str">
        <f>IMPRODUCT(BR64,BS64)</f>
        <v>-2.23214666868161E-08-4.91385760141963E-10j</v>
      </c>
      <c r="BU64" s="189" t="str">
        <f>IMPRODUCT(-1,BQ64)</f>
        <v>-3.15827337642957E-14-3.14159262183936E-10j</v>
      </c>
      <c r="BV64" s="189" t="str">
        <f>IMSUM(BT64,BU64)</f>
        <v>-2.23214982695499E-08-8.05545022325899E-10j</v>
      </c>
      <c r="BW64" s="189" t="str">
        <f t="shared" ref="BW64:BW127" si="36">IMDIV(1,IMSUM(1,IMPRODUCT(C49,1/6283185)))</f>
        <v>0.999999999999-1.00000004888815E-06j</v>
      </c>
      <c r="BX64" s="189" t="str">
        <f>IMPRODUCT(-1,BP64)</f>
        <v>-0.00001-6.28318530717959E-10j</v>
      </c>
      <c r="BY64" s="189" t="str">
        <f>IMPRODUCT(BW64,IMDIV(BX64,BV64))</f>
        <v>447.416900401565-16.118816673859j</v>
      </c>
      <c r="BZ64" s="136">
        <f>20*LOG(IMABS(BY64),10)</f>
        <v>53.019880753222196</v>
      </c>
      <c r="CA64" s="136">
        <f>IF((IMARGUMENT(BY64)*(180/PI()))&lt;0,(IMARGUMENT(BY64)*(180/PI()))+180,(IMARGUMENT(BY64)*(180/PI()))-180)</f>
        <v>177.93673211350691</v>
      </c>
      <c r="CB64" s="189" t="str">
        <f t="shared" ref="CB64:CB127" si="37">IMPRODUCT(BY64,Fm,V64)</f>
        <v>4146.08442352148-149.506858951263j</v>
      </c>
      <c r="CC64" s="136" t="str">
        <f t="shared" ref="CC64:CC127" si="38">IMDIV(CB64,IMSUM(1,X64))</f>
        <v>1553.98370990467-56.4444645512857j</v>
      </c>
      <c r="CD64" s="136">
        <f>20*LOG(IMABS(CC64),10)</f>
        <v>63.834655190289318</v>
      </c>
      <c r="CE64" s="136">
        <f>IF((IMARGUMENT(CC64)*(180/PI()))&lt;0,(IMARGUMENT(CC64)*(180/PI()))+180,(IMARGUMENT(CC64)*(180/PI()))-180)</f>
        <v>177.91979255572687</v>
      </c>
      <c r="CF64" s="136"/>
      <c r="CG64" s="136">
        <f>1-CD64</f>
        <v>-62.834655190289318</v>
      </c>
      <c r="CH64" s="136">
        <f>+-1*CE64</f>
        <v>-177.91979255572687</v>
      </c>
      <c r="CI64" s="77"/>
      <c r="CJ64" s="189"/>
      <c r="CK64" s="189"/>
      <c r="CL64" s="189"/>
      <c r="CM64" s="77"/>
      <c r="CN64" s="189">
        <v>104.71285480508899</v>
      </c>
      <c r="CO64" s="189">
        <v>55.470015385817298</v>
      </c>
      <c r="CP64" s="189">
        <v>101.61616208818999</v>
      </c>
      <c r="CQ64" s="74"/>
      <c r="CR64" s="75"/>
      <c r="CS64" s="75"/>
      <c r="CT64" s="75"/>
      <c r="CU64" s="74"/>
      <c r="CV64" s="75"/>
      <c r="CW64" s="75"/>
      <c r="CX64" s="75"/>
      <c r="CY64" s="74"/>
      <c r="CZ64" s="75"/>
      <c r="DA64" s="75"/>
      <c r="DB64" s="75"/>
      <c r="DC64" s="74"/>
      <c r="DD64" s="75"/>
      <c r="DE64" s="75"/>
      <c r="DF64" s="75"/>
      <c r="DG64" s="74"/>
      <c r="DH64" s="75"/>
      <c r="DI64" s="75"/>
      <c r="DJ64" s="75"/>
      <c r="DK64" s="74"/>
      <c r="DL64" s="75"/>
      <c r="DM64" s="75"/>
      <c r="DN64" s="75"/>
      <c r="DO64" s="74"/>
    </row>
    <row r="65" spans="1:119" x14ac:dyDescent="0.25">
      <c r="A65" s="136">
        <v>16</v>
      </c>
      <c r="B65" s="136">
        <f t="shared" si="0"/>
        <v>3.0199517204020165</v>
      </c>
      <c r="C65" s="136" t="str">
        <f t="shared" si="7"/>
        <v>18.9749162780217j</v>
      </c>
      <c r="D65" s="136">
        <f t="shared" si="1"/>
        <v>0.99999999977199727</v>
      </c>
      <c r="E65" s="136" t="str">
        <f t="shared" si="2"/>
        <v>-0.0000237186453475271j</v>
      </c>
      <c r="F65" s="136" t="str">
        <f t="shared" si="8"/>
        <v>0.999999999771997-0.0000237186453475271j</v>
      </c>
      <c r="G65" s="136">
        <f t="shared" si="9"/>
        <v>4.6281932428525412E-10</v>
      </c>
      <c r="H65" s="136">
        <f t="shared" si="10"/>
        <v>-1.3589782742359179E-3</v>
      </c>
      <c r="I65" s="136"/>
      <c r="J65" s="136">
        <f t="shared" si="3"/>
        <v>7.0726915520628681</v>
      </c>
      <c r="K65" s="136" t="str">
        <f t="shared" si="4"/>
        <v>1+0.00139274620486261j</v>
      </c>
      <c r="L65" s="136">
        <f t="shared" si="5"/>
        <v>0.99999989408334977</v>
      </c>
      <c r="M65" s="136" t="str">
        <f t="shared" si="6"/>
        <v>0.000101927285635308j</v>
      </c>
      <c r="N65" s="136" t="str">
        <f t="shared" si="11"/>
        <v>0.99999989408335+0.000101927285635308j</v>
      </c>
      <c r="O65" s="136" t="str">
        <f t="shared" si="12"/>
        <v>1.00000002989776+0.000457999840643625j</v>
      </c>
      <c r="P65" s="136" t="str">
        <f t="shared" si="13"/>
        <v>7.0726917635205+0.00323929160376631j</v>
      </c>
      <c r="Q65" s="136"/>
      <c r="R65" s="136">
        <f t="shared" si="14"/>
        <v>11.787819253438114</v>
      </c>
      <c r="S65" s="136" t="str">
        <f t="shared" si="15"/>
        <v>1+4.44348587431862E-07j</v>
      </c>
      <c r="T65" s="136" t="str">
        <f t="shared" si="16"/>
        <v>0.999999986665884+0.0000361651656716422j</v>
      </c>
      <c r="U65" s="136" t="str">
        <f t="shared" ref="U65:U128" si="39">IMDIV(S65,T65)</f>
        <v>1.00000001204227-0.0000357208179960264j</v>
      </c>
      <c r="V65" s="136" t="str">
        <f t="shared" ref="V65:V128" si="40">IMPRODUCT(R65,U65)</f>
        <v>11.7878193953902-0.000421070546122119j</v>
      </c>
      <c r="W65" s="136"/>
      <c r="X65" s="136" t="str">
        <f t="shared" si="17"/>
        <v>1.66801054945432+0.000749911075499563j</v>
      </c>
      <c r="Y65" s="136">
        <f t="shared" ref="Y65:Y128" si="41">20*LOG(IMABS(X65),10)</f>
        <v>4.4439767385718518</v>
      </c>
      <c r="Z65" s="136">
        <f t="shared" ref="Z65:Z128" si="42">IF((IMARGUMENT(X65)*(180/PI()))&lt;0,(IMARGUMENT(X65)*(180/PI()))+180,(IMARGUMENT(X65)*(180/PI()))-180)</f>
        <v>-179.9742407284202</v>
      </c>
      <c r="AA65" s="136"/>
      <c r="AB65" s="136" t="str">
        <f t="shared" si="18"/>
        <v>9.26672507383276-0.000331014995795423j</v>
      </c>
      <c r="AC65" s="136">
        <f t="shared" ref="AC65:AC128" si="43">20*LOG(IMABS(AB65),10)</f>
        <v>19.33852557590545</v>
      </c>
      <c r="AD65" s="136">
        <f t="shared" ref="AD65:AD128" si="44">IF((IMARGUMENT(AB65)*(180/PI()))&lt;0,(IMARGUMENT(AB65)*(180/PI()))+180,(IMARGUMENT(AB65)*(180/PI()))-180)</f>
        <v>179.99795334791358</v>
      </c>
      <c r="AE65" s="136"/>
      <c r="AF65" s="136" t="str">
        <f t="shared" ref="AF65:AF128" si="45">IMDIV(AB65,IMSUM(1,X65))</f>
        <v>3.47327121723246-0.00110031781936256j</v>
      </c>
      <c r="AG65" s="136">
        <f t="shared" ref="AG65:AG128" si="46">20*LOG(IMABS(AF65),10)</f>
        <v>10.814774383375605</v>
      </c>
      <c r="AH65" s="136">
        <f t="shared" ref="AH65:AH128" si="47">IF((IMARGUMENT(AF65)*(180/PI()))&lt;0,(IMARGUMENT(AF65)*(180/PI()))+180,(IMARGUMENT(AF65)*(180/PI()))-180)</f>
        <v>179.98184893688961</v>
      </c>
      <c r="AI65" s="136"/>
      <c r="AJ65" s="136" t="str">
        <f t="shared" si="19"/>
        <v>99999.9995467271-6.73255432451137j</v>
      </c>
      <c r="AK65" s="136" t="str">
        <f t="shared" si="20"/>
        <v>19047.6190476185-0.00317544513797241j</v>
      </c>
      <c r="AL65" s="136" t="str">
        <f t="shared" si="21"/>
        <v>10000-3300711891.85804j</v>
      </c>
      <c r="AM65" s="136" t="str">
        <f t="shared" si="22"/>
        <v>963.139120090917-1024358862.99244j</v>
      </c>
      <c r="AN65" s="136" t="str">
        <f t="shared" ref="AN65:AN128" si="48">IMSUM(10000,AM65)</f>
        <v>10963.1391200909-1024358862.99244j</v>
      </c>
      <c r="AO65" s="136" t="str">
        <f t="shared" ref="AO65:AO128" si="49">IMDIV(IMPRODUCT(AN65,AK65),IMSUM(AN65,AK65))</f>
        <v>19047.6190371237-0.357359710217917j</v>
      </c>
      <c r="AP65" s="136" t="str">
        <f t="shared" ref="AP65:AP128" si="50">IMDIV(AK65,IMSUM(AJ65,AK65))</f>
        <v>0.160000000098494+9.02614711118954E-06j</v>
      </c>
      <c r="AQ65" s="136" t="str">
        <f t="shared" si="23"/>
        <v>1+0.000107720869680451j</v>
      </c>
      <c r="AR65" s="136" t="str">
        <f t="shared" si="24"/>
        <v>1+2.15011715929045E-07j</v>
      </c>
      <c r="AS65" s="136" t="str">
        <f t="shared" si="25"/>
        <v>3.37300973186913E-10j</v>
      </c>
      <c r="AT65" s="136" t="str">
        <f t="shared" ref="AT65:AT128" si="51">IMPRODUCT(AR65,AS65)</f>
        <v>-7.2523661029455E-17+3.37300973186913E-10j</v>
      </c>
      <c r="AU65" s="179" t="str">
        <f t="shared" ref="AU65:AU128" si="52">IMDIV(AQ65,AT65)</f>
        <v>318723.829785523-2964711280.18054j</v>
      </c>
      <c r="AV65" s="136" t="str">
        <f t="shared" si="26"/>
        <v>7999.99999976185-0.0436484963932196j</v>
      </c>
      <c r="AW65" s="136"/>
      <c r="AX65" s="136" t="str">
        <f t="shared" si="27"/>
        <v>0.499999999985116-2.72803102457622E-06j</v>
      </c>
      <c r="AY65" s="136"/>
      <c r="AZ65" s="136" t="str">
        <f t="shared" si="28"/>
        <v>4.89239940589614-29647.1126352736j</v>
      </c>
      <c r="BA65" s="136" t="str">
        <f t="shared" si="29"/>
        <v>2.36532145981712-14823.5563305421j</v>
      </c>
      <c r="BB65" s="136">
        <f t="shared" ref="BB65:BB128" si="53">20*LOG(IMABS(BA65),10)</f>
        <v>83.419048271761739</v>
      </c>
      <c r="BC65" s="136">
        <f t="shared" ref="BC65:BC128" si="54">IF((IMARGUMENT(BA65)*(180/PI()))&lt;0,(IMARGUMENT(BA65)*(180/PI()))+180,(IMARGUMENT(BA65)*(180/PI()))-180)</f>
        <v>90.009142403662594</v>
      </c>
      <c r="BD65" s="136" t="str">
        <f t="shared" si="30"/>
        <v>17.0119642429344-137365.821914564j</v>
      </c>
      <c r="BE65" s="136">
        <f t="shared" ref="BE65:BE128" si="55">20*LOG(IMABS(BD65),10)</f>
        <v>102.7575738476672</v>
      </c>
      <c r="BF65" s="136">
        <f t="shared" ref="BF65:BF128" si="56">IF((IMARGUMENT(BD65)*(180/PI()))&lt;0,(IMARGUMENT(BD65)*(180/PI()))+180,(IMARGUMENT(BD65)*(180/PI()))-180)</f>
        <v>90.007095751576173</v>
      </c>
      <c r="BG65" s="136"/>
      <c r="BH65" s="136" t="str">
        <f t="shared" si="31"/>
        <v>-8.09522023093517-51486.2341425013j</v>
      </c>
      <c r="BI65" s="136">
        <f t="shared" ref="BI65:BI128" si="57">20*LOG(IMABS(BH65),10)</f>
        <v>94.233822655137359</v>
      </c>
      <c r="BJ65" s="136">
        <f t="shared" ref="BJ65:BJ128" si="58">IF((IMARGUMENT(BH65)*(180/PI()))&lt;0,(IMARGUMENT(BH65)*(180/PI()))+180,(IMARGUMENT(BH65)*(180/PI()))-180)</f>
        <v>89.990991340552213</v>
      </c>
      <c r="BK65" s="136"/>
      <c r="BL65" s="136">
        <f t="shared" ref="BL65:BL128" si="59">1-BI65</f>
        <v>-93.233822655137359</v>
      </c>
      <c r="BM65" s="136">
        <f t="shared" ref="BM65:BM128" si="60">+-1*BJ65</f>
        <v>-89.990991340552213</v>
      </c>
      <c r="BN65" s="136"/>
      <c r="BO65" s="189"/>
      <c r="BP65" s="189" t="str">
        <f t="shared" si="32"/>
        <v>0.00001+6.73255435502821E-10j</v>
      </c>
      <c r="BQ65" s="189" t="str">
        <f t="shared" si="33"/>
        <v>3.62618300939529E-14+3.36627713845255E-10j</v>
      </c>
      <c r="BR65" s="189" t="str">
        <f t="shared" si="34"/>
        <v>-0.000357143693163196-0.0000084186984653869j</v>
      </c>
      <c r="BS65" s="189" t="str">
        <f t="shared" si="35"/>
        <v>0.0000625000000362618+1.00988314934808E-09j</v>
      </c>
      <c r="BT65" s="189" t="str">
        <f t="shared" ref="BT65:BT128" si="61">IMPRODUCT(BR65,BS65)</f>
        <v>-2.23214723337487E-08-5.2652932778958E-10j</v>
      </c>
      <c r="BU65" s="189" t="str">
        <f t="shared" ref="BU65:BU128" si="62">IMPRODUCT(-1,BQ65)</f>
        <v>-3.62618300939529E-14-3.36627713845255E-10j</v>
      </c>
      <c r="BV65" s="189" t="str">
        <f t="shared" ref="BV65:BV128" si="63">IMSUM(BT65,BU65)</f>
        <v>-2.23215085955788E-08-8.63157041634835E-10j</v>
      </c>
      <c r="BW65" s="189" t="str">
        <f t="shared" si="36"/>
        <v>0.999999999998852-1.07151935762205E-06j</v>
      </c>
      <c r="BX65" s="189" t="str">
        <f t="shared" ref="BX65:BX128" si="64">IMPRODUCT(-1,BP65)</f>
        <v>-0.00001-6.73255435502821E-10j</v>
      </c>
      <c r="BY65" s="189" t="str">
        <f t="shared" ref="BY65:BY128" si="65">IMPRODUCT(BW65,IMDIV(BX65,BV65))</f>
        <v>447.330641688534-17.2682796693637j</v>
      </c>
      <c r="BZ65" s="136">
        <f t="shared" ref="BZ65:BZ128" si="66">20*LOG(IMABS(BY65),10)</f>
        <v>53.019039942139024</v>
      </c>
      <c r="CA65" s="136">
        <f t="shared" ref="CA65:CA128" si="67">IF((IMARGUMENT(BY65)*(180/PI()))&lt;0,(IMARGUMENT(BY65)*(180/PI()))+180,(IMARGUMENT(BY65)*(180/PI()))-180)</f>
        <v>177.78931191435584</v>
      </c>
      <c r="CB65" s="189" t="str">
        <f t="shared" si="37"/>
        <v>4145.28435756931-160.168473344527j</v>
      </c>
      <c r="CC65" s="136" t="str">
        <f t="shared" si="38"/>
        <v>1553.68164176708-60.4696246229182j</v>
      </c>
      <c r="CD65" s="136">
        <f t="shared" ref="CD65:CD128" si="68">20*LOG(IMABS(CC65),10)</f>
        <v>63.833814325514624</v>
      </c>
      <c r="CE65" s="136">
        <f t="shared" ref="CE65:CE128" si="69">IF((IMARGUMENT(CC65)*(180/PI()))&lt;0,(IMARGUMENT(CC65)*(180/PI()))+180,(IMARGUMENT(CC65)*(180/PI()))-180)</f>
        <v>177.77116085124544</v>
      </c>
      <c r="CF65" s="136"/>
      <c r="CG65" s="136">
        <f t="shared" ref="CG65:CG128" si="70">1-CD65</f>
        <v>-62.833814325514624</v>
      </c>
      <c r="CH65" s="136">
        <f t="shared" ref="CH65:CH128" si="71">+-1*CE65</f>
        <v>-177.77116085124544</v>
      </c>
      <c r="CI65" s="77"/>
      <c r="CJ65" s="189"/>
      <c r="CK65" s="189"/>
      <c r="CL65" s="189"/>
      <c r="CM65" s="77"/>
      <c r="CN65" s="189">
        <v>109.647819614318</v>
      </c>
      <c r="CO65" s="189">
        <v>55.087365643489399</v>
      </c>
      <c r="CP65" s="189">
        <v>101.03989440376201</v>
      </c>
      <c r="CQ65" s="74"/>
      <c r="CR65" s="75"/>
      <c r="CS65" s="75"/>
      <c r="CT65" s="75"/>
      <c r="CU65" s="74"/>
      <c r="CV65" s="75"/>
      <c r="CW65" s="75"/>
      <c r="CX65" s="75"/>
      <c r="CY65" s="74"/>
      <c r="CZ65" s="75"/>
      <c r="DA65" s="75"/>
      <c r="DB65" s="75"/>
      <c r="DC65" s="74"/>
      <c r="DD65" s="75"/>
      <c r="DE65" s="75"/>
      <c r="DF65" s="75"/>
      <c r="DG65" s="74"/>
      <c r="DH65" s="75"/>
      <c r="DI65" s="75"/>
      <c r="DJ65" s="75"/>
      <c r="DK65" s="74"/>
      <c r="DL65" s="75"/>
      <c r="DM65" s="75"/>
      <c r="DN65" s="75"/>
      <c r="DO65" s="76"/>
    </row>
    <row r="66" spans="1:119" x14ac:dyDescent="0.25">
      <c r="A66" s="136">
        <v>17</v>
      </c>
      <c r="B66" s="136">
        <f t="shared" si="0"/>
        <v>3.2359365692962836</v>
      </c>
      <c r="C66" s="136" t="str">
        <f t="shared" si="7"/>
        <v>20.3319891071675j</v>
      </c>
      <c r="D66" s="136">
        <f t="shared" si="1"/>
        <v>0.99999999973821785</v>
      </c>
      <c r="E66" s="136" t="str">
        <f t="shared" si="2"/>
        <v>-0.0000254149863839594j</v>
      </c>
      <c r="F66" s="136" t="str">
        <f t="shared" si="8"/>
        <v>0.999999999738218-0.0000254149863839594j</v>
      </c>
      <c r="G66" s="136">
        <f t="shared" si="9"/>
        <v>5.3139072177300091E-10</v>
      </c>
      <c r="H66" s="136">
        <f t="shared" si="10"/>
        <v>-1.4561714562510025E-3</v>
      </c>
      <c r="I66" s="136"/>
      <c r="J66" s="136">
        <f t="shared" si="3"/>
        <v>7.0726915520628681</v>
      </c>
      <c r="K66" s="136" t="str">
        <f t="shared" si="4"/>
        <v>1+0.00149235444580669j</v>
      </c>
      <c r="L66" s="136">
        <f t="shared" si="5"/>
        <v>0.99999987839141447</v>
      </c>
      <c r="M66" s="136" t="str">
        <f t="shared" si="6"/>
        <v>0.0001092170542887j</v>
      </c>
      <c r="N66" s="136" t="str">
        <f t="shared" si="11"/>
        <v>0.999999878391414+0.0001092170542887j</v>
      </c>
      <c r="O66" s="136" t="str">
        <f t="shared" si="12"/>
        <v>1.00000003432722+0.000490755671843229j</v>
      </c>
      <c r="P66" s="136" t="str">
        <f t="shared" si="13"/>
        <v>7.07269179484871+0.00347096349437254j</v>
      </c>
      <c r="Q66" s="136"/>
      <c r="R66" s="136">
        <f t="shared" si="14"/>
        <v>11.787819253438114</v>
      </c>
      <c r="S66" s="136" t="str">
        <f t="shared" si="15"/>
        <v>1+0.0000004761280896883j</v>
      </c>
      <c r="T66" s="136" t="str">
        <f t="shared" si="16"/>
        <v>0.999999984690386+0.000038751673194281j</v>
      </c>
      <c r="U66" s="136" t="str">
        <f t="shared" si="39"/>
        <v>1.00000001382637-0.0000382755462263716j</v>
      </c>
      <c r="V66" s="136" t="str">
        <f t="shared" si="40"/>
        <v>11.7878194164209-0.000451185220743084j</v>
      </c>
      <c r="W66" s="136"/>
      <c r="X66" s="136" t="str">
        <f t="shared" si="17"/>
        <v>1.66801055778812+0.000803544195869972j</v>
      </c>
      <c r="Y66" s="136">
        <f t="shared" si="41"/>
        <v>4.443976912021153</v>
      </c>
      <c r="Z66" s="136">
        <f t="shared" si="42"/>
        <v>-179.9723984435835</v>
      </c>
      <c r="AA66" s="136"/>
      <c r="AB66" s="136" t="str">
        <f t="shared" si="18"/>
        <v>9.26672509036556-0.000354688959659303j</v>
      </c>
      <c r="AC66" s="136">
        <f t="shared" si="43"/>
        <v>19.338525592222972</v>
      </c>
      <c r="AD66" s="136">
        <f t="shared" si="44"/>
        <v>179.99780697277407</v>
      </c>
      <c r="AE66" s="136"/>
      <c r="AF66" s="136" t="str">
        <f t="shared" si="45"/>
        <v>3.47327116676028-0.00117901176860405j</v>
      </c>
      <c r="AG66" s="136">
        <f t="shared" si="46"/>
        <v>10.81477432172942</v>
      </c>
      <c r="AH66" s="136">
        <f t="shared" si="47"/>
        <v>179.98055078555655</v>
      </c>
      <c r="AI66" s="136"/>
      <c r="AJ66" s="136" t="str">
        <f t="shared" si="19"/>
        <v>99999.9994795731-7.21406192743033j</v>
      </c>
      <c r="AK66" s="136" t="str">
        <f t="shared" si="20"/>
        <v>19047.6190476184-0.00340255076806031j</v>
      </c>
      <c r="AL66" s="136" t="str">
        <f t="shared" si="21"/>
        <v>10000-3080403568.76829j</v>
      </c>
      <c r="AM66" s="136" t="str">
        <f t="shared" si="22"/>
        <v>963.139120090296-955987314.447485j</v>
      </c>
      <c r="AN66" s="136" t="str">
        <f t="shared" si="48"/>
        <v>10963.1391200903-955987314.447485j</v>
      </c>
      <c r="AO66" s="136" t="str">
        <f t="shared" si="49"/>
        <v>19047.6190355689-0.382917828363523j</v>
      </c>
      <c r="AP66" s="136" t="str">
        <f t="shared" si="50"/>
        <v>0.160000000113086+9.67169088138359E-06j</v>
      </c>
      <c r="AQ66" s="136" t="str">
        <f t="shared" si="23"/>
        <v>1+0.000115424991439588j</v>
      </c>
      <c r="AR66" s="136" t="str">
        <f t="shared" si="24"/>
        <v>1+2.30389204470236E-07j</v>
      </c>
      <c r="AS66" s="136" t="str">
        <f t="shared" si="25"/>
        <v>3.6142450444521E-10j</v>
      </c>
      <c r="AT66" s="136" t="str">
        <f t="shared" si="51"/>
        <v>-8.32683040551812E-17+3.6142450444521E-10j</v>
      </c>
      <c r="AU66" s="179" t="str">
        <f t="shared" si="52"/>
        <v>318723.829785522-2766829552.85931j</v>
      </c>
      <c r="AV66" s="136" t="str">
        <f t="shared" si="26"/>
        <v>7999.99999972657-0.0467702065297225j</v>
      </c>
      <c r="AW66" s="136"/>
      <c r="AX66" s="136" t="str">
        <f t="shared" si="27"/>
        <v>0.499999999982911-2.92313790810766E-06j</v>
      </c>
      <c r="AY66" s="136"/>
      <c r="AZ66" s="136" t="str">
        <f t="shared" si="28"/>
        <v>4.89239940614535-27668.2953501511j</v>
      </c>
      <c r="BA66" s="136" t="str">
        <f t="shared" si="29"/>
        <v>2.36532145999832-13834.1476889039j</v>
      </c>
      <c r="BB66" s="136">
        <f t="shared" si="53"/>
        <v>82.819048282065651</v>
      </c>
      <c r="BC66" s="136">
        <f t="shared" si="54"/>
        <v>90.009796262016039</v>
      </c>
      <c r="BD66" s="136" t="str">
        <f t="shared" si="30"/>
        <v>17.0119642685961-128197.244331542j</v>
      </c>
      <c r="BE66" s="136">
        <f t="shared" si="55"/>
        <v>102.15757387428864</v>
      </c>
      <c r="BF66" s="136">
        <f t="shared" si="56"/>
        <v>90.007603234790096</v>
      </c>
      <c r="BG66" s="136"/>
      <c r="BH66" s="136" t="str">
        <f t="shared" si="31"/>
        <v>-8.09522010669274-48049.7490733152j</v>
      </c>
      <c r="BI66" s="136">
        <f t="shared" si="57"/>
        <v>93.633822603795096</v>
      </c>
      <c r="BJ66" s="136">
        <f t="shared" si="58"/>
        <v>89.99034704757257</v>
      </c>
      <c r="BK66" s="136"/>
      <c r="BL66" s="136">
        <f t="shared" si="59"/>
        <v>-92.633822603795096</v>
      </c>
      <c r="BM66" s="136">
        <f t="shared" si="60"/>
        <v>-89.99034704757257</v>
      </c>
      <c r="BN66" s="136"/>
      <c r="BO66" s="189"/>
      <c r="BP66" s="189" t="str">
        <f t="shared" si="32"/>
        <v>0.00001+7.21406196497425E-10j</v>
      </c>
      <c r="BQ66" s="189" t="str">
        <f t="shared" si="33"/>
        <v>4.16341514729017E-14+3.60703093443091E-10j</v>
      </c>
      <c r="BR66" s="189" t="str">
        <f t="shared" si="34"/>
        <v>-0.000357143817022636-0.0000090207979174567j</v>
      </c>
      <c r="BS66" s="189" t="str">
        <f t="shared" si="35"/>
        <v>0.0000625000000416342+1.08210928994052E-09j</v>
      </c>
      <c r="BT66" s="189" t="str">
        <f t="shared" si="61"/>
        <v>-2.23214788172949E-08-5.64186338858862E-10j</v>
      </c>
      <c r="BU66" s="189" t="str">
        <f t="shared" si="62"/>
        <v>-4.16341514729017E-14-3.60703093443091E-10j</v>
      </c>
      <c r="BV66" s="189" t="str">
        <f t="shared" si="63"/>
        <v>-2.23215204514464E-08-9.24889432301953E-10j</v>
      </c>
      <c r="BW66" s="189" t="str">
        <f t="shared" si="36"/>
        <v>0.999999999998682-1.14815367762763E-06j</v>
      </c>
      <c r="BX66" s="189" t="str">
        <f t="shared" si="64"/>
        <v>-0.00001-7.21406196497425E-10j</v>
      </c>
      <c r="BY66" s="189" t="str">
        <f t="shared" si="65"/>
        <v>447.231644611146-18.4991832492035j</v>
      </c>
      <c r="BZ66" s="136">
        <f t="shared" si="66"/>
        <v>53.018074762556459</v>
      </c>
      <c r="CA66" s="136">
        <f t="shared" si="67"/>
        <v>177.63138127543294</v>
      </c>
      <c r="CB66" s="189" t="str">
        <f t="shared" si="37"/>
        <v>4144.3661408675-171.585473693418j</v>
      </c>
      <c r="CC66" s="136" t="str">
        <f t="shared" si="38"/>
        <v>1553.33496533592-64.7799711603619j</v>
      </c>
      <c r="CD66" s="136">
        <f t="shared" si="68"/>
        <v>63.832849084285911</v>
      </c>
      <c r="CE66" s="136">
        <f t="shared" si="69"/>
        <v>177.61193206098949</v>
      </c>
      <c r="CF66" s="136"/>
      <c r="CG66" s="136">
        <f t="shared" si="70"/>
        <v>-62.832849084285911</v>
      </c>
      <c r="CH66" s="136">
        <f t="shared" si="71"/>
        <v>-177.61193206098949</v>
      </c>
      <c r="CI66" s="77"/>
      <c r="CJ66" s="189"/>
      <c r="CK66" s="189"/>
      <c r="CL66" s="189"/>
      <c r="CM66" s="77"/>
      <c r="CN66" s="189">
        <v>114.815362149688</v>
      </c>
      <c r="CO66" s="189">
        <v>54.703210179557999</v>
      </c>
      <c r="CP66" s="189">
        <v>100.484288872089</v>
      </c>
      <c r="CQ66" s="74"/>
      <c r="CR66" s="75"/>
      <c r="CS66" s="75"/>
      <c r="CT66" s="75"/>
      <c r="CU66" s="74"/>
      <c r="CV66" s="75"/>
      <c r="CW66" s="75"/>
      <c r="CX66" s="75"/>
      <c r="CY66" s="74"/>
      <c r="CZ66" s="75"/>
      <c r="DA66" s="75"/>
      <c r="DB66" s="75"/>
      <c r="DC66" s="74"/>
      <c r="DD66" s="75"/>
      <c r="DE66" s="75"/>
      <c r="DF66" s="75"/>
      <c r="DG66" s="74"/>
      <c r="DH66" s="75"/>
      <c r="DI66" s="75"/>
      <c r="DJ66" s="75"/>
      <c r="DK66" s="74"/>
      <c r="DL66" s="75"/>
      <c r="DM66" s="75"/>
      <c r="DN66" s="75"/>
      <c r="DO66" s="76"/>
    </row>
    <row r="67" spans="1:119" x14ac:dyDescent="0.25">
      <c r="A67" s="136">
        <v>18</v>
      </c>
      <c r="B67" s="136">
        <f t="shared" si="0"/>
        <v>3.4673685045253171</v>
      </c>
      <c r="C67" s="136" t="str">
        <f t="shared" si="7"/>
        <v>21.7861188422107j</v>
      </c>
      <c r="D67" s="136">
        <f t="shared" si="1"/>
        <v>0.99999999969943387</v>
      </c>
      <c r="E67" s="136" t="str">
        <f t="shared" si="2"/>
        <v>-0.0000272326485527634j</v>
      </c>
      <c r="F67" s="136" t="str">
        <f t="shared" si="8"/>
        <v>0.999999999699434-0.0000272326485527634j</v>
      </c>
      <c r="G67" s="136">
        <f t="shared" si="9"/>
        <v>6.1011841613723803E-10</v>
      </c>
      <c r="H67" s="136">
        <f t="shared" si="10"/>
        <v>-1.560315827119651E-3</v>
      </c>
      <c r="I67" s="136"/>
      <c r="J67" s="136">
        <f t="shared" si="3"/>
        <v>7.0726915520628681</v>
      </c>
      <c r="K67" s="136" t="str">
        <f t="shared" si="4"/>
        <v>1+0.00159908659893904j</v>
      </c>
      <c r="L67" s="136">
        <f t="shared" si="5"/>
        <v>0.99999986037466204</v>
      </c>
      <c r="M67" s="136" t="str">
        <f t="shared" si="6"/>
        <v>0.000117028182131525j</v>
      </c>
      <c r="N67" s="136" t="str">
        <f t="shared" si="11"/>
        <v>0.999999860374662+0.000117028182131525j</v>
      </c>
      <c r="O67" s="136" t="str">
        <f t="shared" si="12"/>
        <v>1.00000003941292+0.000525854177516426j</v>
      </c>
      <c r="P67" s="136" t="str">
        <f t="shared" si="13"/>
        <v>7.07269183081829+0.00371920439893739j</v>
      </c>
      <c r="Q67" s="136"/>
      <c r="R67" s="136">
        <f t="shared" si="14"/>
        <v>11.787819253438114</v>
      </c>
      <c r="S67" s="136" t="str">
        <f t="shared" si="15"/>
        <v>1+5.10180439866917E-07j</v>
      </c>
      <c r="T67" s="136" t="str">
        <f t="shared" si="16"/>
        <v>0.999999982422211+0.0000415231659379307j</v>
      </c>
      <c r="U67" s="136" t="str">
        <f t="shared" si="39"/>
        <v>1.0000000158748-0.0000410129868781534j</v>
      </c>
      <c r="V67" s="136" t="str">
        <f t="shared" si="40"/>
        <v>11.7878194405674-0.000483453676363301j</v>
      </c>
      <c r="W67" s="136"/>
      <c r="X67" s="136" t="str">
        <f t="shared" si="17"/>
        <v>1.66801056735659+0.000861013120037296j</v>
      </c>
      <c r="Y67" s="136">
        <f t="shared" si="41"/>
        <v>4.4439771111675235</v>
      </c>
      <c r="Z67" s="136">
        <f t="shared" si="42"/>
        <v>-179.97042439990048</v>
      </c>
      <c r="AA67" s="136"/>
      <c r="AB67" s="136" t="str">
        <f t="shared" si="18"/>
        <v>9.26672510934778-0.00038005606927982j</v>
      </c>
      <c r="AC67" s="136">
        <f t="shared" si="43"/>
        <v>19.338525610958019</v>
      </c>
      <c r="AD67" s="136">
        <f t="shared" si="44"/>
        <v>179.99765012898527</v>
      </c>
      <c r="AE67" s="136"/>
      <c r="AF67" s="136" t="str">
        <f t="shared" si="45"/>
        <v>3.4732711088105-0.00126333385056704j</v>
      </c>
      <c r="AG67" s="136">
        <f t="shared" si="46"/>
        <v>10.81477425095021</v>
      </c>
      <c r="AH67" s="136">
        <f t="shared" si="47"/>
        <v>179.97915979136275</v>
      </c>
      <c r="AI67" s="136"/>
      <c r="AJ67" s="136" t="str">
        <f t="shared" si="19"/>
        <v>99999.99940247-7.73000661846114j</v>
      </c>
      <c r="AK67" s="136" t="str">
        <f t="shared" si="20"/>
        <v>19047.6190476183-0.00364589883502766j</v>
      </c>
      <c r="AL67" s="136" t="str">
        <f t="shared" si="21"/>
        <v>10000-2874799878.7434j</v>
      </c>
      <c r="AM67" s="136" t="str">
        <f t="shared" si="22"/>
        <v>963.139120089582-892179272.71578j</v>
      </c>
      <c r="AN67" s="136" t="str">
        <f t="shared" si="48"/>
        <v>10963.1391200896-892179272.71578j</v>
      </c>
      <c r="AO67" s="136" t="str">
        <f t="shared" si="49"/>
        <v>19047.6190337836-0.410303845350768j</v>
      </c>
      <c r="AP67" s="136" t="str">
        <f t="shared" si="50"/>
        <v>0.160000000129841+0.0000103634034934833j</v>
      </c>
      <c r="AQ67" s="136" t="str">
        <f t="shared" si="23"/>
        <v>1+0.000123680106634404j</v>
      </c>
      <c r="AR67" s="136" t="str">
        <f t="shared" si="24"/>
        <v>1+2.46866480308192E-07j</v>
      </c>
      <c r="AS67" s="136" t="str">
        <f t="shared" si="25"/>
        <v>3.87273333898978E-10j</v>
      </c>
      <c r="AT67" s="136" t="str">
        <f t="shared" si="51"/>
        <v>-9.56048048568599E-17+3.87273333898978E-10j</v>
      </c>
      <c r="AU67" s="179" t="str">
        <f t="shared" si="52"/>
        <v>318723.829785519-2582155579.78832j</v>
      </c>
      <c r="AV67" s="136" t="str">
        <f t="shared" si="26"/>
        <v>7999.99999968606-0.0501151792062938j</v>
      </c>
      <c r="AW67" s="136"/>
      <c r="AX67" s="136" t="str">
        <f t="shared" si="27"/>
        <v>0.499999999980379-3.13219870039336E-06j</v>
      </c>
      <c r="AY67" s="136"/>
      <c r="AZ67" s="136" t="str">
        <f t="shared" si="28"/>
        <v>4.89239940643146-25821.5556066791j</v>
      </c>
      <c r="BA67" s="136" t="str">
        <f t="shared" si="29"/>
        <v>2.36532146020636-12910.7778181569j</v>
      </c>
      <c r="BB67" s="136">
        <f t="shared" si="53"/>
        <v>82.21904829389608</v>
      </c>
      <c r="BC67" s="136">
        <f t="shared" si="54"/>
        <v>90.010496883863553</v>
      </c>
      <c r="BD67" s="136" t="str">
        <f t="shared" si="30"/>
        <v>17.0119642980596-119640.62988768j</v>
      </c>
      <c r="BE67" s="136">
        <f t="shared" si="55"/>
        <v>101.55757390485412</v>
      </c>
      <c r="BF67" s="136">
        <f t="shared" si="56"/>
        <v>90.008147012848838</v>
      </c>
      <c r="BG67" s="136"/>
      <c r="BH67" s="136" t="str">
        <f t="shared" si="31"/>
        <v>-8.09521996404349-44842.6345762666j</v>
      </c>
      <c r="BI67" s="136">
        <f t="shared" si="57"/>
        <v>93.033822544846316</v>
      </c>
      <c r="BJ67" s="136">
        <f t="shared" si="58"/>
        <v>89.989656675226286</v>
      </c>
      <c r="BK67" s="136"/>
      <c r="BL67" s="136">
        <f t="shared" si="59"/>
        <v>-92.033822544846316</v>
      </c>
      <c r="BM67" s="136">
        <f t="shared" si="60"/>
        <v>-89.989656675226286</v>
      </c>
      <c r="BN67" s="136"/>
      <c r="BO67" s="189"/>
      <c r="BP67" s="189" t="str">
        <f t="shared" si="32"/>
        <v>0.00001+7.73000666465025E-10j</v>
      </c>
      <c r="BQ67" s="189" t="str">
        <f t="shared" si="33"/>
        <v>4.78024016972076E-14+3.86500327320307E-10j</v>
      </c>
      <c r="BR67" s="189" t="str">
        <f t="shared" si="34"/>
        <v>-0.0003571439592323-9.66595910098767E-06j</v>
      </c>
      <c r="BS67" s="189" t="str">
        <f t="shared" si="35"/>
        <v>0.0000625000000478024+1.15950099378533E-09j</v>
      </c>
      <c r="BT67" s="189" t="str">
        <f t="shared" si="61"/>
        <v>-2.23214862614019E-08-6.0453655304944E-10j</v>
      </c>
      <c r="BU67" s="189" t="str">
        <f t="shared" si="62"/>
        <v>-4.78024016972076E-14-3.86500327320307E-10j</v>
      </c>
      <c r="BV67" s="189" t="str">
        <f t="shared" si="63"/>
        <v>-2.23215340638036E-08-9.91036880369747E-10j</v>
      </c>
      <c r="BW67" s="189" t="str">
        <f t="shared" si="36"/>
        <v>0.999999999998487-1.23026883095732E-06j</v>
      </c>
      <c r="BX67" s="189" t="str">
        <f t="shared" si="64"/>
        <v>-0.00001-7.73000666465025E-10j</v>
      </c>
      <c r="BY67" s="189" t="str">
        <f t="shared" si="65"/>
        <v>447.118035002842-19.8171757964173j</v>
      </c>
      <c r="BZ67" s="136">
        <f t="shared" si="66"/>
        <v>53.016966852589185</v>
      </c>
      <c r="CA67" s="136">
        <f t="shared" si="67"/>
        <v>177.4621960667329</v>
      </c>
      <c r="CB67" s="189" t="str">
        <f t="shared" si="37"/>
        <v>4143.31239016514-183.810250471907j</v>
      </c>
      <c r="CC67" s="136" t="str">
        <f t="shared" si="38"/>
        <v>1552.93711749449-69.3952835007332j</v>
      </c>
      <c r="CD67" s="136">
        <f t="shared" si="68"/>
        <v>63.831741103539414</v>
      </c>
      <c r="CE67" s="136">
        <f t="shared" si="69"/>
        <v>177.44135585809565</v>
      </c>
      <c r="CF67" s="136"/>
      <c r="CG67" s="136">
        <f t="shared" si="70"/>
        <v>-62.831741103539414</v>
      </c>
      <c r="CH67" s="136">
        <f t="shared" si="71"/>
        <v>-177.44135585809565</v>
      </c>
      <c r="CI67" s="77"/>
      <c r="CJ67" s="189"/>
      <c r="CK67" s="189"/>
      <c r="CL67" s="189"/>
      <c r="CM67" s="77"/>
      <c r="CN67" s="189">
        <v>120.226443461741</v>
      </c>
      <c r="CO67" s="189">
        <v>54.317667413068598</v>
      </c>
      <c r="CP67" s="189">
        <v>99.948508016894493</v>
      </c>
      <c r="CQ67" s="74"/>
      <c r="CR67" s="75"/>
      <c r="CS67" s="75"/>
      <c r="CT67" s="75"/>
      <c r="CU67" s="74"/>
      <c r="CV67" s="75"/>
      <c r="CW67" s="75"/>
      <c r="CX67" s="75"/>
      <c r="CY67" s="74"/>
      <c r="CZ67" s="75"/>
      <c r="DA67" s="75"/>
      <c r="DB67" s="75"/>
      <c r="DC67" s="74"/>
      <c r="DD67" s="75"/>
      <c r="DE67" s="75"/>
      <c r="DF67" s="75"/>
      <c r="DG67" s="74"/>
      <c r="DH67" s="75"/>
      <c r="DI67" s="75"/>
      <c r="DJ67" s="75"/>
      <c r="DK67" s="74"/>
      <c r="DL67" s="75"/>
      <c r="DM67" s="75"/>
      <c r="DN67" s="75"/>
      <c r="DO67" s="76"/>
    </row>
    <row r="68" spans="1:119" x14ac:dyDescent="0.25">
      <c r="A68" s="136">
        <v>19</v>
      </c>
      <c r="B68" s="136">
        <f t="shared" si="0"/>
        <v>3.7153522909717256</v>
      </c>
      <c r="C68" s="136" t="str">
        <f t="shared" si="7"/>
        <v>23.3442469256296j</v>
      </c>
      <c r="D68" s="136">
        <f t="shared" si="1"/>
        <v>0.99999999965490394</v>
      </c>
      <c r="E68" s="136" t="str">
        <f t="shared" si="2"/>
        <v>-0.000029180308657037j</v>
      </c>
      <c r="F68" s="136" t="str">
        <f t="shared" si="8"/>
        <v>0.999999999654904-0.000029180308657037j</v>
      </c>
      <c r="G68" s="136">
        <f t="shared" si="9"/>
        <v>7.0051061553525704E-10</v>
      </c>
      <c r="H68" s="136">
        <f t="shared" si="10"/>
        <v>-1.6719085310397102E-3</v>
      </c>
      <c r="I68" s="136"/>
      <c r="J68" s="136">
        <f t="shared" si="3"/>
        <v>7.0726915520628681</v>
      </c>
      <c r="K68" s="136" t="str">
        <f t="shared" si="4"/>
        <v>1+0.00171345216150993j</v>
      </c>
      <c r="L68" s="136">
        <f t="shared" si="5"/>
        <v>0.99999983968866268</v>
      </c>
      <c r="M68" s="136" t="str">
        <f t="shared" si="6"/>
        <v>0.000125397956410792j</v>
      </c>
      <c r="N68" s="136" t="str">
        <f t="shared" si="11"/>
        <v>0.999999839688663+0.000125397956410792j</v>
      </c>
      <c r="O68" s="136" t="str">
        <f t="shared" si="12"/>
        <v>1.00000004525209+0.00056346290415627j</v>
      </c>
      <c r="P68" s="136" t="str">
        <f t="shared" si="13"/>
        <v>7.07269187211694+0.00398519932212686j</v>
      </c>
      <c r="Q68" s="136"/>
      <c r="R68" s="136">
        <f t="shared" si="14"/>
        <v>11.787819253438114</v>
      </c>
      <c r="S68" s="136" t="str">
        <f t="shared" si="15"/>
        <v>1+5.46668190472015E-07j</v>
      </c>
      <c r="T68" s="136" t="str">
        <f t="shared" si="16"/>
        <v>0.999999979817998+0.0000444928739170773j</v>
      </c>
      <c r="U68" s="136" t="str">
        <f t="shared" si="39"/>
        <v>1.00000001822671-0.0000439462074244864j</v>
      </c>
      <c r="V68" s="136" t="str">
        <f t="shared" si="40"/>
        <v>11.7878194682913-0.000518029949993946j</v>
      </c>
      <c r="W68" s="136"/>
      <c r="X68" s="136" t="str">
        <f t="shared" si="17"/>
        <v>1.66801057834268+0.000922592182090968j</v>
      </c>
      <c r="Y68" s="136">
        <f t="shared" si="41"/>
        <v>4.4439773398182245</v>
      </c>
      <c r="Z68" s="136">
        <f t="shared" si="42"/>
        <v>-179.96830917408957</v>
      </c>
      <c r="AA68" s="136"/>
      <c r="AB68" s="136" t="str">
        <f t="shared" si="18"/>
        <v>9.26672513114229-0.000407237417336281j</v>
      </c>
      <c r="AC68" s="136">
        <f t="shared" si="43"/>
        <v>19.338525632468738</v>
      </c>
      <c r="AD68" s="136">
        <f t="shared" si="44"/>
        <v>179.99748206783647</v>
      </c>
      <c r="AE68" s="136"/>
      <c r="AF68" s="136" t="str">
        <f t="shared" si="45"/>
        <v>3.47327104227523-0.00135368658450592j</v>
      </c>
      <c r="AG68" s="136">
        <f t="shared" si="46"/>
        <v>10.81477416968475</v>
      </c>
      <c r="AH68" s="136">
        <f t="shared" si="47"/>
        <v>179.97766931425608</v>
      </c>
      <c r="AI68" s="136"/>
      <c r="AJ68" s="136" t="str">
        <f t="shared" si="19"/>
        <v>99999.9993139437-8.28285131396308j</v>
      </c>
      <c r="AK68" s="136" t="str">
        <f t="shared" si="20"/>
        <v>19047.6190476182-0.0039066509866754j</v>
      </c>
      <c r="AL68" s="136" t="str">
        <f t="shared" si="21"/>
        <v>10000-2682919350.76795j</v>
      </c>
      <c r="AM68" s="136" t="str">
        <f t="shared" si="22"/>
        <v>963.139120088759-832630143.344254j</v>
      </c>
      <c r="AN68" s="136" t="str">
        <f t="shared" si="48"/>
        <v>10963.1391200888-832630143.344254j</v>
      </c>
      <c r="AO68" s="136" t="str">
        <f t="shared" si="49"/>
        <v>19047.6190317339-0.439648491232258j</v>
      </c>
      <c r="AP68" s="136" t="str">
        <f t="shared" si="50"/>
        <v>0.160000000149077+0.0000111045869109759j</v>
      </c>
      <c r="AQ68" s="136" t="str">
        <f t="shared" si="23"/>
        <v>1+0.00013252562193261j</v>
      </c>
      <c r="AR68" s="136" t="str">
        <f t="shared" si="24"/>
        <v>1+2.64522199466287E-07j</v>
      </c>
      <c r="AS68" s="136" t="str">
        <f t="shared" si="25"/>
        <v>4.14970853676484E-10j</v>
      </c>
      <c r="AT68" s="136" t="str">
        <f t="shared" si="51"/>
        <v>-1.09769002928906E-16+4.14970853676484E-10j</v>
      </c>
      <c r="AU68" s="179" t="str">
        <f t="shared" si="52"/>
        <v>318723.829785517-2409807800.17528j</v>
      </c>
      <c r="AV68" s="136" t="str">
        <f t="shared" si="26"/>
        <v>7999.99999963955-0.053699382004674j</v>
      </c>
      <c r="AW68" s="136"/>
      <c r="AX68" s="136" t="str">
        <f t="shared" si="27"/>
        <v>0.499999999977472-3.35621137529213E-06j</v>
      </c>
      <c r="AY68" s="136"/>
      <c r="AZ68" s="136" t="str">
        <f t="shared" si="28"/>
        <v>4.89239940675998-24098.0777968739j</v>
      </c>
      <c r="BA68" s="136" t="str">
        <f t="shared" si="29"/>
        <v>2.36532146044523-12049.038914314j</v>
      </c>
      <c r="BB68" s="136">
        <f t="shared" si="53"/>
        <v>81.619048307479233</v>
      </c>
      <c r="BC68" s="136">
        <f t="shared" si="54"/>
        <v>90.011247613697492</v>
      </c>
      <c r="BD68" s="136" t="str">
        <f t="shared" si="30"/>
        <v>17.0119643318884-111655.132676632j</v>
      </c>
      <c r="BE68" s="136">
        <f t="shared" si="55"/>
        <v>100.95757393994795</v>
      </c>
      <c r="BF68" s="136">
        <f t="shared" si="56"/>
        <v>90.008729681533978</v>
      </c>
      <c r="BG68" s="136"/>
      <c r="BH68" s="136" t="str">
        <f t="shared" si="31"/>
        <v>-8.09521980025998-41849.581150238j</v>
      </c>
      <c r="BI68" s="136">
        <f t="shared" si="57"/>
        <v>92.433822477163957</v>
      </c>
      <c r="BJ68" s="136">
        <f t="shared" si="58"/>
        <v>89.988916927953582</v>
      </c>
      <c r="BK68" s="136"/>
      <c r="BL68" s="136">
        <f t="shared" si="59"/>
        <v>-91.433822477163957</v>
      </c>
      <c r="BM68" s="136">
        <f t="shared" si="60"/>
        <v>-89.988916927953582</v>
      </c>
      <c r="BN68" s="136"/>
      <c r="BO68" s="189"/>
      <c r="BP68" s="189" t="str">
        <f t="shared" si="32"/>
        <v>0.00001+8.2828513707881E-10j</v>
      </c>
      <c r="BQ68" s="189" t="str">
        <f t="shared" si="33"/>
        <v>5.48845005005145E-14+4.14142561265802E-10j</v>
      </c>
      <c r="BR68" s="189" t="str">
        <f t="shared" si="34"/>
        <v>-0.000357144122510839-0.0000103572617603973j</v>
      </c>
      <c r="BS68" s="189" t="str">
        <f t="shared" si="35"/>
        <v>0.0000625000000548845+1.24242769834461E-09j</v>
      </c>
      <c r="BT68" s="189" t="str">
        <f t="shared" si="61"/>
        <v>-2.23214948083802E-08-6.47772586343393E-10j</v>
      </c>
      <c r="BU68" s="189" t="str">
        <f t="shared" si="62"/>
        <v>-5.48845005005145E-14-4.14142561265802E-10j</v>
      </c>
      <c r="BV68" s="189" t="str">
        <f t="shared" si="63"/>
        <v>-2.23215496928807E-08-1.0619151476092E-09j</v>
      </c>
      <c r="BW68" s="189" t="str">
        <f t="shared" si="36"/>
        <v>0.999999999998262-1.31825680300257E-06j</v>
      </c>
      <c r="BX68" s="189" t="str">
        <f t="shared" si="64"/>
        <v>-0.00001-8.2828513707881E-10j</v>
      </c>
      <c r="BY68" s="189" t="str">
        <f t="shared" si="65"/>
        <v>446.987665172906-21.2282693805826j</v>
      </c>
      <c r="BZ68" s="136">
        <f t="shared" si="66"/>
        <v>53.015695150202845</v>
      </c>
      <c r="CA68" s="136">
        <f t="shared" si="67"/>
        <v>177.28096067411883</v>
      </c>
      <c r="CB68" s="189" t="str">
        <f t="shared" si="37"/>
        <v>4142.10318522279-196.898567462049j</v>
      </c>
      <c r="CC68" s="136" t="str">
        <f t="shared" si="38"/>
        <v>1552.4805772758-74.3366145229796j</v>
      </c>
      <c r="CD68" s="136">
        <f t="shared" si="68"/>
        <v>63.830469319887598</v>
      </c>
      <c r="CE68" s="136">
        <f t="shared" si="69"/>
        <v>177.25862998837493</v>
      </c>
      <c r="CF68" s="136"/>
      <c r="CG68" s="136">
        <f t="shared" si="70"/>
        <v>-62.830469319887598</v>
      </c>
      <c r="CH68" s="136">
        <f t="shared" si="71"/>
        <v>-177.25862998837493</v>
      </c>
      <c r="CI68" s="77"/>
      <c r="CJ68" s="189"/>
      <c r="CK68" s="189"/>
      <c r="CL68" s="189"/>
      <c r="CM68" s="77"/>
      <c r="CN68" s="189">
        <v>125.892541179416</v>
      </c>
      <c r="CO68" s="189">
        <v>53.930846570281503</v>
      </c>
      <c r="CP68" s="189">
        <v>99.431715687639795</v>
      </c>
      <c r="CQ68" s="74"/>
      <c r="CR68" s="75"/>
      <c r="CS68" s="75"/>
      <c r="CT68" s="75"/>
      <c r="CU68" s="74"/>
      <c r="CV68" s="75"/>
      <c r="CW68" s="75"/>
      <c r="CX68" s="75"/>
      <c r="CY68" s="74"/>
      <c r="CZ68" s="75"/>
      <c r="DA68" s="75"/>
      <c r="DB68" s="75"/>
      <c r="DC68" s="74"/>
      <c r="DD68" s="75"/>
      <c r="DE68" s="75"/>
      <c r="DF68" s="75"/>
      <c r="DG68" s="74"/>
      <c r="DH68" s="75"/>
      <c r="DI68" s="75"/>
      <c r="DJ68" s="75"/>
      <c r="DK68" s="74"/>
      <c r="DL68" s="75"/>
      <c r="DM68" s="75"/>
      <c r="DN68" s="75"/>
      <c r="DO68" s="76"/>
    </row>
    <row r="69" spans="1:119" x14ac:dyDescent="0.25">
      <c r="A69" s="136">
        <v>20</v>
      </c>
      <c r="B69" s="136">
        <f t="shared" si="0"/>
        <v>3.9810717055349727</v>
      </c>
      <c r="C69" s="136" t="str">
        <f t="shared" si="7"/>
        <v>25.0138112470457j</v>
      </c>
      <c r="D69" s="136">
        <f t="shared" si="1"/>
        <v>0.99999999960377672</v>
      </c>
      <c r="E69" s="136" t="str">
        <f t="shared" si="2"/>
        <v>-0.0000312672640588071j</v>
      </c>
      <c r="F69" s="136" t="str">
        <f t="shared" si="8"/>
        <v>0.999999999603777-0.0000312672640588071j</v>
      </c>
      <c r="G69" s="136">
        <f t="shared" si="9"/>
        <v>8.0429346613166492E-10</v>
      </c>
      <c r="H69" s="136">
        <f t="shared" si="10"/>
        <v>-1.7914822676167524E-3</v>
      </c>
      <c r="I69" s="136"/>
      <c r="J69" s="136">
        <f t="shared" si="3"/>
        <v>7.0726915520628681</v>
      </c>
      <c r="K69" s="136" t="str">
        <f t="shared" si="4"/>
        <v>1+0.00183599706965899j</v>
      </c>
      <c r="L69" s="136">
        <f t="shared" si="5"/>
        <v>0.99999981593795739</v>
      </c>
      <c r="M69" s="136" t="str">
        <f t="shared" si="6"/>
        <v>0.000134366331131508j</v>
      </c>
      <c r="N69" s="136" t="str">
        <f t="shared" si="11"/>
        <v>0.999999815937957+0.000134366331131508j</v>
      </c>
      <c r="O69" s="136" t="str">
        <f t="shared" si="12"/>
        <v>1.00000005195635+0.000603761381074333j</v>
      </c>
      <c r="P69" s="136" t="str">
        <f t="shared" si="13"/>
        <v>7.0726919195341+0.00427021801938624j</v>
      </c>
      <c r="Q69" s="136"/>
      <c r="R69" s="136">
        <f t="shared" si="14"/>
        <v>11.787819253438114</v>
      </c>
      <c r="S69" s="136" t="str">
        <f t="shared" si="15"/>
        <v>1+5.85765519650072E-07j</v>
      </c>
      <c r="T69" s="136" t="str">
        <f t="shared" si="16"/>
        <v>0.999999976827962+0.0000476749733476511j</v>
      </c>
      <c r="U69" s="136" t="str">
        <f t="shared" si="39"/>
        <v>1.00000002092706-0.0000470892099168511j</v>
      </c>
      <c r="V69" s="136" t="str">
        <f t="shared" si="40"/>
        <v>11.7878195001225-0.000555079095287046j</v>
      </c>
      <c r="W69" s="136"/>
      <c r="X69" s="136" t="str">
        <f t="shared" si="17"/>
        <v>1.66801059095639+0.000988575336319283j</v>
      </c>
      <c r="Y69" s="136">
        <f t="shared" si="41"/>
        <v>4.4439776023442983</v>
      </c>
      <c r="Z69" s="136">
        <f t="shared" si="42"/>
        <v>-179.96604266892723</v>
      </c>
      <c r="AA69" s="136"/>
      <c r="AB69" s="136" t="str">
        <f t="shared" si="18"/>
        <v>9.26672515616566-0.00043636275698866j</v>
      </c>
      <c r="AC69" s="136">
        <f t="shared" si="43"/>
        <v>19.338525657166269</v>
      </c>
      <c r="AD69" s="136">
        <f t="shared" si="44"/>
        <v>179.99730198706962</v>
      </c>
      <c r="AE69" s="136"/>
      <c r="AF69" s="136" t="str">
        <f t="shared" si="45"/>
        <v>3.47327096588251-0.00145050127736814j</v>
      </c>
      <c r="AG69" s="136">
        <f t="shared" si="46"/>
        <v>10.814774076379488</v>
      </c>
      <c r="AH69" s="136">
        <f t="shared" si="47"/>
        <v>179.97607223929361</v>
      </c>
      <c r="AI69" s="136"/>
      <c r="AJ69" s="136" t="str">
        <f t="shared" si="19"/>
        <v>99999.999212302-8.87523507630317j</v>
      </c>
      <c r="AK69" s="136" t="str">
        <f t="shared" si="20"/>
        <v>19047.6190476181-0.00418605195104822j</v>
      </c>
      <c r="AL69" s="136" t="str">
        <f t="shared" si="21"/>
        <v>10000-2503846022.79566j</v>
      </c>
      <c r="AM69" s="136" t="str">
        <f t="shared" si="22"/>
        <v>963.139120087817-777055662.249582j</v>
      </c>
      <c r="AN69" s="136" t="str">
        <f t="shared" si="48"/>
        <v>10963.1391200878-777055662.249582j</v>
      </c>
      <c r="AO69" s="136" t="str">
        <f t="shared" si="49"/>
        <v>19047.6190293804-0.471091845782525j</v>
      </c>
      <c r="AP69" s="136" t="str">
        <f t="shared" si="50"/>
        <v>0.160000000171164+0.0000118987792514818j</v>
      </c>
      <c r="AQ69" s="136" t="str">
        <f t="shared" si="23"/>
        <v>1+0.000142003762339411j</v>
      </c>
      <c r="AR69" s="136" t="str">
        <f t="shared" si="24"/>
        <v>1+2.83440643392039E-07j</v>
      </c>
      <c r="AS69" s="136" t="str">
        <f t="shared" si="25"/>
        <v>4.44649280825282E-10j</v>
      </c>
      <c r="AT69" s="136" t="str">
        <f t="shared" si="51"/>
        <v>-1.26031678240925E-16+4.44649280825282E-10j</v>
      </c>
      <c r="AU69" s="179" t="str">
        <f t="shared" si="52"/>
        <v>318723.829785512-2248963493.61938j</v>
      </c>
      <c r="AV69" s="136" t="str">
        <f t="shared" si="26"/>
        <v>7999.99999958615-0.0575399244969529j</v>
      </c>
      <c r="AW69" s="136"/>
      <c r="AX69" s="136" t="str">
        <f t="shared" si="27"/>
        <v>0.499999999974134-3.59624528105956E-06j</v>
      </c>
      <c r="AY69" s="136"/>
      <c r="AZ69" s="136" t="str">
        <f t="shared" si="28"/>
        <v>4.89239940713715-22489.6347166621j</v>
      </c>
      <c r="BA69" s="136" t="str">
        <f t="shared" si="29"/>
        <v>2.36532146071948-11244.8173753436j</v>
      </c>
      <c r="BB69" s="136">
        <f t="shared" si="53"/>
        <v>81.019048323074799</v>
      </c>
      <c r="BC69" s="136">
        <f t="shared" si="54"/>
        <v>90.012052035205954</v>
      </c>
      <c r="BD69" s="136" t="str">
        <f t="shared" si="30"/>
        <v>17.0119643707288-104202.633080724j</v>
      </c>
      <c r="BE69" s="136">
        <f t="shared" si="55"/>
        <v>100.35757398024111</v>
      </c>
      <c r="BF69" s="136">
        <f t="shared" si="56"/>
        <v>90.009354022275559</v>
      </c>
      <c r="BG69" s="136"/>
      <c r="BH69" s="136" t="str">
        <f t="shared" si="31"/>
        <v>-8.09521961221162-39056.3011373341j</v>
      </c>
      <c r="BI69" s="136">
        <f t="shared" si="57"/>
        <v>91.83382239945432</v>
      </c>
      <c r="BJ69" s="136">
        <f t="shared" si="58"/>
        <v>89.988124274499583</v>
      </c>
      <c r="BK69" s="136"/>
      <c r="BL69" s="136">
        <f t="shared" si="59"/>
        <v>-90.83382239945432</v>
      </c>
      <c r="BM69" s="136">
        <f t="shared" si="60"/>
        <v>-89.988124274499583</v>
      </c>
      <c r="BN69" s="136"/>
      <c r="BO69" s="189"/>
      <c r="BP69" s="189" t="str">
        <f t="shared" si="32"/>
        <v>0.00001+8.87523514621322E-10j</v>
      </c>
      <c r="BQ69" s="189" t="str">
        <f t="shared" si="33"/>
        <v>6.30158378497442E-14+4.43761748362175E-10j</v>
      </c>
      <c r="BR69" s="189" t="str">
        <f t="shared" si="34"/>
        <v>-0.000357144309979683-0.0000110980059011235j</v>
      </c>
      <c r="BS69" s="189" t="str">
        <f t="shared" si="35"/>
        <v>0.0000625000000630158+1.3312852629835E-09j</v>
      </c>
      <c r="BT69" s="189" t="str">
        <f t="shared" si="61"/>
        <v>-2.23215046216242E-08-6.94100830476203E-10j</v>
      </c>
      <c r="BU69" s="189" t="str">
        <f t="shared" si="62"/>
        <v>-6.30158378497442E-14-4.43761748362175E-10j</v>
      </c>
      <c r="BV69" s="189" t="str">
        <f t="shared" si="63"/>
        <v>-2.2321567637462E-08-1.13786257883838E-09j</v>
      </c>
      <c r="BW69" s="189" t="str">
        <f t="shared" si="36"/>
        <v>0.999999999998005-0.0000014125376136777j</v>
      </c>
      <c r="BX69" s="189" t="str">
        <f t="shared" si="64"/>
        <v>-0.00001-8.87523514621322E-10j</v>
      </c>
      <c r="BY69" s="189" t="str">
        <f t="shared" si="65"/>
        <v>446.838074691064-22.7388566115233j</v>
      </c>
      <c r="BZ69" s="136">
        <f t="shared" si="66"/>
        <v>53.014235499584935</v>
      </c>
      <c r="CA69" s="136">
        <f t="shared" si="67"/>
        <v>177.08682471378728</v>
      </c>
      <c r="CB69" s="189" t="str">
        <f t="shared" si="37"/>
        <v>4140.71570508215-210.909718078647j</v>
      </c>
      <c r="CC69" s="136" t="str">
        <f t="shared" si="38"/>
        <v>1551.95672853475-79.6263496642858j</v>
      </c>
      <c r="CD69" s="136">
        <f t="shared" si="68"/>
        <v>63.829009575964413</v>
      </c>
      <c r="CE69" s="136">
        <f t="shared" si="69"/>
        <v>177.06289695308087</v>
      </c>
      <c r="CF69" s="136"/>
      <c r="CG69" s="136">
        <f t="shared" si="70"/>
        <v>-62.829009575964413</v>
      </c>
      <c r="CH69" s="136">
        <f t="shared" si="71"/>
        <v>-177.06289695308087</v>
      </c>
      <c r="CI69" s="77"/>
      <c r="CJ69" s="189"/>
      <c r="CK69" s="189"/>
      <c r="CL69" s="189"/>
      <c r="CM69" s="77"/>
      <c r="CN69" s="189">
        <v>131.82567385563999</v>
      </c>
      <c r="CO69" s="189">
        <v>53.5428481993671</v>
      </c>
      <c r="CP69" s="189">
        <v>98.933080277883207</v>
      </c>
      <c r="CQ69" s="74"/>
      <c r="CR69" s="75"/>
      <c r="CS69" s="75"/>
      <c r="CT69" s="75"/>
      <c r="CU69" s="74"/>
      <c r="CV69" s="75"/>
      <c r="CW69" s="75"/>
      <c r="CX69" s="75"/>
      <c r="CY69" s="74"/>
      <c r="CZ69" s="75"/>
      <c r="DA69" s="75"/>
      <c r="DB69" s="75"/>
      <c r="DC69" s="74"/>
      <c r="DD69" s="75"/>
      <c r="DE69" s="75"/>
      <c r="DF69" s="75"/>
      <c r="DG69" s="74"/>
      <c r="DH69" s="75"/>
      <c r="DI69" s="75"/>
      <c r="DJ69" s="75"/>
      <c r="DK69" s="74"/>
      <c r="DL69" s="75"/>
      <c r="DM69" s="75"/>
      <c r="DN69" s="75"/>
      <c r="DO69" s="76"/>
    </row>
    <row r="70" spans="1:119" x14ac:dyDescent="0.25">
      <c r="A70" s="136">
        <v>21</v>
      </c>
      <c r="B70" s="136">
        <f t="shared" si="0"/>
        <v>4.2657951880159271</v>
      </c>
      <c r="C70" s="136" t="str">
        <f t="shared" si="7"/>
        <v>26.8027816487791j</v>
      </c>
      <c r="D70" s="136">
        <f t="shared" si="1"/>
        <v>0.99999999954507479</v>
      </c>
      <c r="E70" s="136" t="str">
        <f t="shared" si="2"/>
        <v>-0.0000335034770609739j</v>
      </c>
      <c r="F70" s="136" t="str">
        <f t="shared" si="8"/>
        <v>0.999999999545075-0.0000335034770609739j</v>
      </c>
      <c r="G70" s="136">
        <f t="shared" si="9"/>
        <v>9.2345348250687026E-10</v>
      </c>
      <c r="H70" s="136">
        <f t="shared" si="10"/>
        <v>-1.9196078347622075E-3</v>
      </c>
      <c r="I70" s="136"/>
      <c r="J70" s="136">
        <f t="shared" si="3"/>
        <v>7.0726915520628681</v>
      </c>
      <c r="K70" s="136" t="str">
        <f t="shared" si="4"/>
        <v>1+0.00196730630449929j</v>
      </c>
      <c r="L70" s="136">
        <f t="shared" si="5"/>
        <v>0.99999978866849926</v>
      </c>
      <c r="M70" s="136" t="str">
        <f t="shared" si="6"/>
        <v>0.00014397611778136j</v>
      </c>
      <c r="N70" s="136" t="str">
        <f t="shared" si="11"/>
        <v>0.999999788668499+0.00014397611778136j</v>
      </c>
      <c r="O70" s="136" t="str">
        <f t="shared" si="12"/>
        <v>1.00000005965387+0.000646941977405807j</v>
      </c>
      <c r="P70" s="136" t="str">
        <f t="shared" si="13"/>
        <v>7.07269197397629+0.0045756210582729j</v>
      </c>
      <c r="Q70" s="136"/>
      <c r="R70" s="136">
        <f t="shared" si="14"/>
        <v>11.787819253438114</v>
      </c>
      <c r="S70" s="136" t="str">
        <f t="shared" si="15"/>
        <v>1+6.27659062647591E-07j</v>
      </c>
      <c r="T70" s="136" t="str">
        <f t="shared" si="16"/>
        <v>0.99999997339494+0.0000510846543186965j</v>
      </c>
      <c r="U70" s="136" t="str">
        <f t="shared" si="39"/>
        <v>1.00000002402748-0.000050456997825896j</v>
      </c>
      <c r="V70" s="136" t="str">
        <f t="shared" si="40"/>
        <v>11.7878195366697-0.000594777970442782j</v>
      </c>
      <c r="W70" s="136"/>
      <c r="X70" s="136" t="str">
        <f t="shared" si="17"/>
        <v>1.66801060543887+0.00105927756043596j</v>
      </c>
      <c r="Y70" s="136">
        <f t="shared" si="41"/>
        <v>4.4439779037645586</v>
      </c>
      <c r="Z70" s="136">
        <f t="shared" si="42"/>
        <v>-179.96361406504906</v>
      </c>
      <c r="AA70" s="136"/>
      <c r="AB70" s="136" t="str">
        <f t="shared" si="18"/>
        <v>9.26672518489641-0.000467571121272938j</v>
      </c>
      <c r="AC70" s="136">
        <f t="shared" si="43"/>
        <v>19.33852568552291</v>
      </c>
      <c r="AD70" s="136">
        <f t="shared" si="44"/>
        <v>179.99710902704959</v>
      </c>
      <c r="AE70" s="136"/>
      <c r="AF70" s="136" t="str">
        <f t="shared" si="45"/>
        <v>3.47327087817196-0.00155424008262294j</v>
      </c>
      <c r="AG70" s="136">
        <f t="shared" si="46"/>
        <v>10.814773969250782</v>
      </c>
      <c r="AH70" s="136">
        <f t="shared" si="47"/>
        <v>179.97436094267798</v>
      </c>
      <c r="AI70" s="136"/>
      <c r="AJ70" s="136" t="str">
        <f t="shared" si="19"/>
        <v>99999.9990956017-9.50998571168262j</v>
      </c>
      <c r="AK70" s="136" t="str">
        <f t="shared" si="20"/>
        <v>19047.619047618-0.00448543547827567j</v>
      </c>
      <c r="AL70" s="136" t="str">
        <f t="shared" si="21"/>
        <v>10000-2336725069.30749j</v>
      </c>
      <c r="AM70" s="136" t="str">
        <f t="shared" si="22"/>
        <v>963.139120086736-725190538.753443j</v>
      </c>
      <c r="AN70" s="136" t="str">
        <f t="shared" si="48"/>
        <v>10963.1391200867-725190538.753443j</v>
      </c>
      <c r="AO70" s="136" t="str">
        <f t="shared" si="49"/>
        <v>19047.6190266784-0.504784007183517j</v>
      </c>
      <c r="AP70" s="136" t="str">
        <f t="shared" si="50"/>
        <v>0.160000000196522+0.0000127497716763325j</v>
      </c>
      <c r="AQ70" s="136" t="str">
        <f t="shared" si="23"/>
        <v>1+0.000152159772763052j</v>
      </c>
      <c r="AR70" s="136" t="str">
        <f t="shared" si="24"/>
        <v>1+3.03712121283538E-07j</v>
      </c>
      <c r="AS70" s="136" t="str">
        <f t="shared" si="25"/>
        <v>4.76450288464308E-10j</v>
      </c>
      <c r="AT70" s="136" t="str">
        <f t="shared" si="51"/>
        <v>-1.44703727795649E-16+4.76450288464308E-10j</v>
      </c>
      <c r="AU70" s="179" t="str">
        <f t="shared" si="52"/>
        <v>318723.829785508-2098854852.7682j</v>
      </c>
      <c r="AV70" s="136" t="str">
        <f t="shared" si="26"/>
        <v>7999.99999952483-0.0616551399199267j</v>
      </c>
      <c r="AW70" s="136"/>
      <c r="AX70" s="136" t="str">
        <f t="shared" si="27"/>
        <v>0.499999999970302-3.85344624499542E-06j</v>
      </c>
      <c r="AY70" s="136"/>
      <c r="AZ70" s="136" t="str">
        <f t="shared" si="28"/>
        <v>4.8923994075702-20988.5482924495j</v>
      </c>
      <c r="BA70" s="136" t="str">
        <f t="shared" si="29"/>
        <v>2.36532146103436-10494.274164454j</v>
      </c>
      <c r="BB70" s="136">
        <f t="shared" si="53"/>
        <v>80.419048340980837</v>
      </c>
      <c r="BC70" s="136">
        <f t="shared" si="54"/>
        <v>90.012913988379793</v>
      </c>
      <c r="BD70" s="136" t="str">
        <f t="shared" si="30"/>
        <v>17.0119644153237-97247.5558029096j</v>
      </c>
      <c r="BE70" s="136">
        <f t="shared" si="55"/>
        <v>99.757574026503733</v>
      </c>
      <c r="BF70" s="136">
        <f t="shared" si="56"/>
        <v>90.010023015429383</v>
      </c>
      <c r="BG70" s="136"/>
      <c r="BH70" s="136" t="str">
        <f t="shared" si="31"/>
        <v>-8.095219396303-36449.4605192278j</v>
      </c>
      <c r="BI70" s="136">
        <f t="shared" si="57"/>
        <v>91.233822310231588</v>
      </c>
      <c r="BJ70" s="136">
        <f t="shared" si="58"/>
        <v>89.987274931057769</v>
      </c>
      <c r="BK70" s="136"/>
      <c r="BL70" s="136">
        <f t="shared" si="59"/>
        <v>-90.233822310231588</v>
      </c>
      <c r="BM70" s="136">
        <f t="shared" si="60"/>
        <v>-89.987274931057769</v>
      </c>
      <c r="BN70" s="136"/>
      <c r="BO70" s="189"/>
      <c r="BP70" s="189" t="str">
        <f t="shared" si="32"/>
        <v>0.00001+9.50998579769077E-10j</v>
      </c>
      <c r="BQ70" s="189" t="str">
        <f t="shared" si="33"/>
        <v>7.23518622226906E-14+4.75499278875496E-10j</v>
      </c>
      <c r="BR70" s="189" t="str">
        <f t="shared" si="34"/>
        <v>-0.000357144525222718-0.0000118917275425021j</v>
      </c>
      <c r="BS70" s="189" t="str">
        <f t="shared" si="35"/>
        <v>0.0000625000000723519+1.42649785864457E-09j</v>
      </c>
      <c r="BT70" s="189" t="str">
        <f t="shared" si="61"/>
        <v>-2.23215158887361E-08-7.43742438167227E-10j</v>
      </c>
      <c r="BU70" s="189" t="str">
        <f t="shared" si="62"/>
        <v>-7.23518622226906E-14-4.75499278875496E-10j</v>
      </c>
      <c r="BV70" s="189" t="str">
        <f t="shared" si="63"/>
        <v>-2.23215882405983E-08-1.21924171704272E-09j</v>
      </c>
      <c r="BW70" s="189" t="str">
        <f t="shared" si="36"/>
        <v>0.999999999997709-1.51356132242946E-06j</v>
      </c>
      <c r="BX70" s="189" t="str">
        <f t="shared" si="64"/>
        <v>-0.00001-9.50998579769077E-10j</v>
      </c>
      <c r="BY70" s="189" t="str">
        <f t="shared" si="65"/>
        <v>446.666445773608-24.3557266384406j</v>
      </c>
      <c r="BZ70" s="136">
        <f t="shared" si="66"/>
        <v>53.012560201220886</v>
      </c>
      <c r="CA70" s="136">
        <f t="shared" si="67"/>
        <v>176.87887960181595</v>
      </c>
      <c r="CB70" s="189" t="str">
        <f t="shared" si="37"/>
        <v>4139.12381426405-225.906673767775j</v>
      </c>
      <c r="CC70" s="136" t="str">
        <f t="shared" si="38"/>
        <v>1551.35570371547-85.2882629435968j</v>
      </c>
      <c r="CD70" s="136">
        <f t="shared" si="68"/>
        <v>63.827334170471694</v>
      </c>
      <c r="CE70" s="136">
        <f t="shared" si="69"/>
        <v>176.85324054449396</v>
      </c>
      <c r="CF70" s="136"/>
      <c r="CG70" s="136">
        <f t="shared" si="70"/>
        <v>-62.827334170471694</v>
      </c>
      <c r="CH70" s="136">
        <f t="shared" si="71"/>
        <v>-176.85324054449396</v>
      </c>
      <c r="CI70" s="77"/>
      <c r="CJ70" s="189"/>
      <c r="CK70" s="189"/>
      <c r="CL70" s="189"/>
      <c r="CM70" s="77"/>
      <c r="CN70" s="189">
        <v>138.03842646028801</v>
      </c>
      <c r="CO70" s="189">
        <v>53.153764689732903</v>
      </c>
      <c r="CP70" s="189">
        <v>98.451776797888797</v>
      </c>
      <c r="CQ70" s="74"/>
      <c r="CR70" s="75"/>
      <c r="CS70" s="75"/>
      <c r="CT70" s="75"/>
      <c r="CU70" s="74"/>
      <c r="CV70" s="75"/>
      <c r="CW70" s="75"/>
      <c r="CX70" s="75"/>
      <c r="CY70" s="74"/>
      <c r="CZ70" s="75"/>
      <c r="DA70" s="75"/>
      <c r="DB70" s="75"/>
      <c r="DC70" s="74"/>
      <c r="DD70" s="75"/>
      <c r="DE70" s="75"/>
      <c r="DF70" s="75"/>
      <c r="DG70" s="74"/>
      <c r="DH70" s="75"/>
      <c r="DI70" s="75"/>
      <c r="DJ70" s="75"/>
      <c r="DK70" s="74"/>
      <c r="DL70" s="75"/>
      <c r="DM70" s="75"/>
      <c r="DN70" s="75"/>
      <c r="DO70" s="76"/>
    </row>
    <row r="71" spans="1:119" x14ac:dyDescent="0.25">
      <c r="A71" s="136">
        <v>22</v>
      </c>
      <c r="B71" s="136">
        <f t="shared" si="0"/>
        <v>4.5708818961487498</v>
      </c>
      <c r="C71" s="136" t="str">
        <f t="shared" si="7"/>
        <v>28.719697970735j</v>
      </c>
      <c r="D71" s="136">
        <f t="shared" si="1"/>
        <v>0.99999999947767593</v>
      </c>
      <c r="E71" s="136" t="str">
        <f t="shared" si="2"/>
        <v>-0.0000358996224634188j</v>
      </c>
      <c r="F71" s="136" t="str">
        <f t="shared" si="8"/>
        <v>0.999999999477676-0.0000358996224634188j</v>
      </c>
      <c r="G71" s="136">
        <f t="shared" si="9"/>
        <v>1.0602645488260953E-9</v>
      </c>
      <c r="H71" s="136">
        <f t="shared" si="10"/>
        <v>-2.056896853457676E-3</v>
      </c>
      <c r="I71" s="136"/>
      <c r="J71" s="136">
        <f t="shared" si="3"/>
        <v>7.0726915520628681</v>
      </c>
      <c r="K71" s="136" t="str">
        <f t="shared" si="4"/>
        <v>1+0.00210800668458664j</v>
      </c>
      <c r="L71" s="136">
        <f t="shared" si="5"/>
        <v>0.99999975735897206</v>
      </c>
      <c r="M71" s="136" t="str">
        <f t="shared" si="6"/>
        <v>0.00015427318969589j</v>
      </c>
      <c r="N71" s="136" t="str">
        <f t="shared" si="11"/>
        <v>0.999999757358972+0.00015427318969589j</v>
      </c>
      <c r="O71" s="136" t="str">
        <f t="shared" si="12"/>
        <v>1.00000006849181+0.000693210820407525j</v>
      </c>
      <c r="P71" s="136" t="str">
        <f t="shared" si="13"/>
        <v>7.07269203648431+0.00490286631329487j</v>
      </c>
      <c r="Q71" s="136"/>
      <c r="R71" s="136">
        <f t="shared" si="14"/>
        <v>11.787819253438114</v>
      </c>
      <c r="S71" s="136" t="str">
        <f t="shared" si="15"/>
        <v>1+6.72548802734233E-07j</v>
      </c>
      <c r="T71" s="136" t="str">
        <f t="shared" si="16"/>
        <v>0.999999969453304+0.0000547381933038729j</v>
      </c>
      <c r="U71" s="136" t="str">
        <f t="shared" si="39"/>
        <v>1.00000002758724-0.0000540656476627413j</v>
      </c>
      <c r="V71" s="136" t="str">
        <f t="shared" si="40"/>
        <v>11.7878195786315-0.000637316082468463j</v>
      </c>
      <c r="W71" s="136"/>
      <c r="X71" s="136" t="str">
        <f t="shared" si="17"/>
        <v>1.66801062206699+0.00113503635916524j</v>
      </c>
      <c r="Y71" s="136">
        <f t="shared" si="41"/>
        <v>4.4439782498413436</v>
      </c>
      <c r="Z71" s="136">
        <f t="shared" si="42"/>
        <v>-179.96101176930409</v>
      </c>
      <c r="AA71" s="136"/>
      <c r="AB71" s="136" t="str">
        <f t="shared" si="18"/>
        <v>9.26672521788372-0.000501011486796017j</v>
      </c>
      <c r="AC71" s="136">
        <f t="shared" si="43"/>
        <v>19.338525718080678</v>
      </c>
      <c r="AD71" s="136">
        <f t="shared" si="44"/>
        <v>179.99690226666075</v>
      </c>
      <c r="AE71" s="136"/>
      <c r="AF71" s="136" t="str">
        <f t="shared" si="45"/>
        <v>3.47327077746677-0.00166539820632519j</v>
      </c>
      <c r="AG71" s="136">
        <f t="shared" si="46"/>
        <v>10.814773846250542</v>
      </c>
      <c r="AH71" s="136">
        <f t="shared" si="47"/>
        <v>179.97252725536475</v>
      </c>
      <c r="AI71" s="136"/>
      <c r="AJ71" s="136" t="str">
        <f t="shared" si="19"/>
        <v>99999.9989616118-10.190133268948j</v>
      </c>
      <c r="AK71" s="136" t="str">
        <f t="shared" si="20"/>
        <v>19047.6190476178-0.00480623070737002j</v>
      </c>
      <c r="AL71" s="136" t="str">
        <f t="shared" si="21"/>
        <v>10000-2180758720.71137j</v>
      </c>
      <c r="AM71" s="136" t="str">
        <f t="shared" si="22"/>
        <v>963.139120085492-676787189.189331j</v>
      </c>
      <c r="AN71" s="136" t="str">
        <f t="shared" si="48"/>
        <v>10963.1391200855-676787189.189331j</v>
      </c>
      <c r="AO71" s="136" t="str">
        <f t="shared" si="49"/>
        <v>19047.6190235759-0.540885808533955j</v>
      </c>
      <c r="AP71" s="136" t="str">
        <f t="shared" si="50"/>
        <v>0.160000000225637+0.000013661626488081j</v>
      </c>
      <c r="AQ71" s="136" t="str">
        <f t="shared" si="23"/>
        <v>1+0.000163042133996178j</v>
      </c>
      <c r="AR71" s="136" t="str">
        <f t="shared" si="24"/>
        <v>1+3.25433401189975E-07j</v>
      </c>
      <c r="AS71" s="136" t="str">
        <f t="shared" si="25"/>
        <v>5.10525682075531E-10j</v>
      </c>
      <c r="AT71" s="136" t="str">
        <f t="shared" si="51"/>
        <v>-1.66142109112672E-16+5.10525682075531E-10j</v>
      </c>
      <c r="AU71" s="179" t="str">
        <f t="shared" si="52"/>
        <v>318723.829785506-1958765318.10795j</v>
      </c>
      <c r="AV71" s="136" t="str">
        <f t="shared" si="26"/>
        <v>7999.99999945443-0.0660646726907459j</v>
      </c>
      <c r="AW71" s="136"/>
      <c r="AX71" s="136" t="str">
        <f t="shared" si="27"/>
        <v>0.499999999965902-4.12904204317162E-06j</v>
      </c>
      <c r="AY71" s="136"/>
      <c r="AZ71" s="136" t="str">
        <f t="shared" si="28"/>
        <v>4.89239940806747-19587.6529290234j</v>
      </c>
      <c r="BA71" s="136" t="str">
        <f t="shared" si="29"/>
        <v>2.36532146139592-9793.82648404472j</v>
      </c>
      <c r="BB71" s="136">
        <f t="shared" si="53"/>
        <v>79.819048361539856</v>
      </c>
      <c r="BC71" s="136">
        <f t="shared" si="54"/>
        <v>90.013837587843284</v>
      </c>
      <c r="BD71" s="136" t="str">
        <f t="shared" si="30"/>
        <v>17.0119644665257-90756.7000443279j</v>
      </c>
      <c r="BE71" s="136">
        <f t="shared" si="55"/>
        <v>99.157574079620545</v>
      </c>
      <c r="BF71" s="136">
        <f t="shared" si="56"/>
        <v>90.010739854504038</v>
      </c>
      <c r="BG71" s="136"/>
      <c r="BH71" s="136" t="str">
        <f t="shared" si="31"/>
        <v>-8.09521914840678-34016.6152658147j</v>
      </c>
      <c r="BI71" s="136">
        <f t="shared" si="57"/>
        <v>90.633822207790359</v>
      </c>
      <c r="BJ71" s="136">
        <f t="shared" si="58"/>
        <v>89.986364843208051</v>
      </c>
      <c r="BK71" s="136"/>
      <c r="BL71" s="136">
        <f t="shared" si="59"/>
        <v>-89.633822207790359</v>
      </c>
      <c r="BM71" s="136">
        <f t="shared" si="60"/>
        <v>-89.986364843208051</v>
      </c>
      <c r="BN71" s="136"/>
      <c r="BO71" s="189"/>
      <c r="BP71" s="189" t="str">
        <f t="shared" si="32"/>
        <v>0.00001+1.01901333747611E-09j</v>
      </c>
      <c r="BQ71" s="189" t="str">
        <f t="shared" si="33"/>
        <v>8.30710523480802E-14+5.09506655193973E-10j</v>
      </c>
      <c r="BR71" s="189" t="str">
        <f t="shared" si="34"/>
        <v>-0.000357144772354784-0.0000127422155972716j</v>
      </c>
      <c r="BS71" s="189" t="str">
        <f t="shared" si="35"/>
        <v>0.0000625000000830711+1.52851999267008E-09j</v>
      </c>
      <c r="BT71" s="189" t="str">
        <f t="shared" si="61"/>
        <v>-2.23215288251111E-08-7.96934378812807E-10j</v>
      </c>
      <c r="BU71" s="189" t="str">
        <f t="shared" si="62"/>
        <v>-8.30710523480802E-14-5.09506655193973E-10j</v>
      </c>
      <c r="BV71" s="189" t="str">
        <f t="shared" si="63"/>
        <v>-2.23216118961635E-08-1.30644103400678E-09j</v>
      </c>
      <c r="BW71" s="189" t="str">
        <f t="shared" si="36"/>
        <v>0.99999999999737-1.62181017664358E-06j</v>
      </c>
      <c r="BX71" s="189" t="str">
        <f t="shared" si="64"/>
        <v>-0.00001-1.01901333747611E-09j</v>
      </c>
      <c r="BY71" s="189" t="str">
        <f t="shared" si="65"/>
        <v>446.469552599818-26.0860797788275j</v>
      </c>
      <c r="BZ71" s="136">
        <f t="shared" si="66"/>
        <v>53.01063749797266</v>
      </c>
      <c r="CA71" s="136">
        <f t="shared" si="67"/>
        <v>176.65615498865429</v>
      </c>
      <c r="CB71" s="189" t="str">
        <f t="shared" si="37"/>
        <v>4137.29759266838-241.956219696545j</v>
      </c>
      <c r="CC71" s="136" t="str">
        <f t="shared" si="38"/>
        <v>1550.66620636313-91.347568186547j</v>
      </c>
      <c r="CD71" s="136">
        <f t="shared" si="68"/>
        <v>63.82541134422317</v>
      </c>
      <c r="CE71" s="136">
        <f t="shared" si="69"/>
        <v>176.62868224401905</v>
      </c>
      <c r="CF71" s="136"/>
      <c r="CG71" s="136">
        <f t="shared" si="70"/>
        <v>-62.82541134422317</v>
      </c>
      <c r="CH71" s="136">
        <f t="shared" si="71"/>
        <v>-176.62868224401905</v>
      </c>
      <c r="CI71" s="77"/>
      <c r="CJ71" s="189"/>
      <c r="CK71" s="189"/>
      <c r="CL71" s="189"/>
      <c r="CM71" s="77"/>
      <c r="CN71" s="189">
        <v>144.54397707459199</v>
      </c>
      <c r="CO71" s="189">
        <v>52.763680760379799</v>
      </c>
      <c r="CP71" s="189">
        <v>97.986989081778603</v>
      </c>
      <c r="CQ71" s="74"/>
      <c r="CR71" s="75"/>
      <c r="CS71" s="75"/>
      <c r="CT71" s="75"/>
      <c r="CU71" s="74"/>
      <c r="CV71" s="75"/>
      <c r="CW71" s="75"/>
      <c r="CX71" s="75"/>
      <c r="CY71" s="74"/>
      <c r="CZ71" s="75"/>
      <c r="DA71" s="75"/>
      <c r="DB71" s="75"/>
      <c r="DC71" s="74"/>
      <c r="DD71" s="75"/>
      <c r="DE71" s="75"/>
      <c r="DF71" s="75"/>
      <c r="DG71" s="74"/>
      <c r="DH71" s="75"/>
      <c r="DI71" s="75"/>
      <c r="DJ71" s="75"/>
      <c r="DK71" s="74"/>
      <c r="DL71" s="75"/>
      <c r="DM71" s="75"/>
      <c r="DN71" s="75"/>
      <c r="DO71" s="76"/>
    </row>
    <row r="72" spans="1:119" x14ac:dyDescent="0.25">
      <c r="A72" s="136">
        <v>23</v>
      </c>
      <c r="B72" s="136">
        <f t="shared" si="0"/>
        <v>4.8977881936844625</v>
      </c>
      <c r="C72" s="136" t="str">
        <f t="shared" si="7"/>
        <v>30.7737108162359j</v>
      </c>
      <c r="D72" s="136">
        <f t="shared" si="1"/>
        <v>0.99999999940029172</v>
      </c>
      <c r="E72" s="136" t="str">
        <f t="shared" si="2"/>
        <v>-0.0000384671385202949j</v>
      </c>
      <c r="F72" s="136" t="str">
        <f t="shared" si="8"/>
        <v>0.999999999400292-0.0000384671385202949j</v>
      </c>
      <c r="G72" s="136">
        <f t="shared" si="9"/>
        <v>1.2173477071422313E-9</v>
      </c>
      <c r="H72" s="136">
        <f t="shared" si="10"/>
        <v>-2.2040046873926683E-3</v>
      </c>
      <c r="I72" s="136"/>
      <c r="J72" s="136">
        <f t="shared" si="3"/>
        <v>7.0726915520628681</v>
      </c>
      <c r="K72" s="136" t="str">
        <f t="shared" si="4"/>
        <v>1+0.0022587698581045j</v>
      </c>
      <c r="L72" s="136">
        <f t="shared" si="5"/>
        <v>0.99999972141082505</v>
      </c>
      <c r="M72" s="136" t="str">
        <f t="shared" si="6"/>
        <v>0.00016530670103973j</v>
      </c>
      <c r="N72" s="136" t="str">
        <f t="shared" si="11"/>
        <v>0.999999721410825+0.00016530670103973j</v>
      </c>
      <c r="O72" s="136" t="str">
        <f t="shared" si="12"/>
        <v>1.00000007863911+0.000742788779432662j</v>
      </c>
      <c r="P72" s="136" t="str">
        <f t="shared" si="13"/>
        <v>7.07269210825304+0.00525351592526048j</v>
      </c>
      <c r="Q72" s="136"/>
      <c r="R72" s="136">
        <f t="shared" si="14"/>
        <v>11.787819253438114</v>
      </c>
      <c r="S72" s="136" t="str">
        <f t="shared" si="15"/>
        <v>1+7.20649025844172E-07j</v>
      </c>
      <c r="T72" s="136" t="str">
        <f t="shared" si="16"/>
        <v>0.999999964927701+0.0000586530308589279j</v>
      </c>
      <c r="U72" s="136" t="str">
        <f t="shared" si="39"/>
        <v>1.00000003167439-0.0000579323857227047j</v>
      </c>
      <c r="V72" s="136" t="str">
        <f t="shared" si="40"/>
        <v>11.7878196268101-0.000682896491819702j</v>
      </c>
      <c r="W72" s="136"/>
      <c r="X72" s="136" t="str">
        <f t="shared" si="17"/>
        <v>1.6680106411586+0.00121621337536346j</v>
      </c>
      <c r="Y72" s="136">
        <f t="shared" si="41"/>
        <v>4.443978647190491</v>
      </c>
      <c r="Z72" s="136">
        <f t="shared" si="42"/>
        <v>-179.9582233594156</v>
      </c>
      <c r="AA72" s="136"/>
      <c r="AB72" s="136" t="str">
        <f t="shared" si="18"/>
        <v>9.26672525575823-0.000536843484898725j</v>
      </c>
      <c r="AC72" s="136">
        <f t="shared" si="43"/>
        <v>19.338525755462012</v>
      </c>
      <c r="AD72" s="136">
        <f t="shared" si="44"/>
        <v>179.9966807189098</v>
      </c>
      <c r="AE72" s="136"/>
      <c r="AF72" s="136" t="str">
        <f t="shared" si="45"/>
        <v>3.47327066184178-0.00178450627094226j</v>
      </c>
      <c r="AG72" s="136">
        <f t="shared" si="46"/>
        <v>10.814773705027459</v>
      </c>
      <c r="AH72" s="136">
        <f t="shared" si="47"/>
        <v>179.97056242406723</v>
      </c>
      <c r="AI72" s="136"/>
      <c r="AJ72" s="136" t="str">
        <f t="shared" si="19"/>
        <v>99999.9988077709-10.918924503824j</v>
      </c>
      <c r="AK72" s="136" t="str">
        <f t="shared" si="20"/>
        <v>19047.6190476177-0.00514996898837273j</v>
      </c>
      <c r="AL72" s="136" t="str">
        <f t="shared" si="21"/>
        <v>10000-2035202455.10442j</v>
      </c>
      <c r="AM72" s="136" t="str">
        <f t="shared" si="22"/>
        <v>963.139120084065-631614555.03567j</v>
      </c>
      <c r="AN72" s="136" t="str">
        <f t="shared" si="48"/>
        <v>10963.1391200841-631614555.03567j</v>
      </c>
      <c r="AO72" s="136" t="str">
        <f t="shared" si="49"/>
        <v>19047.619020014-0.579569585602947j</v>
      </c>
      <c r="AP72" s="136" t="str">
        <f t="shared" si="50"/>
        <v>0.160000000259066+0.0000146386965223327j</v>
      </c>
      <c r="AQ72" s="136" t="str">
        <f t="shared" si="23"/>
        <v>1+0.000174702794144042j</v>
      </c>
      <c r="AR72" s="136" t="str">
        <f t="shared" si="24"/>
        <v>1+3.48708171944195E-07j</v>
      </c>
      <c r="AS72" s="136" t="str">
        <f t="shared" si="25"/>
        <v>5.4703812416353E-10j</v>
      </c>
      <c r="AT72" s="136" t="str">
        <f t="shared" si="51"/>
        <v>-1.90756664260846E-16+5.4703812416353E-10j</v>
      </c>
      <c r="AU72" s="179" t="str">
        <f t="shared" si="52"/>
        <v>318723.829785501-1828026157.39056j</v>
      </c>
      <c r="AV72" s="136" t="str">
        <f t="shared" si="26"/>
        <v>7999.9999993736-0.0707895721816227j</v>
      </c>
      <c r="AW72" s="136"/>
      <c r="AX72" s="136" t="str">
        <f t="shared" si="27"/>
        <v>0.49999999996085-4.42434826135142E-06j</v>
      </c>
      <c r="AY72" s="136"/>
      <c r="AZ72" s="136" t="str">
        <f t="shared" si="28"/>
        <v>4.89239940863834-18280.2613038225j</v>
      </c>
      <c r="BA72" s="136" t="str">
        <f t="shared" si="29"/>
        <v>2.36532146181102-9140.13067284126j</v>
      </c>
      <c r="BB72" s="136">
        <f t="shared" si="53"/>
        <v>79.219048385144561</v>
      </c>
      <c r="BC72" s="136">
        <f t="shared" si="54"/>
        <v>90.014827242495656</v>
      </c>
      <c r="BD72" s="136" t="str">
        <f t="shared" si="30"/>
        <v>17.0119645253133-84699.081016756j</v>
      </c>
      <c r="BE72" s="136">
        <f t="shared" si="55"/>
        <v>98.557574140606562</v>
      </c>
      <c r="BF72" s="136">
        <f t="shared" si="56"/>
        <v>90.011507961405471</v>
      </c>
      <c r="BG72" s="136"/>
      <c r="BH72" s="136" t="str">
        <f t="shared" si="31"/>
        <v>-8.09521886378398-31746.1519323107j</v>
      </c>
      <c r="BI72" s="136">
        <f t="shared" si="57"/>
        <v>90.033822090172023</v>
      </c>
      <c r="BJ72" s="136">
        <f t="shared" si="58"/>
        <v>89.985389666562895</v>
      </c>
      <c r="BK72" s="136"/>
      <c r="BL72" s="136">
        <f t="shared" si="59"/>
        <v>-89.033822090172023</v>
      </c>
      <c r="BM72" s="136">
        <f t="shared" si="60"/>
        <v>-89.985389666562895</v>
      </c>
      <c r="BN72" s="136"/>
      <c r="BO72" s="189"/>
      <c r="BP72" s="189" t="str">
        <f t="shared" si="32"/>
        <v>0.00001+1.09189246340026E-09j</v>
      </c>
      <c r="BQ72" s="189" t="str">
        <f t="shared" si="33"/>
        <v>9.53783292193749E-14+5.45946215037269E-10j</v>
      </c>
      <c r="BR72" s="189" t="str">
        <f t="shared" si="34"/>
        <v>-0.00035714505610036-0.0000136535299582779j</v>
      </c>
      <c r="BS72" s="189" t="str">
        <f t="shared" si="35"/>
        <v>0.0000625000000953783+1.63783867843753E-09j</v>
      </c>
      <c r="BT72" s="189" t="str">
        <f t="shared" si="61"/>
        <v>-2.23215436780569E-08-8.53930569681313E-10j</v>
      </c>
      <c r="BU72" s="189" t="str">
        <f t="shared" si="62"/>
        <v>-9.53783292193749E-14-5.45946215037269E-10j</v>
      </c>
      <c r="BV72" s="189" t="str">
        <f t="shared" si="63"/>
        <v>-2.23216390563861E-08-1.39987678471858E-09j</v>
      </c>
      <c r="BW72" s="189" t="str">
        <f t="shared" si="36"/>
        <v>0.99999999999698-1.73780091370374E-06j</v>
      </c>
      <c r="BX72" s="189" t="str">
        <f t="shared" si="64"/>
        <v>-0.00001-1.09189246340026E-09j</v>
      </c>
      <c r="BY72" s="189" t="str">
        <f t="shared" si="65"/>
        <v>446.243703827394-27.937540128001j</v>
      </c>
      <c r="BZ72" s="136">
        <f t="shared" si="66"/>
        <v>53.008430988509964</v>
      </c>
      <c r="CA72" s="136">
        <f t="shared" si="67"/>
        <v>176.41761507356929</v>
      </c>
      <c r="CB72" s="189" t="str">
        <f t="shared" si="37"/>
        <v>4135.202802394-259.129071712983j</v>
      </c>
      <c r="CC72" s="136" t="str">
        <f t="shared" si="38"/>
        <v>1549.87530981974-97.8309631784618j</v>
      </c>
      <c r="CD72" s="136">
        <f t="shared" si="68"/>
        <v>63.823204693537392</v>
      </c>
      <c r="CE72" s="136">
        <f t="shared" si="69"/>
        <v>176.38817749763652</v>
      </c>
      <c r="CF72" s="136"/>
      <c r="CG72" s="136">
        <f t="shared" si="70"/>
        <v>-62.823204693537392</v>
      </c>
      <c r="CH72" s="136">
        <f t="shared" si="71"/>
        <v>-176.38817749763652</v>
      </c>
      <c r="CI72" s="77"/>
      <c r="CJ72" s="189"/>
      <c r="CK72" s="189"/>
      <c r="CL72" s="189"/>
      <c r="CM72" s="77"/>
      <c r="CN72" s="189">
        <v>151.35612484361999</v>
      </c>
      <c r="CO72" s="189">
        <v>52.372673938479899</v>
      </c>
      <c r="CP72" s="189">
        <v>97.537911183620906</v>
      </c>
      <c r="CQ72" s="74"/>
      <c r="CR72" s="75"/>
      <c r="CS72" s="75"/>
      <c r="CT72" s="75"/>
      <c r="CU72" s="74"/>
      <c r="CV72" s="75"/>
      <c r="CW72" s="75"/>
      <c r="CX72" s="75"/>
      <c r="CY72" s="74"/>
      <c r="CZ72" s="75"/>
      <c r="DA72" s="75"/>
      <c r="DB72" s="75"/>
      <c r="DC72" s="74"/>
      <c r="DD72" s="75"/>
      <c r="DE72" s="75"/>
      <c r="DF72" s="75"/>
      <c r="DG72" s="74"/>
      <c r="DH72" s="75"/>
      <c r="DI72" s="75"/>
      <c r="DJ72" s="75"/>
      <c r="DK72" s="74"/>
      <c r="DL72" s="75"/>
      <c r="DM72" s="75"/>
      <c r="DN72" s="75"/>
      <c r="DO72" s="76"/>
    </row>
    <row r="73" spans="1:119" x14ac:dyDescent="0.25">
      <c r="A73" s="136">
        <v>24</v>
      </c>
      <c r="B73" s="136">
        <f t="shared" si="0"/>
        <v>5.2480746024977263</v>
      </c>
      <c r="C73" s="136" t="str">
        <f t="shared" si="7"/>
        <v>32.9746252333961j</v>
      </c>
      <c r="D73" s="136">
        <f t="shared" si="1"/>
        <v>0.99999999931144279</v>
      </c>
      <c r="E73" s="136" t="str">
        <f t="shared" si="2"/>
        <v>-0.0000412182815417451j</v>
      </c>
      <c r="F73" s="136" t="str">
        <f t="shared" si="8"/>
        <v>0.999999999311443-0.0000412182815417451j</v>
      </c>
      <c r="G73" s="136">
        <f t="shared" si="9"/>
        <v>1.3977020158746771E-9</v>
      </c>
      <c r="H73" s="136">
        <f t="shared" si="10"/>
        <v>-2.3616335714126678E-3</v>
      </c>
      <c r="I73" s="136"/>
      <c r="J73" s="136">
        <f t="shared" si="3"/>
        <v>7.0726915520628681</v>
      </c>
      <c r="K73" s="136" t="str">
        <f t="shared" si="4"/>
        <v>1+0.00242031550904778j</v>
      </c>
      <c r="L73" s="136">
        <f t="shared" si="5"/>
        <v>0.99999968013682994</v>
      </c>
      <c r="M73" s="136" t="str">
        <f t="shared" si="6"/>
        <v>0.000177129321449212j</v>
      </c>
      <c r="N73" s="136" t="str">
        <f t="shared" si="11"/>
        <v>0.99999968013683+0.000177129321449212j</v>
      </c>
      <c r="O73" s="136" t="str">
        <f t="shared" si="12"/>
        <v>1.00000009028979+0.000795912520279383j</v>
      </c>
      <c r="P73" s="136" t="str">
        <f t="shared" si="13"/>
        <v>7.0726921906547+0.00562924375836106j</v>
      </c>
      <c r="Q73" s="136"/>
      <c r="R73" s="136">
        <f t="shared" si="14"/>
        <v>11.787819253438114</v>
      </c>
      <c r="S73" s="136" t="str">
        <f t="shared" si="15"/>
        <v>1+7.72189343492701E-07j</v>
      </c>
      <c r="T73" s="136" t="str">
        <f t="shared" si="16"/>
        <v>0.999999959731613+0.000062847854876038j</v>
      </c>
      <c r="U73" s="136" t="str">
        <f t="shared" si="39"/>
        <v>1.00000003636707-0.0000620756703178245j</v>
      </c>
      <c r="V73" s="136" t="str">
        <f t="shared" si="40"/>
        <v>11.7878196821266-0.000731736781742528j</v>
      </c>
      <c r="W73" s="136"/>
      <c r="X73" s="136" t="str">
        <f t="shared" si="17"/>
        <v>1.66801066307873+0.001303196116368j</v>
      </c>
      <c r="Y73" s="136">
        <f t="shared" si="41"/>
        <v>4.4439791034084655</v>
      </c>
      <c r="Z73" s="136">
        <f t="shared" si="42"/>
        <v>-179.95523552468467</v>
      </c>
      <c r="AA73" s="136"/>
      <c r="AB73" s="136" t="str">
        <f t="shared" si="18"/>
        <v>9.26672529924403-0.000575238163681987j</v>
      </c>
      <c r="AC73" s="136">
        <f t="shared" si="43"/>
        <v>19.338525798381568</v>
      </c>
      <c r="AD73" s="136">
        <f t="shared" si="44"/>
        <v>179.99644332621426</v>
      </c>
      <c r="AE73" s="136"/>
      <c r="AF73" s="136" t="str">
        <f t="shared" si="45"/>
        <v>3.47327052908652-0.00191213284822334j</v>
      </c>
      <c r="AG73" s="136">
        <f t="shared" si="46"/>
        <v>10.814773542881627</v>
      </c>
      <c r="AH73" s="136">
        <f t="shared" si="47"/>
        <v>179.96845706947218</v>
      </c>
      <c r="AI73" s="136"/>
      <c r="AJ73" s="136" t="str">
        <f t="shared" si="19"/>
        <v>99999.9986311378-11.6998383776135j</v>
      </c>
      <c r="AK73" s="136" t="str">
        <f t="shared" si="20"/>
        <v>19047.6190476174-0.00551829119241628j</v>
      </c>
      <c r="AL73" s="136" t="str">
        <f t="shared" si="21"/>
        <v>10000-1899361444.2188j</v>
      </c>
      <c r="AM73" s="136" t="str">
        <f t="shared" si="22"/>
        <v>963.13912008243-589456999.93347j</v>
      </c>
      <c r="AN73" s="136" t="str">
        <f t="shared" si="48"/>
        <v>10963.1391200824-589456999.93347j</v>
      </c>
      <c r="AO73" s="136" t="str">
        <f t="shared" si="49"/>
        <v>19047.6190159241-0.621019999492663j</v>
      </c>
      <c r="AP73" s="136" t="str">
        <f t="shared" si="50"/>
        <v>0.160000000297448+0.0000156856459264662j</v>
      </c>
      <c r="AQ73" s="136" t="str">
        <f t="shared" si="23"/>
        <v>1+0.000187197416604291j</v>
      </c>
      <c r="AR73" s="136" t="str">
        <f t="shared" si="24"/>
        <v>1+3.73647538132318E-07j</v>
      </c>
      <c r="AS73" s="136" t="str">
        <f t="shared" si="25"/>
        <v>5.86161910742187E-10j</v>
      </c>
      <c r="AT73" s="136" t="str">
        <f t="shared" si="51"/>
        <v>-2.19017954895754E-16+5.86161910742187E-10j</v>
      </c>
      <c r="AU73" s="179" t="str">
        <f t="shared" si="52"/>
        <v>318723.829785494-1706013273.36951j</v>
      </c>
      <c r="AV73" s="136" t="str">
        <f t="shared" si="26"/>
        <v>7999.9999992808-0.0758523932012398j</v>
      </c>
      <c r="AW73" s="136"/>
      <c r="AX73" s="136" t="str">
        <f t="shared" si="27"/>
        <v>0.49999999995505-4.74077457507749E-06j</v>
      </c>
      <c r="AY73" s="136"/>
      <c r="AZ73" s="136" t="str">
        <f t="shared" si="28"/>
        <v>4.89239940929378-17060.132444296j</v>
      </c>
      <c r="BA73" s="136" t="str">
        <f t="shared" si="29"/>
        <v>2.3653214622876-8530.06624457491j</v>
      </c>
      <c r="BB73" s="136">
        <f t="shared" si="53"/>
        <v>78.619048412246613</v>
      </c>
      <c r="BC73" s="136">
        <f t="shared" si="54"/>
        <v>90.01588767655744</v>
      </c>
      <c r="BD73" s="136" t="str">
        <f t="shared" si="30"/>
        <v>17.0119645928104-79045.782033453j</v>
      </c>
      <c r="BE73" s="136">
        <f t="shared" si="55"/>
        <v>97.957574210628181</v>
      </c>
      <c r="BF73" s="136">
        <f t="shared" si="56"/>
        <v>90.012331002771688</v>
      </c>
      <c r="BG73" s="136"/>
      <c r="BH73" s="136" t="str">
        <f t="shared" si="31"/>
        <v>-8.09521853699342-29627.2322212466j</v>
      </c>
      <c r="BI73" s="136">
        <f t="shared" si="57"/>
        <v>89.433821955128238</v>
      </c>
      <c r="BJ73" s="136">
        <f t="shared" si="58"/>
        <v>89.98434474602962</v>
      </c>
      <c r="BK73" s="136"/>
      <c r="BL73" s="136">
        <f t="shared" si="59"/>
        <v>-88.433821955128238</v>
      </c>
      <c r="BM73" s="136">
        <f t="shared" si="60"/>
        <v>-89.98434474602962</v>
      </c>
      <c r="BN73" s="136"/>
      <c r="BO73" s="189"/>
      <c r="BP73" s="189" t="str">
        <f t="shared" si="32"/>
        <v>0.00001+1.16998385377682E-09j</v>
      </c>
      <c r="BQ73" s="189" t="str">
        <f t="shared" si="33"/>
        <v>1.09508973610368E-13+5.84991906388613E-10j</v>
      </c>
      <c r="BR73" s="189" t="str">
        <f t="shared" si="34"/>
        <v>-0.000357145381883868-0.0000146300208787135j</v>
      </c>
      <c r="BS73" s="189" t="str">
        <f t="shared" si="35"/>
        <v>0.000062500000109509+1.75497576016543E-09j</v>
      </c>
      <c r="BT73" s="189" t="str">
        <f t="shared" si="61"/>
        <v>-2.23215607315204E-08-9.15003088009774E-10j</v>
      </c>
      <c r="BU73" s="189" t="str">
        <f t="shared" si="62"/>
        <v>-1.09508973610368E-13-5.84991906388613E-10j</v>
      </c>
      <c r="BV73" s="189" t="str">
        <f t="shared" si="63"/>
        <v>-2.2321670240494E-08-1.49999499439839E-09j</v>
      </c>
      <c r="BW73" s="189" t="str">
        <f t="shared" si="36"/>
        <v>0.999999999996533-1.86208722769226E-06j</v>
      </c>
      <c r="BX73" s="189" t="str">
        <f t="shared" si="64"/>
        <v>-0.00001-1.16998385377682E-09j</v>
      </c>
      <c r="BY73" s="189" t="str">
        <f t="shared" si="65"/>
        <v>445.984677519142-29.9181653380083j</v>
      </c>
      <c r="BZ73" s="136">
        <f t="shared" si="66"/>
        <v>53.005898958426584</v>
      </c>
      <c r="CA73" s="136">
        <f t="shared" si="67"/>
        <v>176.1621548205205</v>
      </c>
      <c r="CB73" s="189" t="str">
        <f t="shared" si="37"/>
        <v>4132.80028417133-277.499967051614j</v>
      </c>
      <c r="CC73" s="136" t="str">
        <f t="shared" si="38"/>
        <v>1548.96822934469-104.766663904531j</v>
      </c>
      <c r="CD73" s="136">
        <f t="shared" si="68"/>
        <v>63.820672501308209</v>
      </c>
      <c r="CE73" s="136">
        <f t="shared" si="69"/>
        <v>176.13061188999268</v>
      </c>
      <c r="CF73" s="136"/>
      <c r="CG73" s="136">
        <f t="shared" si="70"/>
        <v>-62.820672501308209</v>
      </c>
      <c r="CH73" s="136">
        <f t="shared" si="71"/>
        <v>-176.13061188999268</v>
      </c>
      <c r="CI73" s="77"/>
      <c r="CJ73" s="189"/>
      <c r="CK73" s="189"/>
      <c r="CL73" s="189"/>
      <c r="CM73" s="77"/>
      <c r="CN73" s="189">
        <v>158.48931924611099</v>
      </c>
      <c r="CO73" s="189">
        <v>51.9808150013438</v>
      </c>
      <c r="CP73" s="189">
        <v>97.103749089193698</v>
      </c>
      <c r="CQ73" s="74"/>
      <c r="CR73" s="75"/>
      <c r="CS73" s="75"/>
      <c r="CT73" s="75"/>
      <c r="CU73" s="74"/>
      <c r="CV73" s="75"/>
      <c r="CW73" s="75"/>
      <c r="CX73" s="75"/>
      <c r="CY73" s="74"/>
      <c r="CZ73" s="75"/>
      <c r="DA73" s="75"/>
      <c r="DB73" s="75"/>
      <c r="DC73" s="74"/>
      <c r="DD73" s="75"/>
      <c r="DE73" s="75"/>
      <c r="DF73" s="75"/>
      <c r="DG73" s="74"/>
      <c r="DH73" s="75"/>
      <c r="DI73" s="75"/>
      <c r="DJ73" s="75"/>
      <c r="DK73" s="74"/>
      <c r="DL73" s="75"/>
      <c r="DM73" s="75"/>
      <c r="DN73" s="75"/>
      <c r="DO73" s="76"/>
    </row>
    <row r="74" spans="1:119" x14ac:dyDescent="0.25">
      <c r="A74" s="136">
        <v>25</v>
      </c>
      <c r="B74" s="136">
        <f t="shared" si="0"/>
        <v>5.6234132519034921</v>
      </c>
      <c r="C74" s="136" t="str">
        <f t="shared" si="7"/>
        <v>35.332947520559j</v>
      </c>
      <c r="D74" s="136">
        <f t="shared" si="1"/>
        <v>0.99999999920943061</v>
      </c>
      <c r="E74" s="136" t="str">
        <f t="shared" si="2"/>
        <v>-0.0000441661844006988j</v>
      </c>
      <c r="F74" s="136" t="str">
        <f t="shared" si="8"/>
        <v>0.999999999209431-0.0000441661844006988j</v>
      </c>
      <c r="G74" s="136">
        <f t="shared" si="9"/>
        <v>1.6047759100417407E-9</v>
      </c>
      <c r="H74" s="136">
        <f t="shared" si="10"/>
        <v>-2.5305359637117397E-3</v>
      </c>
      <c r="I74" s="136"/>
      <c r="J74" s="136">
        <f t="shared" si="3"/>
        <v>7.0726915520628681</v>
      </c>
      <c r="K74" s="136" t="str">
        <f t="shared" si="4"/>
        <v>1+0.00259341479271068j</v>
      </c>
      <c r="L74" s="136">
        <f t="shared" si="5"/>
        <v>0.9999996327479429</v>
      </c>
      <c r="M74" s="136" t="str">
        <f t="shared" si="6"/>
        <v>0.000189797487456468j</v>
      </c>
      <c r="N74" s="136" t="str">
        <f t="shared" si="11"/>
        <v>0.999999632747943+0.000189797487456468j</v>
      </c>
      <c r="O74" s="136" t="str">
        <f t="shared" si="12"/>
        <v>1.00000010366655+0.000852835634946793j</v>
      </c>
      <c r="P74" s="136" t="str">
        <f t="shared" si="13"/>
        <v>7.0726922852644+0.00603184339058636j</v>
      </c>
      <c r="Q74" s="136"/>
      <c r="R74" s="136">
        <f t="shared" si="14"/>
        <v>11.787819253438114</v>
      </c>
      <c r="S74" s="136" t="str">
        <f t="shared" si="15"/>
        <v>1+8.27415788851186E-07j</v>
      </c>
      <c r="T74" s="136" t="str">
        <f t="shared" si="16"/>
        <v>0.999999953765705+0.0000673426897924464j</v>
      </c>
      <c r="U74" s="136" t="str">
        <f t="shared" si="39"/>
        <v>1.00000004175498-0.0000665152798907749j</v>
      </c>
      <c r="V74" s="136" t="str">
        <f t="shared" si="40"/>
        <v>11.7878197456383-0.000784070096944301j</v>
      </c>
      <c r="W74" s="136"/>
      <c r="X74" s="136" t="str">
        <f t="shared" si="17"/>
        <v>1.6680106882464+0.00139639980381522j</v>
      </c>
      <c r="Y74" s="136">
        <f t="shared" si="41"/>
        <v>4.4439796272167023</v>
      </c>
      <c r="Z74" s="136">
        <f t="shared" si="42"/>
        <v>-179.95203400245319</v>
      </c>
      <c r="AA74" s="136"/>
      <c r="AB74" s="136" t="str">
        <f t="shared" si="18"/>
        <v>9.2667253491723-0.000616378804534248j</v>
      </c>
      <c r="AC74" s="136">
        <f t="shared" si="43"/>
        <v>19.338525847659707</v>
      </c>
      <c r="AD74" s="136">
        <f t="shared" si="44"/>
        <v>179.99618895535389</v>
      </c>
      <c r="AE74" s="136"/>
      <c r="AF74" s="136" t="str">
        <f t="shared" si="45"/>
        <v>3.47327037666306-0.00204888717319821j</v>
      </c>
      <c r="AG74" s="136">
        <f t="shared" si="46"/>
        <v>10.814773356713207</v>
      </c>
      <c r="AH74" s="136">
        <f t="shared" si="47"/>
        <v>179.96620114146754</v>
      </c>
      <c r="AI74" s="136"/>
      <c r="AJ74" s="136" t="str">
        <f t="shared" si="19"/>
        <v>99999.9984283359-12.5366026643483j</v>
      </c>
      <c r="AK74" s="136" t="str">
        <f t="shared" si="20"/>
        <v>19047.6190476172-0.00591295554459665j</v>
      </c>
      <c r="AL74" s="136" t="str">
        <f t="shared" si="21"/>
        <v>10000-1772587236.58518j</v>
      </c>
      <c r="AM74" s="136" t="str">
        <f t="shared" si="22"/>
        <v>963.139120080544-550113280.323285j</v>
      </c>
      <c r="AN74" s="136" t="str">
        <f t="shared" si="48"/>
        <v>10963.1391200805-550113280.323285j</v>
      </c>
      <c r="AO74" s="136" t="str">
        <f t="shared" si="49"/>
        <v>19047.6190112283-0.66543491813736j</v>
      </c>
      <c r="AP74" s="136" t="str">
        <f t="shared" si="50"/>
        <v>0.160000000341517+0.0000168074724244348j</v>
      </c>
      <c r="AQ74" s="136" t="str">
        <f t="shared" si="23"/>
        <v>1+0.000200585645782106j</v>
      </c>
      <c r="AR74" s="136" t="str">
        <f t="shared" si="24"/>
        <v>1+4.00370550463285E-07j</v>
      </c>
      <c r="AS74" s="136" t="str">
        <f t="shared" si="25"/>
        <v>6.28083803355218E-10j</v>
      </c>
      <c r="AT74" s="136" t="str">
        <f t="shared" si="51"/>
        <v>-2.51466258086402E-16+6.28083803355218E-10j</v>
      </c>
      <c r="AU74" s="179" t="str">
        <f t="shared" si="52"/>
        <v>318723.829785488-1592144224.60531j</v>
      </c>
      <c r="AV74" s="136" t="str">
        <f t="shared" si="26"/>
        <v>7999.99999917425-0.0812773036625201j</v>
      </c>
      <c r="AW74" s="136"/>
      <c r="AX74" s="136" t="str">
        <f t="shared" si="27"/>
        <v>0.499999999948391-5.07983147890751E-06j</v>
      </c>
      <c r="AY74" s="136"/>
      <c r="AZ74" s="136" t="str">
        <f t="shared" si="28"/>
        <v>4.89239941004637-15921.4419359563j</v>
      </c>
      <c r="BA74" s="136" t="str">
        <f t="shared" si="29"/>
        <v>2.36532146283482-7960.72099200903j</v>
      </c>
      <c r="BB74" s="136">
        <f t="shared" si="53"/>
        <v>78.019048443363786</v>
      </c>
      <c r="BC74" s="136">
        <f t="shared" si="54"/>
        <v>90.017023952121932</v>
      </c>
      <c r="BD74" s="136" t="str">
        <f t="shared" si="30"/>
        <v>17.0119646703075-73769.8164722722j</v>
      </c>
      <c r="BE74" s="136">
        <f t="shared" si="55"/>
        <v>97.357574291023496</v>
      </c>
      <c r="BF74" s="136">
        <f t="shared" si="56"/>
        <v>90.013212907475818</v>
      </c>
      <c r="BG74" s="136"/>
      <c r="BH74" s="136" t="str">
        <f t="shared" si="31"/>
        <v>-8.09521816178748-27649.7412447016j</v>
      </c>
      <c r="BI74" s="136">
        <f t="shared" si="57"/>
        <v>88.833821800077004</v>
      </c>
      <c r="BJ74" s="136">
        <f t="shared" si="58"/>
        <v>89.983225093589468</v>
      </c>
      <c r="BK74" s="136"/>
      <c r="BL74" s="136">
        <f t="shared" si="59"/>
        <v>-87.833821800077004</v>
      </c>
      <c r="BM74" s="136">
        <f t="shared" si="60"/>
        <v>-89.983225093589468</v>
      </c>
      <c r="BN74" s="136"/>
      <c r="BO74" s="189"/>
      <c r="BP74" s="189" t="str">
        <f t="shared" si="32"/>
        <v>0.00001+1.25366028613816E-09j</v>
      </c>
      <c r="BQ74" s="189" t="str">
        <f t="shared" si="33"/>
        <v>1.25733123984379E-13+6.2683011784882E-10j</v>
      </c>
      <c r="BR74" s="189" t="str">
        <f t="shared" si="34"/>
        <v>-0.00035714575593338-0.0000156763497384034j</v>
      </c>
      <c r="BS74" s="189" t="str">
        <f t="shared" si="35"/>
        <v>0.0000625000001257331+1.88049040398698E-09j</v>
      </c>
      <c r="BT74" s="189" t="str">
        <f t="shared" si="61"/>
        <v>-2.2321580311516E-08-9.80443469788106E-10j</v>
      </c>
      <c r="BU74" s="189" t="str">
        <f t="shared" si="62"/>
        <v>-1.25733123984379E-13-6.2683011784882E-10j</v>
      </c>
      <c r="BV74" s="189" t="str">
        <f t="shared" si="63"/>
        <v>-2.232170604464E-08-1.60727358763693E-09j</v>
      </c>
      <c r="BW74" s="189" t="str">
        <f t="shared" si="36"/>
        <v>0.999999999996019-1.99526241250762E-06j</v>
      </c>
      <c r="BX74" s="189" t="str">
        <f t="shared" si="64"/>
        <v>-0.00001-1.25366028613816E-09j</v>
      </c>
      <c r="BY74" s="189" t="str">
        <f t="shared" si="65"/>
        <v>445.68764764336-32.0364525588274j</v>
      </c>
      <c r="BZ74" s="136">
        <f t="shared" si="66"/>
        <v>53.002993618278012</v>
      </c>
      <c r="CA74" s="136">
        <f t="shared" si="67"/>
        <v>175.88859610498241</v>
      </c>
      <c r="CB74" s="189" t="str">
        <f t="shared" si="37"/>
        <v>4130.04527563937-297.147719443892j</v>
      </c>
      <c r="CC74" s="136" t="str">
        <f t="shared" si="38"/>
        <v>1547.92806472761-112.184425350456j</v>
      </c>
      <c r="CD74" s="136">
        <f t="shared" si="68"/>
        <v>63.817766974991258</v>
      </c>
      <c r="CE74" s="136">
        <f t="shared" si="69"/>
        <v>175.85479724644995</v>
      </c>
      <c r="CF74" s="136"/>
      <c r="CG74" s="136">
        <f t="shared" si="70"/>
        <v>-62.817766974991258</v>
      </c>
      <c r="CH74" s="136">
        <f t="shared" si="71"/>
        <v>-175.85479724644995</v>
      </c>
      <c r="CI74" s="77"/>
      <c r="CJ74" s="189"/>
      <c r="CK74" s="189"/>
      <c r="CL74" s="189"/>
      <c r="CM74" s="77"/>
      <c r="CN74" s="189">
        <v>165.95869074375599</v>
      </c>
      <c r="CO74" s="189">
        <v>51.588168416730099</v>
      </c>
      <c r="CP74" s="189">
        <v>96.683720973238394</v>
      </c>
      <c r="CQ74" s="74"/>
      <c r="CR74" s="75"/>
      <c r="CS74" s="75"/>
      <c r="CT74" s="75"/>
      <c r="CU74" s="74"/>
      <c r="CV74" s="75"/>
      <c r="CW74" s="75"/>
      <c r="CX74" s="75"/>
      <c r="CY74" s="74"/>
      <c r="CZ74" s="75"/>
      <c r="DA74" s="75"/>
      <c r="DB74" s="75"/>
      <c r="DC74" s="74"/>
      <c r="DD74" s="75"/>
      <c r="DE74" s="75"/>
      <c r="DF74" s="75"/>
      <c r="DG74" s="74"/>
      <c r="DH74" s="75"/>
      <c r="DI74" s="75"/>
      <c r="DJ74" s="75"/>
      <c r="DK74" s="74"/>
      <c r="DL74" s="75"/>
      <c r="DM74" s="75"/>
      <c r="DN74" s="75"/>
      <c r="DO74" s="76"/>
    </row>
    <row r="75" spans="1:119" x14ac:dyDescent="0.25">
      <c r="A75" s="136">
        <v>26</v>
      </c>
      <c r="B75" s="136">
        <f t="shared" si="0"/>
        <v>6.0255958607435796</v>
      </c>
      <c r="C75" s="136" t="str">
        <f t="shared" si="7"/>
        <v>37.8599353792262j</v>
      </c>
      <c r="D75" s="136">
        <f t="shared" si="1"/>
        <v>0.99999999909230486</v>
      </c>
      <c r="E75" s="136" t="str">
        <f t="shared" si="2"/>
        <v>-0.0000473249192240328j</v>
      </c>
      <c r="F75" s="136" t="str">
        <f t="shared" si="8"/>
        <v>0.999999999092305-0.0000473249192240328j</v>
      </c>
      <c r="G75" s="136">
        <f t="shared" si="9"/>
        <v>1.8425289182183398E-9</v>
      </c>
      <c r="H75" s="136">
        <f t="shared" si="10"/>
        <v>-2.7115181377715633E-3</v>
      </c>
      <c r="I75" s="136"/>
      <c r="J75" s="136">
        <f t="shared" si="3"/>
        <v>7.0726915520628681</v>
      </c>
      <c r="K75" s="136" t="str">
        <f t="shared" si="4"/>
        <v>1+0.00277889401687828j</v>
      </c>
      <c r="L75" s="136">
        <f t="shared" si="5"/>
        <v>0.99999957833822062</v>
      </c>
      <c r="M75" s="136" t="str">
        <f t="shared" si="6"/>
        <v>0.000203371671895198j</v>
      </c>
      <c r="N75" s="136" t="str">
        <f t="shared" si="11"/>
        <v>0.999999578338221+0.000203371671895198j</v>
      </c>
      <c r="O75" s="136" t="str">
        <f t="shared" si="12"/>
        <v>1.00000011902512+0.000913829852191333j</v>
      </c>
      <c r="P75" s="136" t="str">
        <f t="shared" si="13"/>
        <v>7.07269239389083+0.0064632366756165j</v>
      </c>
      <c r="Q75" s="136"/>
      <c r="R75" s="136">
        <f t="shared" si="14"/>
        <v>11.787819253438114</v>
      </c>
      <c r="S75" s="136" t="str">
        <f t="shared" si="15"/>
        <v>1+8.86591991212448E-07j</v>
      </c>
      <c r="T75" s="136" t="str">
        <f t="shared" si="16"/>
        <v>0.999999946915927+0.0000721589921792338j</v>
      </c>
      <c r="U75" s="136" t="str">
        <f t="shared" si="39"/>
        <v>1.00000004794113-0.0000712724074308347j</v>
      </c>
      <c r="V75" s="136" t="str">
        <f t="shared" si="40"/>
        <v>11.7878198185595-0.000840146256552079j</v>
      </c>
      <c r="W75" s="136"/>
      <c r="X75" s="136" t="str">
        <f t="shared" si="17"/>
        <v>1.66801071714274+0.00149626935575774j</v>
      </c>
      <c r="Y75" s="136">
        <f t="shared" si="41"/>
        <v>4.4439802286288996</v>
      </c>
      <c r="Z75" s="136">
        <f t="shared" si="42"/>
        <v>-179.94860351002328</v>
      </c>
      <c r="AA75" s="136"/>
      <c r="AB75" s="136" t="str">
        <f t="shared" si="18"/>
        <v>9.26672540649764-0.000660461797058282j</v>
      </c>
      <c r="AC75" s="136">
        <f t="shared" si="43"/>
        <v>19.338525904238598</v>
      </c>
      <c r="AD75" s="136">
        <f t="shared" si="44"/>
        <v>179.99591639206116</v>
      </c>
      <c r="AE75" s="136"/>
      <c r="AF75" s="136" t="str">
        <f t="shared" si="45"/>
        <v>3.47327020165756-0.00219542205225393j</v>
      </c>
      <c r="AG75" s="136">
        <f t="shared" si="46"/>
        <v>10.81477314296335</v>
      </c>
      <c r="AH75" s="136">
        <f t="shared" si="47"/>
        <v>179.96378387116798</v>
      </c>
      <c r="AI75" s="136"/>
      <c r="AJ75" s="136" t="str">
        <f t="shared" si="19"/>
        <v>99999.9981954882-13.4332117456635j</v>
      </c>
      <c r="AK75" s="136" t="str">
        <f t="shared" si="20"/>
        <v>19047.6190476169-0.00633584601704696j</v>
      </c>
      <c r="AL75" s="136" t="str">
        <f t="shared" si="21"/>
        <v>10000-1654274662.08097j</v>
      </c>
      <c r="AM75" s="136" t="str">
        <f t="shared" si="22"/>
        <v>963.139120078384-513395584.787765j</v>
      </c>
      <c r="AN75" s="136" t="str">
        <f t="shared" si="48"/>
        <v>10963.1391200784-513395584.787765j</v>
      </c>
      <c r="AO75" s="136" t="str">
        <f t="shared" si="49"/>
        <v>19047.6190058369-0.713026360846376j</v>
      </c>
      <c r="AP75" s="136" t="str">
        <f t="shared" si="50"/>
        <v>0.160000000392113+0.0000180095311739289j</v>
      </c>
      <c r="AQ75" s="136" t="str">
        <f t="shared" si="23"/>
        <v>1+0.000214931391809078j</v>
      </c>
      <c r="AR75" s="136" t="str">
        <f t="shared" si="24"/>
        <v>1+4.29004774070017E-07j</v>
      </c>
      <c r="AS75" s="136" t="str">
        <f t="shared" si="25"/>
        <v>6.73003920602177E-10j</v>
      </c>
      <c r="AT75" s="136" t="str">
        <f t="shared" si="51"/>
        <v>-2.88721894906173E-16+6.73003920602177E-10j</v>
      </c>
      <c r="AU75" s="179" t="str">
        <f t="shared" si="52"/>
        <v>318723.829785479-1485875445.11964j</v>
      </c>
      <c r="AV75" s="136" t="str">
        <f t="shared" si="26"/>
        <v>7999.99999905191-0.0870901999507176j</v>
      </c>
      <c r="AW75" s="136"/>
      <c r="AX75" s="136" t="str">
        <f t="shared" si="27"/>
        <v>0.499999999940744-5.44313749691985E-06j</v>
      </c>
      <c r="AY75" s="136"/>
      <c r="AZ75" s="136" t="str">
        <f t="shared" si="28"/>
        <v>4.89239941091042-14858.7541189217j</v>
      </c>
      <c r="BA75" s="136" t="str">
        <f t="shared" si="29"/>
        <v>2.36532146346309-7429.37708521038j</v>
      </c>
      <c r="BB75" s="136">
        <f t="shared" si="53"/>
        <v>77.419048479091103</v>
      </c>
      <c r="BC75" s="136">
        <f t="shared" si="54"/>
        <v>90.018241493319664</v>
      </c>
      <c r="BD75" s="136" t="str">
        <f t="shared" si="30"/>
        <v>17.0119647592859-68845.9989521749j</v>
      </c>
      <c r="BE75" s="136">
        <f t="shared" si="55"/>
        <v>96.757574383329683</v>
      </c>
      <c r="BF75" s="136">
        <f t="shared" si="56"/>
        <v>90.014157885380826</v>
      </c>
      <c r="BG75" s="136"/>
      <c r="BH75" s="136" t="str">
        <f t="shared" si="31"/>
        <v>-8.09521773099351-25804.2392398176j</v>
      </c>
      <c r="BI75" s="136">
        <f t="shared" si="57"/>
        <v>88.233821622054464</v>
      </c>
      <c r="BJ75" s="136">
        <f t="shared" si="58"/>
        <v>89.982025364487654</v>
      </c>
      <c r="BK75" s="136"/>
      <c r="BL75" s="136">
        <f t="shared" si="59"/>
        <v>-87.233821622054464</v>
      </c>
      <c r="BM75" s="136">
        <f t="shared" si="60"/>
        <v>-89.982025364487654</v>
      </c>
      <c r="BN75" s="136"/>
      <c r="BO75" s="189"/>
      <c r="BP75" s="189" t="str">
        <f t="shared" si="32"/>
        <v>0.00001+1.34332119880674E-09j</v>
      </c>
      <c r="BQ75" s="189" t="str">
        <f t="shared" si="33"/>
        <v>1.4436094078426E-13+6.71660568375672E-10j</v>
      </c>
      <c r="BR75" s="189" t="str">
        <f t="shared" si="34"/>
        <v>-0.000357146185399677-0.0000167975112952614j</v>
      </c>
      <c r="BS75" s="189" t="str">
        <f t="shared" si="35"/>
        <v>0.000062500000144361+2.01498176718241E-09j</v>
      </c>
      <c r="BT75" s="189" t="str">
        <f t="shared" si="61"/>
        <v>-2.23216027923588E-08-1.05056410143054E-09j</v>
      </c>
      <c r="BU75" s="189" t="str">
        <f t="shared" si="62"/>
        <v>-1.4436094078426E-13-6.71660568375672E-10j</v>
      </c>
      <c r="BV75" s="189" t="str">
        <f t="shared" si="63"/>
        <v>-2.23217471532996E-08-1.72222466980621E-09j</v>
      </c>
      <c r="BW75" s="189" t="str">
        <f t="shared" si="36"/>
        <v>0.999999999995429-2.13796219401562E-06j</v>
      </c>
      <c r="BX75" s="189" t="str">
        <f t="shared" si="64"/>
        <v>-0.00001-1.34332119880674E-09j</v>
      </c>
      <c r="BY75" s="189" t="str">
        <f t="shared" si="65"/>
        <v>445.34710127329-34.3013392994868j</v>
      </c>
      <c r="BZ75" s="136">
        <f t="shared" si="66"/>
        <v>52.99966023662315</v>
      </c>
      <c r="CA75" s="136">
        <f t="shared" si="67"/>
        <v>175.59568383118548</v>
      </c>
      <c r="CB75" s="189" t="str">
        <f t="shared" si="37"/>
        <v>4126.88664335508-318.155227110272j</v>
      </c>
      <c r="CC75" s="136" t="str">
        <f t="shared" si="38"/>
        <v>1546.73551033037-120.115544512896j</v>
      </c>
      <c r="CD75" s="136">
        <f t="shared" si="68"/>
        <v>63.814433379586504</v>
      </c>
      <c r="CE75" s="136">
        <f t="shared" si="69"/>
        <v>175.55946770235346</v>
      </c>
      <c r="CF75" s="136"/>
      <c r="CG75" s="136">
        <f t="shared" si="70"/>
        <v>-62.814433379586504</v>
      </c>
      <c r="CH75" s="136">
        <f t="shared" si="71"/>
        <v>-175.55946770235346</v>
      </c>
      <c r="CI75" s="77"/>
      <c r="CJ75" s="189"/>
      <c r="CK75" s="189"/>
      <c r="CL75" s="189"/>
      <c r="CM75" s="77"/>
      <c r="CN75" s="189">
        <v>173.78008287493699</v>
      </c>
      <c r="CO75" s="189">
        <v>51.194792729436301</v>
      </c>
      <c r="CP75" s="189">
        <v>96.277058643716799</v>
      </c>
      <c r="CQ75" s="74"/>
      <c r="CR75" s="75"/>
      <c r="CS75" s="75"/>
      <c r="CT75" s="75"/>
      <c r="CU75" s="74"/>
      <c r="CV75" s="75"/>
      <c r="CW75" s="75"/>
      <c r="CX75" s="75"/>
      <c r="CY75" s="74"/>
      <c r="CZ75" s="75"/>
      <c r="DA75" s="75"/>
      <c r="DB75" s="75"/>
      <c r="DC75" s="74"/>
      <c r="DD75" s="75"/>
      <c r="DE75" s="75"/>
      <c r="DF75" s="75"/>
      <c r="DG75" s="74"/>
      <c r="DH75" s="75"/>
      <c r="DI75" s="75"/>
      <c r="DJ75" s="75"/>
      <c r="DK75" s="74"/>
      <c r="DL75" s="75"/>
      <c r="DM75" s="75"/>
      <c r="DN75" s="75"/>
      <c r="DO75" s="76"/>
    </row>
    <row r="76" spans="1:119" x14ac:dyDescent="0.25">
      <c r="A76" s="136">
        <v>27</v>
      </c>
      <c r="B76" s="136">
        <f t="shared" si="0"/>
        <v>6.4565422903465555</v>
      </c>
      <c r="C76" s="136" t="str">
        <f t="shared" si="7"/>
        <v>40.5676516538891j</v>
      </c>
      <c r="D76" s="136">
        <f t="shared" si="1"/>
        <v>0.99999999895782654</v>
      </c>
      <c r="E76" s="136" t="str">
        <f t="shared" si="2"/>
        <v>-0.0000507095645673614j</v>
      </c>
      <c r="F76" s="136" t="str">
        <f t="shared" si="8"/>
        <v>0.999999998957827-0.0000507095645673614j</v>
      </c>
      <c r="G76" s="136">
        <f t="shared" si="9"/>
        <v>2.1155088087331147E-9</v>
      </c>
      <c r="H76" s="136">
        <f t="shared" si="10"/>
        <v>-2.9054440311935153E-3</v>
      </c>
      <c r="I76" s="136"/>
      <c r="J76" s="136">
        <f t="shared" si="3"/>
        <v>7.0726915520628681</v>
      </c>
      <c r="K76" s="136" t="str">
        <f t="shared" si="4"/>
        <v>1+0.00297763858629436j</v>
      </c>
      <c r="L76" s="136">
        <f t="shared" si="5"/>
        <v>0.99999951586750091</v>
      </c>
      <c r="M76" s="136" t="str">
        <f t="shared" si="6"/>
        <v>0.000217916672574153j</v>
      </c>
      <c r="N76" s="136" t="str">
        <f t="shared" si="11"/>
        <v>0.999999515867501+0.000217916672574153j</v>
      </c>
      <c r="O76" s="136" t="str">
        <f t="shared" si="12"/>
        <v>1.00000013665912+0.000979186334662897j</v>
      </c>
      <c r="P76" s="136" t="str">
        <f t="shared" si="13"/>
        <v>7.07269251861067+0.00692548291706568j</v>
      </c>
      <c r="Q76" s="136"/>
      <c r="R76" s="136">
        <f t="shared" si="14"/>
        <v>11.787819253438114</v>
      </c>
      <c r="S76" s="136" t="str">
        <f t="shared" si="15"/>
        <v>1+9.50000434453191E-07j</v>
      </c>
      <c r="T76" s="136" t="str">
        <f t="shared" si="16"/>
        <v>0.999999939051329+0.0000773197531665387j</v>
      </c>
      <c r="U76" s="136" t="str">
        <f t="shared" si="39"/>
        <v>1.00000005504378-0.0000763697616426927j</v>
      </c>
      <c r="V76" s="136" t="str">
        <f t="shared" si="40"/>
        <v>11.7878199022842-0.000900232946672212j</v>
      </c>
      <c r="W76" s="136"/>
      <c r="X76" s="136" t="str">
        <f t="shared" si="17"/>
        <v>1.66801075032018+0.00160328151054393j</v>
      </c>
      <c r="Y76" s="136">
        <f t="shared" si="41"/>
        <v>4.443980919142418</v>
      </c>
      <c r="Z76" s="136">
        <f t="shared" si="42"/>
        <v>-179.9449276717084</v>
      </c>
      <c r="AA76" s="136"/>
      <c r="AB76" s="136" t="str">
        <f t="shared" si="18"/>
        <v>9.2667254723159-0.000707697576574687j</v>
      </c>
      <c r="AC76" s="136">
        <f t="shared" si="43"/>
        <v>19.338525969199818</v>
      </c>
      <c r="AD76" s="136">
        <f t="shared" si="44"/>
        <v>179.99562433522482</v>
      </c>
      <c r="AE76" s="136"/>
      <c r="AF76" s="136" t="str">
        <f t="shared" si="45"/>
        <v>3.47327000072436-0.00235243697916501j</v>
      </c>
      <c r="AG76" s="136">
        <f t="shared" si="46"/>
        <v>10.814772897545637</v>
      </c>
      <c r="AH76" s="136">
        <f t="shared" si="47"/>
        <v>179.96119371950971</v>
      </c>
      <c r="AI76" s="136"/>
      <c r="AJ76" s="136" t="str">
        <f t="shared" si="19"/>
        <v>99999.9979281432-14.3939456783416j</v>
      </c>
      <c r="AK76" s="136" t="str">
        <f t="shared" si="20"/>
        <v>19047.6190476166-0.00678898132227853j</v>
      </c>
      <c r="AL76" s="136" t="str">
        <f t="shared" si="21"/>
        <v>9999.99999999999-1543858943.08655j</v>
      </c>
      <c r="AM76" s="136" t="str">
        <f t="shared" si="22"/>
        <v>963.139120075902-479128637.513922j</v>
      </c>
      <c r="AN76" s="136" t="str">
        <f t="shared" si="48"/>
        <v>10963.1391200759-479128637.513922j</v>
      </c>
      <c r="AO76" s="136" t="str">
        <f t="shared" si="49"/>
        <v>19047.6189996467-0.764021510400201j</v>
      </c>
      <c r="AP76" s="136" t="str">
        <f t="shared" si="50"/>
        <v>0.160000000450206+0.0000192975603297882j</v>
      </c>
      <c r="AQ76" s="136" t="str">
        <f t="shared" si="23"/>
        <v>1+0.000230303135625016j</v>
      </c>
      <c r="AR76" s="136" t="str">
        <f t="shared" si="24"/>
        <v>1+4.59686897455122E-07j</v>
      </c>
      <c r="AS76" s="136" t="str">
        <f t="shared" si="25"/>
        <v>7.21136693425831E-10j</v>
      </c>
      <c r="AT76" s="136" t="str">
        <f t="shared" si="51"/>
        <v>-3.31497089241966E-16+7.21136693425831E-10j</v>
      </c>
      <c r="AU76" s="179" t="str">
        <f t="shared" si="52"/>
        <v>318723.829785472-1386699649.62545j</v>
      </c>
      <c r="AV76" s="136" t="str">
        <f t="shared" si="26"/>
        <v>7999.99999891145-0.0933188305425592j</v>
      </c>
      <c r="AW76" s="136"/>
      <c r="AX76" s="136" t="str">
        <f t="shared" si="27"/>
        <v>0.499999999931966-5.83242690890995E-06j</v>
      </c>
      <c r="AY76" s="136"/>
      <c r="AZ76" s="136" t="str">
        <f t="shared" si="28"/>
        <v>4.89239941190254-13866.9961402157j</v>
      </c>
      <c r="BA76" s="136" t="str">
        <f t="shared" si="29"/>
        <v>2.36532146418448-6933.49809769898j</v>
      </c>
      <c r="BB76" s="136">
        <f t="shared" si="53"/>
        <v>76.819048520111551</v>
      </c>
      <c r="BC76" s="136">
        <f t="shared" si="54"/>
        <v>90.019546112210961</v>
      </c>
      <c r="BD76" s="136" t="str">
        <f t="shared" si="30"/>
        <v>17.0119648614471-64250.8251081333j</v>
      </c>
      <c r="BE76" s="136">
        <f t="shared" si="55"/>
        <v>96.157574489311358</v>
      </c>
      <c r="BF76" s="136">
        <f t="shared" si="56"/>
        <v>90.015170447435779</v>
      </c>
      <c r="BG76" s="136"/>
      <c r="BH76" s="136" t="str">
        <f t="shared" si="31"/>
        <v>-8.09521723637593-24081.916507087j</v>
      </c>
      <c r="BI76" s="136">
        <f t="shared" si="57"/>
        <v>87.633821417657174</v>
      </c>
      <c r="BJ76" s="136">
        <f t="shared" si="58"/>
        <v>89.980739831720669</v>
      </c>
      <c r="BK76" s="136"/>
      <c r="BL76" s="136">
        <f t="shared" si="59"/>
        <v>-86.633821417657174</v>
      </c>
      <c r="BM76" s="136">
        <f t="shared" si="60"/>
        <v>-89.980739831720669</v>
      </c>
      <c r="BN76" s="136"/>
      <c r="BO76" s="189"/>
      <c r="BP76" s="189" t="str">
        <f t="shared" si="32"/>
        <v>0.00001+1.43939459765635E-09j</v>
      </c>
      <c r="BQ76" s="189" t="str">
        <f t="shared" si="33"/>
        <v>1.65748535829758E-13+7.19697260655767E-10j</v>
      </c>
      <c r="BR76" s="189" t="str">
        <f t="shared" si="34"/>
        <v>-0.000357146678492954-0.0000179988575281304j</v>
      </c>
      <c r="BS76" s="189" t="str">
        <f t="shared" si="35"/>
        <v>0.0000625000001657485+2.15909185831212E-09j</v>
      </c>
      <c r="BT76" s="189" t="str">
        <f t="shared" si="61"/>
        <v>-2.23216286038194E-08-1.12569971097719E-09j</v>
      </c>
      <c r="BU76" s="189" t="str">
        <f t="shared" si="62"/>
        <v>-1.65748535829758E-13-7.19697260655767E-10j</v>
      </c>
      <c r="BV76" s="189" t="str">
        <f t="shared" si="63"/>
        <v>-2.23217943523552E-08-1.84539697163296E-09j</v>
      </c>
      <c r="BW76" s="189" t="str">
        <f t="shared" si="36"/>
        <v>0.999999999994752-2.29086776475434E-06j</v>
      </c>
      <c r="BX76" s="189" t="str">
        <f t="shared" si="64"/>
        <v>-0.00001-1.43939459765635E-09j</v>
      </c>
      <c r="BY76" s="189" t="str">
        <f t="shared" si="65"/>
        <v>444.95674559407-36.72219768571j</v>
      </c>
      <c r="BZ76" s="136">
        <f t="shared" si="66"/>
        <v>52.995836154964458</v>
      </c>
      <c r="CA76" s="136">
        <f t="shared" si="67"/>
        <v>175.28208207148595</v>
      </c>
      <c r="CB76" s="189" t="str">
        <f t="shared" si="37"/>
        <v>4123.26602026505-340.609419504126j</v>
      </c>
      <c r="CC76" s="136" t="str">
        <f t="shared" si="38"/>
        <v>1545.36852943604-128.592840284911j</v>
      </c>
      <c r="CD76" s="136">
        <f t="shared" si="68"/>
        <v>63.810609052510131</v>
      </c>
      <c r="CE76" s="136">
        <f t="shared" si="69"/>
        <v>175.24327579099565</v>
      </c>
      <c r="CF76" s="136"/>
      <c r="CG76" s="136">
        <f t="shared" si="70"/>
        <v>-62.810609052510131</v>
      </c>
      <c r="CH76" s="136">
        <f t="shared" si="71"/>
        <v>-175.24327579099565</v>
      </c>
      <c r="CI76" s="77"/>
      <c r="CJ76" s="189"/>
      <c r="CK76" s="189"/>
      <c r="CL76" s="189"/>
      <c r="CM76" s="77"/>
      <c r="CN76" s="189">
        <v>181.97008586099801</v>
      </c>
      <c r="CO76" s="189">
        <v>50.800740942478903</v>
      </c>
      <c r="CP76" s="189">
        <v>95.883007620104706</v>
      </c>
      <c r="CQ76" s="74"/>
      <c r="CR76" s="75"/>
      <c r="CS76" s="75"/>
      <c r="CT76" s="75"/>
      <c r="CU76" s="74"/>
      <c r="CV76" s="75"/>
      <c r="CW76" s="75"/>
      <c r="CX76" s="75"/>
      <c r="CY76" s="74"/>
      <c r="CZ76" s="75"/>
      <c r="DA76" s="75"/>
      <c r="DB76" s="75"/>
      <c r="DC76" s="74"/>
      <c r="DD76" s="75"/>
      <c r="DE76" s="75"/>
      <c r="DF76" s="75"/>
      <c r="DG76" s="74"/>
      <c r="DH76" s="75"/>
      <c r="DI76" s="75"/>
      <c r="DJ76" s="75"/>
      <c r="DK76" s="74"/>
      <c r="DL76" s="75"/>
      <c r="DM76" s="75"/>
      <c r="DN76" s="75"/>
      <c r="DO76" s="76"/>
    </row>
    <row r="77" spans="1:119" x14ac:dyDescent="0.25">
      <c r="A77" s="136">
        <v>28</v>
      </c>
      <c r="B77" s="136">
        <f t="shared" si="0"/>
        <v>6.9183097091893666</v>
      </c>
      <c r="C77" s="136" t="str">
        <f t="shared" si="7"/>
        <v>43.4690219152965j</v>
      </c>
      <c r="D77" s="136">
        <f t="shared" si="1"/>
        <v>0.99999999880342472</v>
      </c>
      <c r="E77" s="136" t="str">
        <f t="shared" si="2"/>
        <v>-0.0000543362773941206j</v>
      </c>
      <c r="F77" s="136" t="str">
        <f t="shared" si="8"/>
        <v>0.999999998803425-0.0000543362773941206j</v>
      </c>
      <c r="G77" s="136">
        <f t="shared" si="9"/>
        <v>2.4289248785556096E-9</v>
      </c>
      <c r="H77" s="136">
        <f t="shared" si="10"/>
        <v>-3.113239369796563E-3</v>
      </c>
      <c r="I77" s="136"/>
      <c r="J77" s="136">
        <f t="shared" si="3"/>
        <v>7.0726915520628681</v>
      </c>
      <c r="K77" s="136" t="str">
        <f t="shared" si="4"/>
        <v>1+0.00319059722923482j</v>
      </c>
      <c r="L77" s="136">
        <f t="shared" si="5"/>
        <v>0.99999944414151787</v>
      </c>
      <c r="M77" s="136" t="str">
        <f t="shared" si="6"/>
        <v>0.000233501921596347j</v>
      </c>
      <c r="N77" s="136" t="str">
        <f t="shared" si="11"/>
        <v>0.999999444141518+0.000233501921596347j</v>
      </c>
      <c r="O77" s="136" t="str">
        <f t="shared" si="12"/>
        <v>1.00000015690567+0.0010492170688129j</v>
      </c>
      <c r="P77" s="136" t="str">
        <f t="shared" si="13"/>
        <v>7.07269266180827+0.00742078869887316j</v>
      </c>
      <c r="Q77" s="136"/>
      <c r="R77" s="136">
        <f t="shared" si="14"/>
        <v>11.787819253438114</v>
      </c>
      <c r="S77" s="136" t="str">
        <f t="shared" si="15"/>
        <v>1+0.0000010179438055007j</v>
      </c>
      <c r="T77" s="136" t="str">
        <f t="shared" si="16"/>
        <v>0.999999930021563+0.0000828496081941524j</v>
      </c>
      <c r="U77" s="136" t="str">
        <f t="shared" si="39"/>
        <v>1.00000006319872-0.0000818316753510936j</v>
      </c>
      <c r="V77" s="136" t="str">
        <f t="shared" si="40"/>
        <v>11.7878199984132-0.000964616998244718j</v>
      </c>
      <c r="W77" s="136"/>
      <c r="X77" s="136" t="str">
        <f t="shared" si="17"/>
        <v>1.66801078841299+0.00171794710259829j</v>
      </c>
      <c r="Y77" s="136">
        <f t="shared" si="41"/>
        <v>4.443981711957961</v>
      </c>
      <c r="Z77" s="136">
        <f t="shared" si="42"/>
        <v>-179.94098894066809</v>
      </c>
      <c r="AA77" s="136"/>
      <c r="AB77" s="136" t="str">
        <f t="shared" si="18"/>
        <v>9.26672554788552-0.000758311628677929j</v>
      </c>
      <c r="AC77" s="136">
        <f t="shared" si="43"/>
        <v>19.338526043785418</v>
      </c>
      <c r="AD77" s="136">
        <f t="shared" si="44"/>
        <v>179.99531139067867</v>
      </c>
      <c r="AE77" s="136"/>
      <c r="AF77" s="136" t="str">
        <f t="shared" si="45"/>
        <v>3.47326977002226-0.00252068147394195j</v>
      </c>
      <c r="AG77" s="136">
        <f t="shared" si="46"/>
        <v>10.814772615768547</v>
      </c>
      <c r="AH77" s="136">
        <f t="shared" si="47"/>
        <v>179.95841832216882</v>
      </c>
      <c r="AI77" s="136"/>
      <c r="AJ77" s="136" t="str">
        <f t="shared" si="19"/>
        <v>99999.9976211902-15.4233906255418j</v>
      </c>
      <c r="AK77" s="136" t="str">
        <f t="shared" si="20"/>
        <v>19047.6190476163-0.0072745245497188j</v>
      </c>
      <c r="AL77" s="136" t="str">
        <f t="shared" si="21"/>
        <v>10000-1440812998.45943j</v>
      </c>
      <c r="AM77" s="136" t="str">
        <f t="shared" si="22"/>
        <v>963.139120073054-447148861.595467j</v>
      </c>
      <c r="AN77" s="136" t="str">
        <f t="shared" si="48"/>
        <v>10963.1391200731-447148861.595467j</v>
      </c>
      <c r="AO77" s="136" t="str">
        <f t="shared" si="49"/>
        <v>19047.6189925395-0.818663797530799j</v>
      </c>
      <c r="AP77" s="136" t="str">
        <f t="shared" si="50"/>
        <v>0.160000000516907+0.0000206777084356881j</v>
      </c>
      <c r="AQ77" s="136" t="str">
        <f t="shared" si="23"/>
        <v>1+0.000246774255878958j</v>
      </c>
      <c r="AR77" s="136" t="str">
        <f t="shared" si="24"/>
        <v>1+4.92563384987941E-07j</v>
      </c>
      <c r="AS77" s="136" t="str">
        <f t="shared" si="25"/>
        <v>7.72711888720988E-10j</v>
      </c>
      <c r="AT77" s="136" t="str">
        <f t="shared" si="51"/>
        <v>-3.80609583528835E-16+7.72711888720988E-10j</v>
      </c>
      <c r="AU77" s="179" t="str">
        <f t="shared" si="52"/>
        <v>318723.829785461-1294143411.9469j</v>
      </c>
      <c r="AV77" s="136" t="str">
        <f t="shared" si="26"/>
        <v>7999.99999875018-0.0999929284665326j</v>
      </c>
      <c r="AW77" s="136"/>
      <c r="AX77" s="136" t="str">
        <f t="shared" si="27"/>
        <v>0.499999999921886-6.24955802915829E-06j</v>
      </c>
      <c r="AY77" s="136"/>
      <c r="AZ77" s="136" t="str">
        <f t="shared" si="28"/>
        <v>4.8923994130416-12941.4337379666j</v>
      </c>
      <c r="BA77" s="136" t="str">
        <f t="shared" si="29"/>
        <v>2.36532146501271-6470.71689854773j</v>
      </c>
      <c r="BB77" s="136">
        <f t="shared" si="53"/>
        <v>76.219048567209441</v>
      </c>
      <c r="BC77" s="136">
        <f t="shared" si="54"/>
        <v>90.020944036530338</v>
      </c>
      <c r="BD77" s="136" t="str">
        <f t="shared" si="30"/>
        <v>17.0119649787438-59962.3593905576j</v>
      </c>
      <c r="BE77" s="136">
        <f t="shared" si="55"/>
        <v>95.557574610994862</v>
      </c>
      <c r="BF77" s="136">
        <f t="shared" si="56"/>
        <v>90.016255427209018</v>
      </c>
      <c r="BG77" s="136"/>
      <c r="BH77" s="136" t="str">
        <f t="shared" si="31"/>
        <v>-8.095216668479-22474.55135632j</v>
      </c>
      <c r="BI77" s="136">
        <f t="shared" si="57"/>
        <v>87.033821182977988</v>
      </c>
      <c r="BJ77" s="136">
        <f t="shared" si="58"/>
        <v>89.979362358699163</v>
      </c>
      <c r="BK77" s="136"/>
      <c r="BL77" s="136">
        <f t="shared" si="59"/>
        <v>-86.033821182977988</v>
      </c>
      <c r="BM77" s="136">
        <f t="shared" si="60"/>
        <v>-89.979362358699163</v>
      </c>
      <c r="BN77" s="136"/>
      <c r="BO77" s="189"/>
      <c r="BP77" s="189" t="str">
        <f t="shared" si="32"/>
        <v>0.00001+1.54233909924349E-09j</v>
      </c>
      <c r="BQ77" s="189" t="str">
        <f t="shared" si="33"/>
        <v>1.90304780175326E-13+7.71169502659424E-10j</v>
      </c>
      <c r="BR77" s="189" t="str">
        <f t="shared" si="34"/>
        <v>-0.000357147244639783-0.0000192861231848173j</v>
      </c>
      <c r="BS77" s="189" t="str">
        <f t="shared" si="35"/>
        <v>0.0000625000001903048+2.31350860190291E-09j</v>
      </c>
      <c r="BT77" s="189" t="str">
        <f t="shared" si="61"/>
        <v>-2.23216582393414E-08-1.20620896594394E-09j</v>
      </c>
      <c r="BU77" s="189" t="str">
        <f t="shared" si="62"/>
        <v>-1.90304780175326E-13-7.71169502659424E-10j</v>
      </c>
      <c r="BV77" s="189" t="str">
        <f t="shared" si="63"/>
        <v>-2.23218485441216E-08-1.97737846860336E-09j</v>
      </c>
      <c r="BW77" s="189" t="str">
        <f t="shared" si="36"/>
        <v>0.999999999993974-2.45470903567887E-06j</v>
      </c>
      <c r="BX77" s="189" t="str">
        <f t="shared" si="64"/>
        <v>-0.00001-1.54233909924349E-09j</v>
      </c>
      <c r="BY77" s="189" t="str">
        <f t="shared" si="65"/>
        <v>444.509403838582-39.3088202573761j</v>
      </c>
      <c r="BZ77" s="136">
        <f t="shared" si="66"/>
        <v>52.991449670284325</v>
      </c>
      <c r="CA77" s="136">
        <f t="shared" si="67"/>
        <v>174.94637029453472</v>
      </c>
      <c r="CB77" s="189" t="str">
        <f t="shared" si="37"/>
        <v>4119.11684049084-364.601125586254j</v>
      </c>
      <c r="CC77" s="136" t="str">
        <f t="shared" si="38"/>
        <v>1543.80198982818-137.650603714432j</v>
      </c>
      <c r="CD77" s="136">
        <f t="shared" si="68"/>
        <v>63.806222286052886</v>
      </c>
      <c r="CE77" s="136">
        <f t="shared" si="69"/>
        <v>174.90478861670351</v>
      </c>
      <c r="CF77" s="136"/>
      <c r="CG77" s="136">
        <f t="shared" si="70"/>
        <v>-62.806222286052886</v>
      </c>
      <c r="CH77" s="136">
        <f t="shared" si="71"/>
        <v>-174.90478861670351</v>
      </c>
      <c r="CI77" s="77"/>
      <c r="CJ77" s="189"/>
      <c r="CK77" s="189"/>
      <c r="CL77" s="189"/>
      <c r="CM77" s="77"/>
      <c r="CN77" s="189">
        <v>190.54607179632399</v>
      </c>
      <c r="CO77" s="189">
        <v>50.406060864452499</v>
      </c>
      <c r="CP77" s="189">
        <v>95.500827371890296</v>
      </c>
      <c r="CQ77" s="74"/>
      <c r="CR77" s="75"/>
      <c r="CS77" s="75"/>
      <c r="CT77" s="75"/>
      <c r="CU77" s="74"/>
      <c r="CV77" s="75"/>
      <c r="CW77" s="75"/>
      <c r="CX77" s="75"/>
      <c r="CY77" s="74"/>
      <c r="CZ77" s="75"/>
      <c r="DA77" s="75"/>
      <c r="DB77" s="75"/>
      <c r="DC77" s="74"/>
      <c r="DD77" s="75"/>
      <c r="DE77" s="75"/>
      <c r="DF77" s="75"/>
      <c r="DG77" s="74"/>
      <c r="DH77" s="75"/>
      <c r="DI77" s="75"/>
      <c r="DJ77" s="75"/>
      <c r="DK77" s="74"/>
      <c r="DL77" s="75"/>
      <c r="DM77" s="75"/>
      <c r="DN77" s="75"/>
      <c r="DO77" s="76"/>
    </row>
    <row r="78" spans="1:119" x14ac:dyDescent="0.25">
      <c r="A78" s="136">
        <v>29</v>
      </c>
      <c r="B78" s="136">
        <f t="shared" si="0"/>
        <v>7.4131024130091765</v>
      </c>
      <c r="C78" s="136" t="str">
        <f t="shared" si="7"/>
        <v>46.5778961620368j</v>
      </c>
      <c r="D78" s="136">
        <f t="shared" si="1"/>
        <v>0.99999999862614786</v>
      </c>
      <c r="E78" s="136" t="str">
        <f t="shared" si="2"/>
        <v>-0.000058222370202546j</v>
      </c>
      <c r="F78" s="136" t="str">
        <f t="shared" si="8"/>
        <v>0.999999998626148-0.000058222370202546j</v>
      </c>
      <c r="G78" s="136">
        <f t="shared" si="9"/>
        <v>2.7887791018313498E-9</v>
      </c>
      <c r="H78" s="136">
        <f t="shared" si="10"/>
        <v>-3.3358960866677677E-3</v>
      </c>
      <c r="I78" s="136"/>
      <c r="J78" s="136">
        <f t="shared" si="3"/>
        <v>7.0726915520628681</v>
      </c>
      <c r="K78" s="136" t="str">
        <f t="shared" si="4"/>
        <v>1+0.00341878652636273j</v>
      </c>
      <c r="L78" s="136">
        <f t="shared" si="5"/>
        <v>0.99999936178907067</v>
      </c>
      <c r="M78" s="136" t="str">
        <f t="shared" si="6"/>
        <v>0.000250201816800564j</v>
      </c>
      <c r="N78" s="136" t="str">
        <f t="shared" si="11"/>
        <v>0.999999361789071+0.000250201816800564j</v>
      </c>
      <c r="O78" s="136" t="str">
        <f t="shared" si="12"/>
        <v>1.00000018015182+0.00112425635420996j</v>
      </c>
      <c r="P78" s="136" t="str">
        <f t="shared" si="13"/>
        <v>7.07269282622112+0.00795151841877378j</v>
      </c>
      <c r="Q78" s="136"/>
      <c r="R78" s="136">
        <f t="shared" si="14"/>
        <v>11.787819253438114</v>
      </c>
      <c r="S78" s="136" t="str">
        <f t="shared" si="15"/>
        <v>1+1.09074643924104E-06j</v>
      </c>
      <c r="T78" s="136" t="str">
        <f t="shared" si="16"/>
        <v>0.999999919654004+0.0000887749546114061j</v>
      </c>
      <c r="U78" s="136" t="str">
        <f t="shared" si="39"/>
        <v>1.00000007256184-0.0000876842216589151j</v>
      </c>
      <c r="V78" s="136" t="str">
        <f t="shared" si="40"/>
        <v>11.787820108784-0.00103360575629369j</v>
      </c>
      <c r="W78" s="136"/>
      <c r="X78" s="136" t="str">
        <f t="shared" si="17"/>
        <v>1.6680108321494+0.00184081350096797j</v>
      </c>
      <c r="Y78" s="136">
        <f t="shared" si="41"/>
        <v>4.4439826222319132</v>
      </c>
      <c r="Z78" s="136">
        <f t="shared" si="42"/>
        <v>-179.93676851515309</v>
      </c>
      <c r="AA78" s="136"/>
      <c r="AB78" s="136" t="str">
        <f t="shared" si="18"/>
        <v>9.266725634651-0.000812545565641282j</v>
      </c>
      <c r="AC78" s="136">
        <f t="shared" si="43"/>
        <v>19.338526129421091</v>
      </c>
      <c r="AD78" s="136">
        <f t="shared" si="44"/>
        <v>179.99497606454648</v>
      </c>
      <c r="AE78" s="136"/>
      <c r="AF78" s="136" t="str">
        <f t="shared" si="45"/>
        <v>3.4732695051408-0.00270095866042619j</v>
      </c>
      <c r="AG78" s="136">
        <f t="shared" si="46"/>
        <v>10.814772292245072</v>
      </c>
      <c r="AH78" s="136">
        <f t="shared" si="47"/>
        <v>179.95544443054069</v>
      </c>
      <c r="AI78" s="136"/>
      <c r="AJ78" s="136" t="str">
        <f t="shared" si="19"/>
        <v>99999.9972687609-16.5264607492446j</v>
      </c>
      <c r="AK78" s="136" t="str">
        <f t="shared" si="20"/>
        <v>19047.6190476159-0.00779479349144843j</v>
      </c>
      <c r="AL78" s="136" t="str">
        <f t="shared" si="21"/>
        <v>10000-1344644927.45647j</v>
      </c>
      <c r="AM78" s="136" t="str">
        <f t="shared" si="22"/>
        <v>963.139120069787-417303598.181085j</v>
      </c>
      <c r="AN78" s="136" t="str">
        <f t="shared" si="48"/>
        <v>10963.1391200698-417303598.181085j</v>
      </c>
      <c r="AO78" s="136" t="str">
        <f t="shared" si="49"/>
        <v>19047.6189843792-0.877214062963079j</v>
      </c>
      <c r="AP78" s="136" t="str">
        <f t="shared" si="50"/>
        <v>0.160000000593488+0.0000221565637748627j</v>
      </c>
      <c r="AQ78" s="136" t="str">
        <f t="shared" si="23"/>
        <v>1+0.000264423379209949j</v>
      </c>
      <c r="AR78" s="136" t="str">
        <f t="shared" si="24"/>
        <v>1+5.27791176067762E-07j</v>
      </c>
      <c r="AS78" s="136" t="str">
        <f t="shared" si="25"/>
        <v>8.27975706151152E-10j</v>
      </c>
      <c r="AT78" s="136" t="str">
        <f t="shared" si="51"/>
        <v>-4.36998271705052E-16+8.27975706151152E-10j</v>
      </c>
      <c r="AU78" s="179" t="str">
        <f t="shared" si="52"/>
        <v>318723.82978545-1207764905.06924j</v>
      </c>
      <c r="AV78" s="136" t="str">
        <f t="shared" si="26"/>
        <v>7999.99999856501-0.107144353236652j</v>
      </c>
      <c r="AW78" s="136"/>
      <c r="AX78" s="136" t="str">
        <f t="shared" si="27"/>
        <v>0.499999999910313-6.69652207729075E-06j</v>
      </c>
      <c r="AY78" s="136"/>
      <c r="AZ78" s="136" t="str">
        <f t="shared" si="28"/>
        <v>4.89239941434942-12077.6486419052j</v>
      </c>
      <c r="BA78" s="136" t="str">
        <f t="shared" si="29"/>
        <v>2.36532146596365-6038.82435263145j</v>
      </c>
      <c r="BB78" s="136">
        <f t="shared" si="53"/>
        <v>75.619048621284918</v>
      </c>
      <c r="BC78" s="136">
        <f t="shared" si="54"/>
        <v>90.022441939415216</v>
      </c>
      <c r="BD78" s="136" t="str">
        <f t="shared" si="30"/>
        <v>17.0119651134184-55960.1303536161j</v>
      </c>
      <c r="BE78" s="136">
        <f t="shared" si="55"/>
        <v>94.957574750706016</v>
      </c>
      <c r="BF78" s="136">
        <f t="shared" si="56"/>
        <v>90.017418003961694</v>
      </c>
      <c r="BG78" s="136"/>
      <c r="BH78" s="136" t="str">
        <f t="shared" si="31"/>
        <v>-8.09521601644601-20974.4708595319j</v>
      </c>
      <c r="BI78" s="136">
        <f t="shared" si="57"/>
        <v>86.433820913529956</v>
      </c>
      <c r="BJ78" s="136">
        <f t="shared" si="58"/>
        <v>89.977886369955897</v>
      </c>
      <c r="BK78" s="136"/>
      <c r="BL78" s="136">
        <f t="shared" si="59"/>
        <v>-85.433820913529956</v>
      </c>
      <c r="BM78" s="136">
        <f t="shared" si="60"/>
        <v>-89.977886369955897</v>
      </c>
      <c r="BN78" s="136"/>
      <c r="BO78" s="189"/>
      <c r="BP78" s="189" t="str">
        <f t="shared" si="32"/>
        <v>0.00001+1.65264612006218E-09j</v>
      </c>
      <c r="BQ78" s="189" t="str">
        <f t="shared" si="33"/>
        <v>2.18499120575128E-13+8.26323002254814E-10j</v>
      </c>
      <c r="BR78" s="189" t="str">
        <f t="shared" si="34"/>
        <v>-0.000357147894663302-0.0000206654531572691j</v>
      </c>
      <c r="BS78" s="189" t="str">
        <f t="shared" si="35"/>
        <v>0.0000625000002184991+2.47896912231699E-09j</v>
      </c>
      <c r="BT78" s="189" t="str">
        <f t="shared" si="61"/>
        <v>-2.23216922654726E-08-1.29247618544767E-09j</v>
      </c>
      <c r="BU78" s="189" t="str">
        <f t="shared" si="62"/>
        <v>-2.18499120575128E-13-8.26323002254814E-10j</v>
      </c>
      <c r="BV78" s="189" t="str">
        <f t="shared" si="63"/>
        <v>-2.23219107645932E-08-2.11879918770248E-09j</v>
      </c>
      <c r="BW78" s="189" t="str">
        <f t="shared" si="36"/>
        <v>0.999999999993082-2.63026812046875E-06j</v>
      </c>
      <c r="BX78" s="189" t="str">
        <f t="shared" si="64"/>
        <v>-0.00001-1.65264612006218E-09j</v>
      </c>
      <c r="BY78" s="189" t="str">
        <f t="shared" si="65"/>
        <v>443.996899330228-42.0713950570071j</v>
      </c>
      <c r="BZ78" s="136">
        <f t="shared" si="66"/>
        <v>52.986418769729625</v>
      </c>
      <c r="CA78" s="136">
        <f t="shared" si="67"/>
        <v>174.58703976708495</v>
      </c>
      <c r="CB78" s="189" t="str">
        <f t="shared" si="37"/>
        <v>4114.36326380349-390.224842772007j</v>
      </c>
      <c r="CC78" s="136" t="str">
        <f t="shared" si="38"/>
        <v>1542.00725772191-147.324510760683j</v>
      </c>
      <c r="CD78" s="136">
        <f t="shared" si="68"/>
        <v>63.801191061974677</v>
      </c>
      <c r="CE78" s="136">
        <f t="shared" si="69"/>
        <v>174.54248419762561</v>
      </c>
      <c r="CF78" s="136"/>
      <c r="CG78" s="136">
        <f t="shared" si="70"/>
        <v>-62.801191061974677</v>
      </c>
      <c r="CH78" s="136">
        <f t="shared" si="71"/>
        <v>-174.54248419762561</v>
      </c>
      <c r="CI78" s="77"/>
      <c r="CJ78" s="189"/>
      <c r="CK78" s="189"/>
      <c r="CL78" s="189"/>
      <c r="CM78" s="77"/>
      <c r="CN78" s="189">
        <v>199.52623149688699</v>
      </c>
      <c r="CO78" s="189">
        <v>50.0107954238768</v>
      </c>
      <c r="CP78" s="189">
        <v>95.129791668581305</v>
      </c>
      <c r="CQ78" s="74"/>
      <c r="CR78" s="75"/>
      <c r="CS78" s="75"/>
      <c r="CT78" s="75"/>
      <c r="CU78" s="74"/>
      <c r="CV78" s="75"/>
      <c r="CW78" s="75"/>
      <c r="CX78" s="75"/>
      <c r="CY78" s="74"/>
      <c r="CZ78" s="75"/>
      <c r="DA78" s="75"/>
      <c r="DB78" s="75"/>
      <c r="DC78" s="74"/>
      <c r="DD78" s="75"/>
      <c r="DE78" s="75"/>
      <c r="DF78" s="75"/>
      <c r="DG78" s="74"/>
      <c r="DH78" s="75"/>
      <c r="DI78" s="75"/>
      <c r="DJ78" s="75"/>
      <c r="DK78" s="74"/>
      <c r="DL78" s="75"/>
      <c r="DM78" s="75"/>
      <c r="DN78" s="75"/>
      <c r="DO78" s="76"/>
    </row>
    <row r="79" spans="1:119" x14ac:dyDescent="0.25">
      <c r="A79" s="136">
        <v>30</v>
      </c>
      <c r="B79" s="136">
        <f t="shared" si="0"/>
        <v>7.943282347242814</v>
      </c>
      <c r="C79" s="136" t="str">
        <f t="shared" si="7"/>
        <v>49.909114934975j</v>
      </c>
      <c r="D79" s="136">
        <f t="shared" si="1"/>
        <v>0.99999999842260667</v>
      </c>
      <c r="E79" s="136" t="str">
        <f t="shared" si="2"/>
        <v>-0.0000623863936687188j</v>
      </c>
      <c r="F79" s="136" t="str">
        <f t="shared" si="8"/>
        <v>0.999999998422607-0.0000623863936687188j</v>
      </c>
      <c r="G79" s="136">
        <f t="shared" si="9"/>
        <v>3.2019490620434881E-9</v>
      </c>
      <c r="H79" s="136">
        <f t="shared" si="10"/>
        <v>-3.5744770572602594E-3</v>
      </c>
      <c r="I79" s="136"/>
      <c r="J79" s="136">
        <f t="shared" si="3"/>
        <v>7.0726915520628681</v>
      </c>
      <c r="K79" s="136" t="str">
        <f t="shared" si="4"/>
        <v>1+0.00366329576348388j</v>
      </c>
      <c r="L79" s="136">
        <f t="shared" si="5"/>
        <v>0.99999926723581023</v>
      </c>
      <c r="M79" s="136" t="str">
        <f t="shared" si="6"/>
        <v>0.000268096076907327j</v>
      </c>
      <c r="N79" s="136" t="str">
        <f t="shared" si="11"/>
        <v>0.99999926723581+0.000268096076907327j</v>
      </c>
      <c r="O79" s="136" t="str">
        <f t="shared" si="12"/>
        <v>1.00000020684196+0.00120466239937291j</v>
      </c>
      <c r="P79" s="136" t="str">
        <f t="shared" si="13"/>
        <v>7.07269301499225+0.00852020557513257j</v>
      </c>
      <c r="Q79" s="136"/>
      <c r="R79" s="136">
        <f t="shared" si="14"/>
        <v>11.787819253438114</v>
      </c>
      <c r="S79" s="136" t="str">
        <f t="shared" si="15"/>
        <v>1+1.16875586676596E-06j</v>
      </c>
      <c r="T79" s="136" t="str">
        <f t="shared" si="16"/>
        <v>0.999999907750454+0.0000951240776877143j</v>
      </c>
      <c r="U79" s="136" t="str">
        <f t="shared" si="39"/>
        <v>1.00000008331214-0.000093955338413276j</v>
      </c>
      <c r="V79" s="136" t="str">
        <f t="shared" si="40"/>
        <v>11.7878202355066-0.00110752854711131j</v>
      </c>
      <c r="W79" s="136"/>
      <c r="X79" s="136" t="str">
        <f t="shared" si="17"/>
        <v>1.66801088236549+0.00197246722227627j</v>
      </c>
      <c r="Y79" s="136">
        <f t="shared" si="41"/>
        <v>4.4439836673659014</v>
      </c>
      <c r="Z79" s="136">
        <f t="shared" si="42"/>
        <v>-179.93224624876208</v>
      </c>
      <c r="AA79" s="136"/>
      <c r="AB79" s="136" t="str">
        <f t="shared" si="18"/>
        <v>9.26672573427108-0.000870658279810047j</v>
      </c>
      <c r="AC79" s="136">
        <f t="shared" si="43"/>
        <v>19.338526227743984</v>
      </c>
      <c r="AD79" s="136">
        <f t="shared" si="44"/>
        <v>179.99461675611053</v>
      </c>
      <c r="AE79" s="136"/>
      <c r="AF79" s="136" t="str">
        <f t="shared" si="45"/>
        <v>3.47326920101627-0.00289412909969479j</v>
      </c>
      <c r="AG79" s="136">
        <f t="shared" si="46"/>
        <v>10.814771920790527</v>
      </c>
      <c r="AH79" s="136">
        <f t="shared" si="47"/>
        <v>179.95225784849836</v>
      </c>
      <c r="AI79" s="136"/>
      <c r="AJ79" s="136" t="str">
        <f t="shared" si="19"/>
        <v>99999.9968641179-17.7084216684114j</v>
      </c>
      <c r="AK79" s="136" t="str">
        <f t="shared" si="20"/>
        <v>19047.6190476154-0.00835227170642727j</v>
      </c>
      <c r="AL79" s="136" t="str">
        <f t="shared" si="21"/>
        <v>10000-1254895661.5936j</v>
      </c>
      <c r="AM79" s="136" t="str">
        <f t="shared" si="22"/>
        <v>963.139120066036-389450377.741238j</v>
      </c>
      <c r="AN79" s="136" t="str">
        <f t="shared" si="48"/>
        <v>10963.139120066-389450377.741238j</v>
      </c>
      <c r="AO79" s="136" t="str">
        <f t="shared" si="49"/>
        <v>19047.61897501-0.939951802564633j</v>
      </c>
      <c r="AP79" s="136" t="str">
        <f t="shared" si="50"/>
        <v>0.160000000681416+0.0000237411858199703j</v>
      </c>
      <c r="AQ79" s="136" t="str">
        <f t="shared" si="23"/>
        <v>1+0.000283334755579626j</v>
      </c>
      <c r="AR79" s="136" t="str">
        <f t="shared" si="24"/>
        <v>1+5.6553843429067E-07j</v>
      </c>
      <c r="AS79" s="136" t="str">
        <f t="shared" si="25"/>
        <v>8.87191953408703E-10j</v>
      </c>
      <c r="AT79" s="136" t="str">
        <f t="shared" si="51"/>
        <v>-5.01741148246039E-16+8.87191953408703E-10j</v>
      </c>
      <c r="AU79" s="179" t="str">
        <f t="shared" si="52"/>
        <v>318723.829785437-1127151792.03079j</v>
      </c>
      <c r="AV79" s="136" t="str">
        <f t="shared" si="26"/>
        <v>7999.99999835241-0.11480724293722j</v>
      </c>
      <c r="AW79" s="136"/>
      <c r="AX79" s="136" t="str">
        <f t="shared" si="27"/>
        <v>0.499999999897026-7.17545268357625E-06j</v>
      </c>
      <c r="AY79" s="136"/>
      <c r="AZ79" s="136" t="str">
        <f t="shared" si="28"/>
        <v>4.89239941585102-11271.5174822846j</v>
      </c>
      <c r="BA79" s="136" t="str">
        <f t="shared" si="29"/>
        <v>2.36532146705548-5635.75877508681j</v>
      </c>
      <c r="BB79" s="136">
        <f t="shared" si="53"/>
        <v>75.019048683371935</v>
      </c>
      <c r="BC79" s="136">
        <f t="shared" si="54"/>
        <v>90.024046971260688</v>
      </c>
      <c r="BD79" s="136" t="str">
        <f t="shared" si="30"/>
        <v>17.0119652680454-52225.0329326277j</v>
      </c>
      <c r="BE79" s="136">
        <f t="shared" si="55"/>
        <v>94.357574911115904</v>
      </c>
      <c r="BF79" s="136">
        <f t="shared" si="56"/>
        <v>90.018663727371205</v>
      </c>
      <c r="BG79" s="136"/>
      <c r="BH79" s="136" t="str">
        <f t="shared" si="31"/>
        <v>-8.09521526781255-19574.5142234119j</v>
      </c>
      <c r="BI79" s="136">
        <f t="shared" si="57"/>
        <v>85.833820604162469</v>
      </c>
      <c r="BJ79" s="136">
        <f t="shared" si="58"/>
        <v>89.976304819759051</v>
      </c>
      <c r="BK79" s="136"/>
      <c r="BL79" s="136">
        <f t="shared" si="59"/>
        <v>-84.833820604162469</v>
      </c>
      <c r="BM79" s="136">
        <f t="shared" si="60"/>
        <v>-89.976304819759051</v>
      </c>
      <c r="BN79" s="136"/>
      <c r="BO79" s="189"/>
      <c r="BP79" s="189" t="str">
        <f t="shared" si="32"/>
        <v>0.00001+1.77084222237266E-09j</v>
      </c>
      <c r="BQ79" s="189" t="str">
        <f t="shared" si="33"/>
        <v>2.50870553983487E-13+8.85421040105983E-10j</v>
      </c>
      <c r="BR79" s="189" t="str">
        <f t="shared" si="34"/>
        <v>-0.000357148640990148-0.0000221434318145574j</v>
      </c>
      <c r="BS79" s="189" t="str">
        <f t="shared" si="35"/>
        <v>0.0000625000002508706+2.65626326247864E-09j</v>
      </c>
      <c r="BT79" s="189" t="str">
        <f t="shared" si="61"/>
        <v>-2.23217313326979E-08-1.38491317477928E-09j</v>
      </c>
      <c r="BU79" s="189" t="str">
        <f t="shared" si="62"/>
        <v>-2.50870553983487E-13-8.85421040105983E-10j</v>
      </c>
      <c r="BV79" s="189" t="str">
        <f t="shared" si="63"/>
        <v>-2.23219822032519E-08-2.27033421488526E-09j</v>
      </c>
      <c r="BW79" s="189" t="str">
        <f t="shared" si="36"/>
        <v>0.999999999992057-2.81838306903042E-06j</v>
      </c>
      <c r="BX79" s="189" t="str">
        <f t="shared" si="64"/>
        <v>-0.00001-1.77084222237266E-09j</v>
      </c>
      <c r="BY79" s="189" t="str">
        <f t="shared" si="65"/>
        <v>443.409926927556-45.0204673035414j</v>
      </c>
      <c r="BZ79" s="136">
        <f t="shared" si="66"/>
        <v>52.980649700956299</v>
      </c>
      <c r="CA79" s="136">
        <f t="shared" si="67"/>
        <v>174.20249023621938</v>
      </c>
      <c r="CB79" s="189" t="str">
        <f t="shared" si="37"/>
        <v>4108.91898324823-417.578381454866j</v>
      </c>
      <c r="CC79" s="136" t="str">
        <f t="shared" si="38"/>
        <v>1539.95174757785-157.651488073365j</v>
      </c>
      <c r="CD79" s="136">
        <f t="shared" si="68"/>
        <v>63.795421621746812</v>
      </c>
      <c r="CE79" s="136">
        <f t="shared" si="69"/>
        <v>174.15474808471774</v>
      </c>
      <c r="CF79" s="136"/>
      <c r="CG79" s="136">
        <f t="shared" si="70"/>
        <v>-62.795421621746812</v>
      </c>
      <c r="CH79" s="136">
        <f t="shared" si="71"/>
        <v>-174.15474808471774</v>
      </c>
      <c r="CI79" s="77"/>
      <c r="CJ79" s="189"/>
      <c r="CK79" s="189"/>
      <c r="CL79" s="189"/>
      <c r="CM79" s="77"/>
      <c r="CN79" s="189">
        <v>208.92961308540299</v>
      </c>
      <c r="CO79" s="189">
        <v>49.614982966149903</v>
      </c>
      <c r="CP79" s="189">
        <v>94.769188319151098</v>
      </c>
      <c r="CQ79" s="74"/>
      <c r="CR79" s="75"/>
      <c r="CS79" s="75"/>
      <c r="CT79" s="75"/>
      <c r="CU79" s="74"/>
      <c r="CV79" s="75"/>
      <c r="CW79" s="75"/>
      <c r="CX79" s="75"/>
      <c r="CY79" s="74"/>
      <c r="CZ79" s="75"/>
      <c r="DA79" s="75"/>
      <c r="DB79" s="75"/>
      <c r="DC79" s="74"/>
      <c r="DD79" s="75"/>
      <c r="DE79" s="75"/>
      <c r="DF79" s="75"/>
      <c r="DG79" s="74"/>
      <c r="DH79" s="75"/>
      <c r="DI79" s="75"/>
      <c r="DJ79" s="75"/>
      <c r="DK79" s="74"/>
      <c r="DL79" s="75"/>
      <c r="DM79" s="75"/>
      <c r="DN79" s="75"/>
      <c r="DO79" s="76"/>
    </row>
    <row r="80" spans="1:119" x14ac:dyDescent="0.25">
      <c r="A80" s="136">
        <v>31</v>
      </c>
      <c r="B80" s="136">
        <f t="shared" si="0"/>
        <v>8.5113803820237646</v>
      </c>
      <c r="C80" s="136" t="str">
        <f t="shared" si="7"/>
        <v>53.4785801601483j</v>
      </c>
      <c r="D80" s="136">
        <f t="shared" si="1"/>
        <v>0.99999999818891006</v>
      </c>
      <c r="E80" s="136" t="str">
        <f t="shared" si="2"/>
        <v>-0.0000668482252001854j</v>
      </c>
      <c r="F80" s="136" t="str">
        <f t="shared" si="8"/>
        <v>0.99999999818891-0.0000668482252001854j</v>
      </c>
      <c r="G80" s="136">
        <f t="shared" si="9"/>
        <v>3.6763248865124201E-9</v>
      </c>
      <c r="H80" s="136">
        <f t="shared" si="10"/>
        <v>-3.8301211731421878E-3</v>
      </c>
      <c r="I80" s="136"/>
      <c r="J80" s="136">
        <f t="shared" si="3"/>
        <v>7.0726915520628681</v>
      </c>
      <c r="K80" s="136" t="str">
        <f t="shared" si="4"/>
        <v>1+0.00392529213136811j</v>
      </c>
      <c r="L80" s="136">
        <f t="shared" si="5"/>
        <v>0.99999915867414191</v>
      </c>
      <c r="M80" s="136" t="str">
        <f t="shared" si="6"/>
        <v>0.000287270122064667j</v>
      </c>
      <c r="N80" s="136" t="str">
        <f t="shared" si="11"/>
        <v>0.999999158674142+0.000287270122064667j</v>
      </c>
      <c r="O80" s="136" t="str">
        <f t="shared" si="12"/>
        <v>1.00000023748636+0.00129081903174019j</v>
      </c>
      <c r="P80" s="136" t="str">
        <f t="shared" si="13"/>
        <v>7.07269323173064+0.00912956486103081j</v>
      </c>
      <c r="Q80" s="136"/>
      <c r="R80" s="136">
        <f t="shared" si="14"/>
        <v>11.787819253438114</v>
      </c>
      <c r="S80" s="136" t="str">
        <f t="shared" si="15"/>
        <v>1+1.25234447434943E-06j</v>
      </c>
      <c r="T80" s="136" t="str">
        <f t="shared" si="16"/>
        <v>0.99999989408335+0.000101927285635308j</v>
      </c>
      <c r="U80" s="136" t="str">
        <f t="shared" si="39"/>
        <v>1.00000009565513-0.000100674961573981j</v>
      </c>
      <c r="V80" s="136" t="str">
        <f t="shared" si="40"/>
        <v>11.7878203810035-0.00118673825038092j</v>
      </c>
      <c r="W80" s="136"/>
      <c r="X80" s="136" t="str">
        <f t="shared" si="17"/>
        <v>1.6680109400213+0.0021135367305583j</v>
      </c>
      <c r="Y80" s="136">
        <f t="shared" si="41"/>
        <v>4.4439848673401396</v>
      </c>
      <c r="Z80" s="136">
        <f t="shared" si="42"/>
        <v>-179.92740055428129</v>
      </c>
      <c r="AA80" s="136"/>
      <c r="AB80" s="136" t="str">
        <f t="shared" si="18"/>
        <v>9.26672584865015-0.000932927179490203j</v>
      </c>
      <c r="AC80" s="136">
        <f t="shared" si="43"/>
        <v>19.338526340633685</v>
      </c>
      <c r="AD80" s="136">
        <f t="shared" si="44"/>
        <v>179.99423175017043</v>
      </c>
      <c r="AE80" s="136"/>
      <c r="AF80" s="136" t="str">
        <f t="shared" si="45"/>
        <v>3.47326885183459-0.00310111489755758j</v>
      </c>
      <c r="AG80" s="136">
        <f t="shared" si="46"/>
        <v>10.814771494303521</v>
      </c>
      <c r="AH80" s="136">
        <f t="shared" si="47"/>
        <v>179.94884336462852</v>
      </c>
      <c r="AI80" s="136"/>
      <c r="AJ80" s="136" t="str">
        <f t="shared" si="19"/>
        <v>99999.9963995257-18.9749155948347j</v>
      </c>
      <c r="AK80" s="136" t="str">
        <f t="shared" si="20"/>
        <v>19047.6190476148-0.0089496203760264j</v>
      </c>
      <c r="AL80" s="136" t="str">
        <f t="shared" si="21"/>
        <v>10000-1171136773.23372j</v>
      </c>
      <c r="AM80" s="136" t="str">
        <f t="shared" si="22"/>
        <v>963.139120061719-363456239.974756j</v>
      </c>
      <c r="AN80" s="136" t="str">
        <f t="shared" si="48"/>
        <v>10963.1391200617-363456239.974756j</v>
      </c>
      <c r="AO80" s="136" t="str">
        <f t="shared" si="49"/>
        <v>19047.6189642526-1.00717650154742j</v>
      </c>
      <c r="AP80" s="136" t="str">
        <f t="shared" si="50"/>
        <v>0.160000000782368+0.0000254391389322262j</v>
      </c>
      <c r="AQ80" s="136" t="str">
        <f t="shared" si="23"/>
        <v>1+0.000303598660448347j</v>
      </c>
      <c r="AR80" s="136" t="str">
        <f t="shared" si="24"/>
        <v>1+6.05985350196302E-07j</v>
      </c>
      <c r="AS80" s="136" t="str">
        <f t="shared" si="25"/>
        <v>9.50643305528887E-10j</v>
      </c>
      <c r="AT80" s="136" t="str">
        <f t="shared" si="51"/>
        <v>-5.76075916412693E-16+9.50643305528887E-10j</v>
      </c>
      <c r="AU80" s="179" t="str">
        <f t="shared" si="52"/>
        <v>318723.829785422-1051919257.58869j</v>
      </c>
      <c r="AV80" s="136" t="str">
        <f t="shared" si="26"/>
        <v>7999.99999810831-0.123018177184581j</v>
      </c>
      <c r="AW80" s="136"/>
      <c r="AX80" s="136" t="str">
        <f t="shared" si="27"/>
        <v>0.499999999881769-7.68863607403631E-06j</v>
      </c>
      <c r="AY80" s="136"/>
      <c r="AZ80" s="136" t="str">
        <f t="shared" si="28"/>
        <v>4.89239941757505-10519.1921065364j</v>
      </c>
      <c r="BA80" s="136" t="str">
        <f t="shared" si="29"/>
        <v>2.36532146830906-5259.59608964038j</v>
      </c>
      <c r="BB80" s="136">
        <f t="shared" si="53"/>
        <v>74.41904875465724</v>
      </c>
      <c r="BC80" s="136">
        <f t="shared" si="54"/>
        <v>90.025766793852569</v>
      </c>
      <c r="BD80" s="136" t="str">
        <f t="shared" si="30"/>
        <v>17.0119654455808-48739.2372440024j</v>
      </c>
      <c r="BE80" s="136">
        <f t="shared" si="55"/>
        <v>93.757575095290917</v>
      </c>
      <c r="BF80" s="136">
        <f t="shared" si="56"/>
        <v>90.019998544022997</v>
      </c>
      <c r="BG80" s="136"/>
      <c r="BH80" s="136" t="str">
        <f t="shared" si="31"/>
        <v>-8.09521440826586-18267.9986065126j</v>
      </c>
      <c r="BI80" s="136">
        <f t="shared" si="57"/>
        <v>85.233820248960768</v>
      </c>
      <c r="BJ80" s="136">
        <f t="shared" si="58"/>
        <v>89.974610158481099</v>
      </c>
      <c r="BK80" s="136"/>
      <c r="BL80" s="136">
        <f t="shared" si="59"/>
        <v>-84.233820248960768</v>
      </c>
      <c r="BM80" s="136">
        <f t="shared" si="60"/>
        <v>-89.974610158481099</v>
      </c>
      <c r="BN80" s="136"/>
      <c r="BO80" s="189"/>
      <c r="BP80" s="189" t="str">
        <f t="shared" si="32"/>
        <v>0.00001+1.89749162780217E-09j</v>
      </c>
      <c r="BQ80" s="189" t="str">
        <f t="shared" si="33"/>
        <v>2.88037931657272E-13+9.48745726453155E-10j</v>
      </c>
      <c r="BR80" s="189" t="str">
        <f t="shared" si="34"/>
        <v>-0.000357149497888002-0.0000237271144336822j</v>
      </c>
      <c r="BS80" s="189" t="str">
        <f t="shared" si="35"/>
        <v>0.0000625000002880379+2.84623735425533E-09j</v>
      </c>
      <c r="BT80" s="189" t="str">
        <f t="shared" si="61"/>
        <v>-2.23217761878733E-08-1.48396119118139E-09j</v>
      </c>
      <c r="BU80" s="189" t="str">
        <f t="shared" si="62"/>
        <v>-2.88037931657272E-13-9.48745726453155E-10j</v>
      </c>
      <c r="BV80" s="189" t="str">
        <f t="shared" si="63"/>
        <v>-2.2322064225805E-08-2.43270691763454E-09j</v>
      </c>
      <c r="BW80" s="189" t="str">
        <f t="shared" si="36"/>
        <v>0.99999999999088-3.01995186801736E-06j</v>
      </c>
      <c r="BX80" s="189" t="str">
        <f t="shared" si="64"/>
        <v>-0.00001-1.89749162780217E-09j</v>
      </c>
      <c r="BY80" s="189" t="str">
        <f t="shared" si="65"/>
        <v>442.737911366008-48.1668844195469j</v>
      </c>
      <c r="BZ80" s="136">
        <f t="shared" si="66"/>
        <v>52.974035360828353</v>
      </c>
      <c r="CA80" s="136">
        <f t="shared" si="67"/>
        <v>173.79102702506378</v>
      </c>
      <c r="CB80" s="189" t="str">
        <f t="shared" si="37"/>
        <v>4102.68591123714-446.762355130464j</v>
      </c>
      <c r="CC80" s="136" t="str">
        <f t="shared" si="38"/>
        <v>1537.59842603102-168.66952047698j</v>
      </c>
      <c r="CD80" s="136">
        <f t="shared" si="68"/>
        <v>63.788806855131881</v>
      </c>
      <c r="CE80" s="136">
        <f t="shared" si="69"/>
        <v>173.73987038969233</v>
      </c>
      <c r="CF80" s="136"/>
      <c r="CG80" s="136">
        <f t="shared" si="70"/>
        <v>-62.788806855131881</v>
      </c>
      <c r="CH80" s="136">
        <f t="shared" si="71"/>
        <v>-173.73987038969233</v>
      </c>
      <c r="CI80" s="77"/>
      <c r="CJ80" s="189"/>
      <c r="CK80" s="189"/>
      <c r="CL80" s="189"/>
      <c r="CM80" s="77"/>
      <c r="CN80" s="189">
        <v>218.77616239495501</v>
      </c>
      <c r="CO80" s="189">
        <v>49.218657517317297</v>
      </c>
      <c r="CP80" s="189">
        <v>94.418319036397193</v>
      </c>
      <c r="CQ80" s="74"/>
      <c r="CR80" s="75"/>
      <c r="CS80" s="75"/>
      <c r="CT80" s="75"/>
      <c r="CU80" s="74"/>
      <c r="CV80" s="75"/>
      <c r="CW80" s="75"/>
      <c r="CX80" s="75"/>
      <c r="CY80" s="74"/>
      <c r="CZ80" s="75"/>
      <c r="DA80" s="75"/>
      <c r="DB80" s="75"/>
      <c r="DC80" s="74"/>
      <c r="DD80" s="75"/>
      <c r="DE80" s="75"/>
      <c r="DF80" s="75"/>
      <c r="DG80" s="74"/>
      <c r="DH80" s="75"/>
      <c r="DI80" s="75"/>
      <c r="DJ80" s="75"/>
      <c r="DK80" s="74"/>
      <c r="DL80" s="75"/>
      <c r="DM80" s="75"/>
      <c r="DN80" s="75"/>
      <c r="DO80" s="76"/>
    </row>
    <row r="81" spans="1:119" x14ac:dyDescent="0.25">
      <c r="A81" s="136">
        <v>32</v>
      </c>
      <c r="B81" s="136">
        <f t="shared" si="0"/>
        <v>9.1201083935590983</v>
      </c>
      <c r="C81" s="136" t="str">
        <f t="shared" si="7"/>
        <v>57.3033310582957j</v>
      </c>
      <c r="D81" s="136">
        <f t="shared" si="1"/>
        <v>0.99999999792059058</v>
      </c>
      <c r="E81" s="136" t="str">
        <f t="shared" si="2"/>
        <v>-0.0000716291638228696j</v>
      </c>
      <c r="F81" s="136" t="str">
        <f t="shared" si="8"/>
        <v>0.999999997920591-0.0000716291638228696j</v>
      </c>
      <c r="G81" s="136">
        <f t="shared" si="9"/>
        <v>4.2209905399586408E-9</v>
      </c>
      <c r="H81" s="136">
        <f t="shared" si="10"/>
        <v>-4.1040487786166537E-3</v>
      </c>
      <c r="I81" s="136"/>
      <c r="J81" s="136">
        <f t="shared" si="3"/>
        <v>7.0726915520628681</v>
      </c>
      <c r="K81" s="136" t="str">
        <f t="shared" si="4"/>
        <v>1+0.0042060262974582j</v>
      </c>
      <c r="L81" s="136">
        <f t="shared" si="5"/>
        <v>0.99999903402866908</v>
      </c>
      <c r="M81" s="136" t="str">
        <f t="shared" si="6"/>
        <v>0.000307815481610254j</v>
      </c>
      <c r="N81" s="136" t="str">
        <f t="shared" si="11"/>
        <v>0.999999034028669+0.000307815481610254j</v>
      </c>
      <c r="O81" s="136" t="str">
        <f t="shared" si="12"/>
        <v>1.00000027267083+0.00138313752993908j</v>
      </c>
      <c r="P81" s="136" t="str">
        <f t="shared" si="13"/>
        <v>7.07269348057954+0.00978250512334123j</v>
      </c>
      <c r="Q81" s="136"/>
      <c r="R81" s="136">
        <f t="shared" si="14"/>
        <v>11.787819253438114</v>
      </c>
      <c r="S81" s="136" t="str">
        <f t="shared" si="15"/>
        <v>1+1.34191128107306E-06j</v>
      </c>
      <c r="T81" s="136" t="str">
        <f t="shared" si="16"/>
        <v>0.999999878391414+0.0001092170542887j</v>
      </c>
      <c r="U81" s="136" t="str">
        <f t="shared" si="39"/>
        <v>1.00000010982679-0.000107875168121132j</v>
      </c>
      <c r="V81" s="136" t="str">
        <f t="shared" si="40"/>
        <v>11.7878205480565-0.00127161298374615j</v>
      </c>
      <c r="W81" s="136"/>
      <c r="X81" s="136" t="str">
        <f t="shared" si="17"/>
        <v>1.66801100621902+0.00226469543734543j</v>
      </c>
      <c r="Y81" s="136">
        <f t="shared" si="41"/>
        <v>4.4439862450945231</v>
      </c>
      <c r="Z81" s="136">
        <f t="shared" si="42"/>
        <v>-179.92220830064869</v>
      </c>
      <c r="AA81" s="136"/>
      <c r="AB81" s="136" t="str">
        <f t="shared" si="18"/>
        <v>9.26672597997505-0.000999649513233968j</v>
      </c>
      <c r="AC81" s="136">
        <f t="shared" si="43"/>
        <v>19.338526470248546</v>
      </c>
      <c r="AD81" s="136">
        <f t="shared" si="44"/>
        <v>179.9938192088552</v>
      </c>
      <c r="AE81" s="136"/>
      <c r="AF81" s="136" t="str">
        <f t="shared" si="45"/>
        <v>3.47326845092054-0.00332290410573432j</v>
      </c>
      <c r="AG81" s="136">
        <f t="shared" si="46"/>
        <v>10.814771004631165</v>
      </c>
      <c r="AH81" s="136">
        <f t="shared" si="47"/>
        <v>179.94518467962132</v>
      </c>
      <c r="AI81" s="136"/>
      <c r="AJ81" s="136" t="str">
        <f t="shared" si="19"/>
        <v>99999.9958661024-20.3319882666639j</v>
      </c>
      <c r="AK81" s="136" t="str">
        <f t="shared" si="20"/>
        <v>19047.6190476142-0.0095896910074598j</v>
      </c>
      <c r="AL81" s="136" t="str">
        <f t="shared" si="21"/>
        <v>10000-1092968430.44188j</v>
      </c>
      <c r="AM81" s="136" t="str">
        <f t="shared" si="22"/>
        <v>963.139120056776-339197099.108729j</v>
      </c>
      <c r="AN81" s="136" t="str">
        <f t="shared" si="48"/>
        <v>10963.1391200568-339197099.108729j</v>
      </c>
      <c r="AO81" s="136" t="str">
        <f t="shared" si="49"/>
        <v>19047.6189519017-1.07920906409054j</v>
      </c>
      <c r="AP81" s="136" t="str">
        <f t="shared" si="50"/>
        <v>0.160000000898279+0.0000272585284706823j</v>
      </c>
      <c r="AQ81" s="136" t="str">
        <f t="shared" si="23"/>
        <v>1+0.00032531182571468j</v>
      </c>
      <c r="AR81" s="136" t="str">
        <f t="shared" si="24"/>
        <v>1+6.49325001426507E-07j</v>
      </c>
      <c r="AS81" s="136" t="str">
        <f t="shared" si="25"/>
        <v>1.01863265426909E-09j</v>
      </c>
      <c r="AT81" s="136" t="str">
        <f t="shared" si="51"/>
        <v>-6.61423649686363E-16+1.01863265426909E-09j</v>
      </c>
      <c r="AU81" s="179" t="str">
        <f t="shared" si="52"/>
        <v>318723.829785405-981708171.262536j</v>
      </c>
      <c r="AV81" s="136" t="str">
        <f t="shared" si="26"/>
        <v>7999.99999782806-0.131816351743801j</v>
      </c>
      <c r="AW81" s="136"/>
      <c r="AX81" s="136" t="str">
        <f t="shared" si="27"/>
        <v>0.499999999864254-8.23852198398756E-06j</v>
      </c>
      <c r="AY81" s="136"/>
      <c r="AZ81" s="136" t="str">
        <f t="shared" si="28"/>
        <v>4.89239941955454-9817.08120970728j</v>
      </c>
      <c r="BA81" s="136" t="str">
        <f t="shared" si="29"/>
        <v>2.36532146974838-4908.54064382715j</v>
      </c>
      <c r="BB81" s="136">
        <f t="shared" si="53"/>
        <v>73.819048836503967</v>
      </c>
      <c r="BC81" s="136">
        <f t="shared" si="54"/>
        <v>90.027609616941632</v>
      </c>
      <c r="BD81" s="136" t="str">
        <f t="shared" si="30"/>
        <v>17.0119656494191-45486.103472409j</v>
      </c>
      <c r="BE81" s="136">
        <f t="shared" si="55"/>
        <v>93.157575306752534</v>
      </c>
      <c r="BF81" s="136">
        <f t="shared" si="56"/>
        <v>90.021428825796804</v>
      </c>
      <c r="BG81" s="136"/>
      <c r="BH81" s="136" t="str">
        <f t="shared" si="31"/>
        <v>-8.095213421375-17048.6872180025j</v>
      </c>
      <c r="BI81" s="136">
        <f t="shared" si="57"/>
        <v>84.633819841135136</v>
      </c>
      <c r="BJ81" s="136">
        <f t="shared" si="58"/>
        <v>89.972794296562938</v>
      </c>
      <c r="BK81" s="136"/>
      <c r="BL81" s="136">
        <f t="shared" si="59"/>
        <v>-83.633819841135136</v>
      </c>
      <c r="BM81" s="136">
        <f t="shared" si="60"/>
        <v>-89.972794296562938</v>
      </c>
      <c r="BN81" s="136"/>
      <c r="BO81" s="189"/>
      <c r="BP81" s="189" t="str">
        <f t="shared" si="32"/>
        <v>0.00001+2.03319891071675E-09j</v>
      </c>
      <c r="BQ81" s="189" t="str">
        <f t="shared" si="33"/>
        <v>3.30711789844688E-13+1.01659934777392E-09j</v>
      </c>
      <c r="BR81" s="189" t="str">
        <f t="shared" si="34"/>
        <v>-0.000357150481738357-0.0000254240608782187j</v>
      </c>
      <c r="BS81" s="189" t="str">
        <f t="shared" si="35"/>
        <v>0.0000625000003307118+3.04979825849067E-09j</v>
      </c>
      <c r="BT81" s="189" t="str">
        <f t="shared" si="61"/>
        <v>-2.23218276885046E-08-1.59009305021393E-09j</v>
      </c>
      <c r="BU81" s="189" t="str">
        <f t="shared" si="62"/>
        <v>-3.30711789844688E-13-1.01659934777392E-09j</v>
      </c>
      <c r="BV81" s="189" t="str">
        <f t="shared" si="63"/>
        <v>-2.23221584002944E-08-2.60669239798785E-09j</v>
      </c>
      <c r="BW81" s="189" t="str">
        <f t="shared" si="36"/>
        <v>0.999999999989529-3.23593672746459E-06j</v>
      </c>
      <c r="BX81" s="189" t="str">
        <f t="shared" si="64"/>
        <v>-0.00001-2.03319891071675E-09j</v>
      </c>
      <c r="BY81" s="189" t="str">
        <f t="shared" si="65"/>
        <v>441.968852302849-51.5217205826594j</v>
      </c>
      <c r="BZ81" s="136">
        <f t="shared" si="66"/>
        <v>52.966453484675959</v>
      </c>
      <c r="CA81" s="136">
        <f t="shared" si="67"/>
        <v>173.35085870633708</v>
      </c>
      <c r="CB81" s="189" t="str">
        <f t="shared" si="37"/>
        <v>4095.55274231167-477.879480604414j</v>
      </c>
      <c r="CC81" s="136" t="str">
        <f t="shared" si="38"/>
        <v>1534.90526925619-180.417386750818j</v>
      </c>
      <c r="CD81" s="136">
        <f t="shared" si="68"/>
        <v>63.781224489307149</v>
      </c>
      <c r="CE81" s="136">
        <f t="shared" si="69"/>
        <v>173.29604338595843</v>
      </c>
      <c r="CF81" s="136"/>
      <c r="CG81" s="136">
        <f t="shared" si="70"/>
        <v>-62.781224489307149</v>
      </c>
      <c r="CH81" s="136">
        <f t="shared" si="71"/>
        <v>-173.29604338595843</v>
      </c>
      <c r="CI81" s="77"/>
      <c r="CJ81" s="189"/>
      <c r="CK81" s="189"/>
      <c r="CL81" s="189"/>
      <c r="CM81" s="77"/>
      <c r="CN81" s="189">
        <v>229.08676527677699</v>
      </c>
      <c r="CO81" s="189">
        <v>48.821849021987802</v>
      </c>
      <c r="CP81" s="189">
        <v>94.0764993414316</v>
      </c>
      <c r="CQ81" s="74"/>
      <c r="CR81" s="75"/>
      <c r="CS81" s="75"/>
      <c r="CT81" s="75"/>
      <c r="CU81" s="74"/>
      <c r="CV81" s="75"/>
      <c r="CW81" s="75"/>
      <c r="CX81" s="75"/>
      <c r="CY81" s="74"/>
      <c r="CZ81" s="75"/>
      <c r="DA81" s="75"/>
      <c r="DB81" s="75"/>
      <c r="DC81" s="74"/>
      <c r="DD81" s="75"/>
      <c r="DE81" s="75"/>
      <c r="DF81" s="75"/>
      <c r="DG81" s="74"/>
      <c r="DH81" s="75"/>
      <c r="DI81" s="75"/>
      <c r="DJ81" s="75"/>
      <c r="DK81" s="74"/>
      <c r="DL81" s="75"/>
      <c r="DM81" s="75"/>
      <c r="DN81" s="75"/>
      <c r="DO81" s="76"/>
    </row>
    <row r="82" spans="1:119" x14ac:dyDescent="0.25">
      <c r="A82" s="136">
        <v>33</v>
      </c>
      <c r="B82" s="136">
        <f t="shared" si="0"/>
        <v>9.7723722095581103</v>
      </c>
      <c r="C82" s="136" t="str">
        <f t="shared" si="7"/>
        <v>61.4016254833856j</v>
      </c>
      <c r="D82" s="136">
        <f t="shared" si="1"/>
        <v>0.99999999761251857</v>
      </c>
      <c r="E82" s="136" t="str">
        <f t="shared" si="2"/>
        <v>-0.000076752031854232j</v>
      </c>
      <c r="F82" s="136" t="str">
        <f t="shared" si="8"/>
        <v>0.999999997612519-0.000076752031854232j</v>
      </c>
      <c r="G82" s="136">
        <f t="shared" si="9"/>
        <v>4.8463453297624399E-9</v>
      </c>
      <c r="H82" s="136">
        <f t="shared" si="10"/>
        <v>-4.3975674961650836E-3</v>
      </c>
      <c r="I82" s="136"/>
      <c r="J82" s="136">
        <f t="shared" si="3"/>
        <v>7.0726915520628681</v>
      </c>
      <c r="K82" s="136" t="str">
        <f t="shared" si="4"/>
        <v>1+0.00450683837606351j</v>
      </c>
      <c r="L82" s="136">
        <f t="shared" si="5"/>
        <v>0.99999889091651817</v>
      </c>
      <c r="M82" s="136" t="str">
        <f t="shared" si="6"/>
        <v>0.000329830230996399j</v>
      </c>
      <c r="N82" s="136" t="str">
        <f t="shared" si="11"/>
        <v>0.999998890916518+0.000329830230996399j</v>
      </c>
      <c r="O82" s="136" t="str">
        <f t="shared" si="12"/>
        <v>1.000000313068+0.00148205858710267j</v>
      </c>
      <c r="P82" s="136" t="str">
        <f t="shared" si="13"/>
        <v>7.07269376629627+0.0104821432486633j</v>
      </c>
      <c r="Q82" s="136"/>
      <c r="R82" s="136">
        <f t="shared" si="14"/>
        <v>11.787819253438114</v>
      </c>
      <c r="S82" s="136" t="str">
        <f t="shared" si="15"/>
        <v>1+1.43788384358591E-06j</v>
      </c>
      <c r="T82" s="136" t="str">
        <f t="shared" si="16"/>
        <v>0.999999860374662+0.000117028182131525j</v>
      </c>
      <c r="U82" s="136" t="str">
        <f t="shared" si="39"/>
        <v>1.00000012609803-0.000115590329184301j</v>
      </c>
      <c r="V82" s="136" t="str">
        <f t="shared" si="40"/>
        <v>11.7878207398589-0.00136255790786995j</v>
      </c>
      <c r="W82" s="136"/>
      <c r="X82" s="136" t="str">
        <f t="shared" si="17"/>
        <v>1.66801108222417+0.0024266649163216j</v>
      </c>
      <c r="Y82" s="136">
        <f t="shared" si="41"/>
        <v>4.4439878269677351</v>
      </c>
      <c r="Z82" s="136">
        <f t="shared" si="42"/>
        <v>-179.91664470255162</v>
      </c>
      <c r="AA82" s="136"/>
      <c r="AB82" s="136" t="str">
        <f t="shared" si="18"/>
        <v>9.26672613075613-0.00107114378884574j</v>
      </c>
      <c r="AC82" s="136">
        <f t="shared" si="43"/>
        <v>19.338526619066251</v>
      </c>
      <c r="AD82" s="136">
        <f t="shared" si="44"/>
        <v>179.99337716284984</v>
      </c>
      <c r="AE82" s="136"/>
      <c r="AF82" s="136" t="str">
        <f t="shared" si="45"/>
        <v>3.4732679906097-0.003560555437694j</v>
      </c>
      <c r="AG82" s="136">
        <f t="shared" si="46"/>
        <v>10.81477044241206</v>
      </c>
      <c r="AH82" s="136">
        <f t="shared" si="47"/>
        <v>179.94126432846778</v>
      </c>
      <c r="AI82" s="136"/>
      <c r="AJ82" s="136" t="str">
        <f t="shared" si="19"/>
        <v>99999.9952536505-21.7861178081654j</v>
      </c>
      <c r="AK82" s="136" t="str">
        <f t="shared" si="20"/>
        <v>19047.6190476135-0.0102755390457562j</v>
      </c>
      <c r="AL82" s="136" t="str">
        <f t="shared" si="21"/>
        <v>10000-1020017488.34522j</v>
      </c>
      <c r="AM82" s="136" t="str">
        <f t="shared" si="22"/>
        <v>963.139120051094-316557151.561925j</v>
      </c>
      <c r="AN82" s="136" t="str">
        <f t="shared" si="48"/>
        <v>10963.1391200511-316557151.561925j</v>
      </c>
      <c r="AO82" s="136" t="str">
        <f t="shared" si="49"/>
        <v>19047.6189377208-1.15639334520813j</v>
      </c>
      <c r="AP82" s="136" t="str">
        <f t="shared" si="50"/>
        <v>0.160000001031363+0.000029208039484006j</v>
      </c>
      <c r="AQ82" s="136" t="str">
        <f t="shared" si="23"/>
        <v>1+0.000348577901475371j</v>
      </c>
      <c r="AR82" s="136" t="str">
        <f t="shared" si="24"/>
        <v>1+6.95764274401939E-07j</v>
      </c>
      <c r="AS82" s="136" t="str">
        <f t="shared" si="25"/>
        <v>1.09148455399476E-09j</v>
      </c>
      <c r="AT82" s="136" t="str">
        <f t="shared" si="51"/>
        <v>-7.59415958731088E-16+1.09148455399476E-09j</v>
      </c>
      <c r="AU82" s="179" t="str">
        <f t="shared" si="52"/>
        <v>318723.829785383-916183372.986921j</v>
      </c>
      <c r="AV82" s="136" t="str">
        <f t="shared" si="26"/>
        <v>7999.99999750627-0.141243765633792j</v>
      </c>
      <c r="AW82" s="136"/>
      <c r="AX82" s="136" t="str">
        <f t="shared" si="27"/>
        <v>0.499999999844142-0.000008827735352112j</v>
      </c>
      <c r="AY82" s="136"/>
      <c r="AZ82" s="136" t="str">
        <f t="shared" si="28"/>
        <v>4.89239942182726-9161.83319098278j</v>
      </c>
      <c r="BA82" s="136" t="str">
        <f t="shared" si="29"/>
        <v>2.36532147140092-4580.91663725225j</v>
      </c>
      <c r="BB82" s="136">
        <f t="shared" si="53"/>
        <v>73.21904893047639</v>
      </c>
      <c r="BC82" s="136">
        <f t="shared" si="54"/>
        <v>90.029584237433383</v>
      </c>
      <c r="BD82" s="136" t="str">
        <f t="shared" si="30"/>
        <v>17.0119658834566-42450.1024388403j</v>
      </c>
      <c r="BE82" s="136">
        <f t="shared" si="55"/>
        <v>92.557575549542634</v>
      </c>
      <c r="BF82" s="136">
        <f t="shared" si="56"/>
        <v>90.022961400283222</v>
      </c>
      <c r="BG82" s="136"/>
      <c r="BH82" s="136" t="str">
        <f t="shared" si="31"/>
        <v>-8.09521228827275-15910.7595456779j</v>
      </c>
      <c r="BI82" s="136">
        <f t="shared" si="57"/>
        <v>84.033819372888431</v>
      </c>
      <c r="BJ82" s="136">
        <f t="shared" si="58"/>
        <v>89.970848565901179</v>
      </c>
      <c r="BK82" s="136"/>
      <c r="BL82" s="136">
        <f t="shared" si="59"/>
        <v>-83.033819372888431</v>
      </c>
      <c r="BM82" s="136">
        <f t="shared" si="60"/>
        <v>-89.970848565901179</v>
      </c>
      <c r="BN82" s="136"/>
      <c r="BO82" s="189"/>
      <c r="BP82" s="189" t="str">
        <f t="shared" si="32"/>
        <v>0.00001+2.17861188422107E-09j</v>
      </c>
      <c r="BQ82" s="189" t="str">
        <f t="shared" si="33"/>
        <v>3.79707933228542E-13+1.08930580975275E-09j</v>
      </c>
      <c r="BR82" s="189" t="str">
        <f t="shared" si="34"/>
        <v>-0.000357151611349676-0.0000272423716855525j</v>
      </c>
      <c r="BS82" s="189" t="str">
        <f t="shared" si="35"/>
        <v>0.0000625000003797079+3.26791769397382E-09j</v>
      </c>
      <c r="BT82" s="189" t="str">
        <f t="shared" si="61"/>
        <v>-2.23218868191396E-08-1.70381538276134E-09j</v>
      </c>
      <c r="BU82" s="189" t="str">
        <f t="shared" si="62"/>
        <v>-3.79707933228542E-13-1.08930580975275E-09j</v>
      </c>
      <c r="BV82" s="189" t="str">
        <f t="shared" si="63"/>
        <v>-2.23222665270728E-08-2.79312119251409E-09j</v>
      </c>
      <c r="BW82" s="189" t="str">
        <f t="shared" si="36"/>
        <v>0.999999999987977-3.46736867400033E-06j</v>
      </c>
      <c r="BX82" s="189" t="str">
        <f t="shared" si="64"/>
        <v>-0.00001-2.17861188422107E-09j</v>
      </c>
      <c r="BY82" s="189" t="str">
        <f t="shared" si="65"/>
        <v>441.089156328489-55.0961763062993j</v>
      </c>
      <c r="BZ82" s="136">
        <f t="shared" si="66"/>
        <v>52.95776461834879</v>
      </c>
      <c r="CA82" s="136">
        <f t="shared" si="67"/>
        <v>172.88009555496933</v>
      </c>
      <c r="CB82" s="189" t="str">
        <f t="shared" si="37"/>
        <v>4087.39339501534-511.033646592459j</v>
      </c>
      <c r="CC82" s="136" t="str">
        <f t="shared" si="38"/>
        <v>1531.82467469064-192.934307963731j</v>
      </c>
      <c r="CD82" s="136">
        <f t="shared" si="68"/>
        <v>63.772535060760873</v>
      </c>
      <c r="CE82" s="136">
        <f t="shared" si="69"/>
        <v>172.82135988343714</v>
      </c>
      <c r="CF82" s="136"/>
      <c r="CG82" s="136">
        <f t="shared" si="70"/>
        <v>-62.772535060760873</v>
      </c>
      <c r="CH82" s="136">
        <f t="shared" si="71"/>
        <v>-172.82135988343714</v>
      </c>
      <c r="CI82" s="77"/>
      <c r="CJ82" s="189"/>
      <c r="CK82" s="189"/>
      <c r="CL82" s="189"/>
      <c r="CM82" s="77"/>
      <c r="CN82" s="189">
        <v>239.88329190194901</v>
      </c>
      <c r="CO82" s="189">
        <v>48.424583561029202</v>
      </c>
      <c r="CP82" s="189">
        <v>93.7430577545326</v>
      </c>
      <c r="CQ82" s="74"/>
      <c r="CR82" s="75"/>
      <c r="CS82" s="75"/>
      <c r="CT82" s="75"/>
      <c r="CU82" s="74"/>
      <c r="CV82" s="75"/>
      <c r="CW82" s="75"/>
      <c r="CX82" s="75"/>
      <c r="CY82" s="74"/>
      <c r="CZ82" s="75"/>
      <c r="DA82" s="75"/>
      <c r="DB82" s="75"/>
      <c r="DC82" s="74"/>
      <c r="DD82" s="75"/>
      <c r="DE82" s="75"/>
      <c r="DF82" s="75"/>
      <c r="DG82" s="74"/>
      <c r="DH82" s="75"/>
      <c r="DI82" s="75"/>
      <c r="DJ82" s="75"/>
      <c r="DK82" s="74"/>
      <c r="DL82" s="75"/>
      <c r="DM82" s="75"/>
      <c r="DN82" s="75"/>
      <c r="DO82" s="76"/>
    </row>
    <row r="83" spans="1:119" x14ac:dyDescent="0.25">
      <c r="A83" s="136">
        <v>34</v>
      </c>
      <c r="B83" s="136">
        <f t="shared" si="0"/>
        <v>10.471285480509</v>
      </c>
      <c r="C83" s="136" t="str">
        <f t="shared" si="7"/>
        <v>65.7930270784171j</v>
      </c>
      <c r="D83" s="136">
        <f t="shared" si="1"/>
        <v>0.99999999725880451</v>
      </c>
      <c r="E83" s="136" t="str">
        <f t="shared" si="2"/>
        <v>-0.0000822412838480214j</v>
      </c>
      <c r="F83" s="136" t="str">
        <f t="shared" si="8"/>
        <v>0.999999997258805-0.0000822412838480214j</v>
      </c>
      <c r="G83" s="136">
        <f t="shared" si="9"/>
        <v>5.5643488451389314E-9</v>
      </c>
      <c r="H83" s="136">
        <f t="shared" si="10"/>
        <v>-4.7120784685221956E-3</v>
      </c>
      <c r="I83" s="136"/>
      <c r="J83" s="136">
        <f t="shared" si="3"/>
        <v>7.0726915520628681</v>
      </c>
      <c r="K83" s="136" t="str">
        <f t="shared" si="4"/>
        <v>1+0.00482916432553776j</v>
      </c>
      <c r="L83" s="136">
        <f t="shared" si="5"/>
        <v>0.99999872660178379</v>
      </c>
      <c r="M83" s="136" t="str">
        <f t="shared" si="6"/>
        <v>0.000353419459963621j</v>
      </c>
      <c r="N83" s="136" t="str">
        <f t="shared" si="11"/>
        <v>0.999998726601784+0.000353419459963621j</v>
      </c>
      <c r="O83" s="136" t="str">
        <f t="shared" si="12"/>
        <v>1.00000035945017+0.00158805441460795j</v>
      </c>
      <c r="P83" s="136" t="str">
        <f t="shared" si="13"/>
        <v>7.07269409434305+0.0112318190424138j</v>
      </c>
      <c r="Q83" s="136"/>
      <c r="R83" s="136">
        <f t="shared" si="14"/>
        <v>11.787819253438114</v>
      </c>
      <c r="S83" s="136" t="str">
        <f t="shared" si="15"/>
        <v>1+1.54072029709155E-06j</v>
      </c>
      <c r="T83" s="136" t="str">
        <f t="shared" si="16"/>
        <v>0.999999839688663+0.000125397956410792j</v>
      </c>
      <c r="U83" s="136" t="str">
        <f t="shared" si="39"/>
        <v>1.00000014477991-0.000123857274124531j</v>
      </c>
      <c r="V83" s="136" t="str">
        <f t="shared" si="40"/>
        <v>11.7878209600775-0.00146000716060351j</v>
      </c>
      <c r="W83" s="136"/>
      <c r="X83" s="136" t="str">
        <f t="shared" si="17"/>
        <v>1.66801116948977+0.00260021834789932j</v>
      </c>
      <c r="Y83" s="136">
        <f t="shared" si="41"/>
        <v>4.4439896432006503</v>
      </c>
      <c r="Z83" s="136">
        <f t="shared" si="42"/>
        <v>-179.91068320213137</v>
      </c>
      <c r="AA83" s="136"/>
      <c r="AB83" s="136" t="str">
        <f t="shared" si="18"/>
        <v>9.26672630387595-0.00114775129388484j</v>
      </c>
      <c r="AC83" s="136">
        <f t="shared" si="43"/>
        <v>19.338526789931812</v>
      </c>
      <c r="AD83" s="136">
        <f t="shared" si="44"/>
        <v>179.99290350199439</v>
      </c>
      <c r="AE83" s="136"/>
      <c r="AF83" s="136" t="str">
        <f t="shared" si="45"/>
        <v>3.47326746210228-0.00381520332163809j</v>
      </c>
      <c r="AG83" s="136">
        <f t="shared" si="46"/>
        <v>10.814769796898227</v>
      </c>
      <c r="AH83" s="136">
        <f t="shared" si="47"/>
        <v>179.9370635970937</v>
      </c>
      <c r="AI83" s="136"/>
      <c r="AJ83" s="136" t="str">
        <f t="shared" si="19"/>
        <v>99999.9945504616-23.3442456534759j</v>
      </c>
      <c r="AK83" s="136" t="str">
        <f t="shared" si="20"/>
        <v>19047.6190476127-0.0110104384592502j</v>
      </c>
      <c r="AL83" s="136" t="str">
        <f t="shared" si="21"/>
        <v>10000-951935707.88632j</v>
      </c>
      <c r="AM83" s="136" t="str">
        <f t="shared" si="22"/>
        <v>963.139120044572-295428323.144111j</v>
      </c>
      <c r="AN83" s="136" t="str">
        <f t="shared" si="48"/>
        <v>10963.1391200446-295428323.144111j</v>
      </c>
      <c r="AO83" s="136" t="str">
        <f t="shared" si="49"/>
        <v>19047.6189214391-1.23909779217512j</v>
      </c>
      <c r="AP83" s="136" t="str">
        <f t="shared" si="50"/>
        <v>0.160000001184164+0.0000312969781694735j</v>
      </c>
      <c r="AQ83" s="136" t="str">
        <f t="shared" si="23"/>
        <v>1+0.000373507950810074j</v>
      </c>
      <c r="AR83" s="136" t="str">
        <f t="shared" si="24"/>
        <v>1+7.45524851916315E-07j</v>
      </c>
      <c r="AS83" s="136" t="str">
        <f t="shared" si="25"/>
        <v>1.16954677097404E-09j</v>
      </c>
      <c r="AT83" s="136" t="str">
        <f t="shared" si="51"/>
        <v>-8.71926183239625E-16+1.16954677097404E-09j</v>
      </c>
      <c r="AU83" s="179" t="str">
        <f t="shared" si="52"/>
        <v>318723.829785363-855032073.189402j</v>
      </c>
      <c r="AV83" s="136" t="str">
        <f t="shared" si="26"/>
        <v>7999.99999713682-0.151345421614076j</v>
      </c>
      <c r="AW83" s="136"/>
      <c r="AX83" s="136" t="str">
        <f t="shared" si="27"/>
        <v>0.499999999821051-9.45908885087975E-06j</v>
      </c>
      <c r="AY83" s="136"/>
      <c r="AZ83" s="136" t="str">
        <f t="shared" si="28"/>
        <v>4.89239942443675-8550.32015446681j</v>
      </c>
      <c r="BA83" s="136" t="str">
        <f t="shared" si="29"/>
        <v>2.36532147329832-4275.16012198097j</v>
      </c>
      <c r="BB83" s="136">
        <f t="shared" si="53"/>
        <v>72.619049038371244</v>
      </c>
      <c r="BC83" s="136">
        <f t="shared" si="54"/>
        <v>90.031700081380961</v>
      </c>
      <c r="BD83" s="136" t="str">
        <f t="shared" si="30"/>
        <v>17.0119661521676-39616.7414704434j</v>
      </c>
      <c r="BE83" s="136">
        <f t="shared" si="55"/>
        <v>91.957575828303078</v>
      </c>
      <c r="BF83" s="136">
        <f t="shared" si="56"/>
        <v>90.024603583375338</v>
      </c>
      <c r="BG83" s="136"/>
      <c r="BH83" s="136" t="str">
        <f t="shared" si="31"/>
        <v>-8.09521098729764-14848.7835711361j</v>
      </c>
      <c r="BI83" s="136">
        <f t="shared" si="57"/>
        <v>83.433818835269477</v>
      </c>
      <c r="BJ83" s="136">
        <f t="shared" si="58"/>
        <v>89.968763678474673</v>
      </c>
      <c r="BK83" s="136"/>
      <c r="BL83" s="136">
        <f t="shared" si="59"/>
        <v>-82.433818835269477</v>
      </c>
      <c r="BM83" s="136">
        <f t="shared" si="60"/>
        <v>-89.968763678474673</v>
      </c>
      <c r="BN83" s="136"/>
      <c r="BO83" s="189"/>
      <c r="BP83" s="189" t="str">
        <f t="shared" si="32"/>
        <v>0.00001+2.33442469256296E-09j</v>
      </c>
      <c r="BQ83" s="189" t="str">
        <f t="shared" si="33"/>
        <v>4.35963030799401E-13+1.16721218344582E-09j</v>
      </c>
      <c r="BR83" s="189" t="str">
        <f t="shared" si="34"/>
        <v>-0.000357152908316967-0.0000291907267349459j</v>
      </c>
      <c r="BS83" s="189" t="str">
        <f t="shared" si="35"/>
        <v>0.000062500000435963+3.50163687600878E-09j</v>
      </c>
      <c r="BT83" s="189" t="str">
        <f t="shared" si="61"/>
        <v>-2.23219547101907E-08-1.82567105345433E-09j</v>
      </c>
      <c r="BU83" s="189" t="str">
        <f t="shared" si="62"/>
        <v>-4.35963030799401E-13-1.16721218344582E-09j</v>
      </c>
      <c r="BV83" s="189" t="str">
        <f t="shared" si="63"/>
        <v>-2.23223906732215E-08-2.99288323690015E-09j</v>
      </c>
      <c r="BW83" s="189" t="str">
        <f t="shared" si="36"/>
        <v>0.999999999986196-3.71535247256086E-06j</v>
      </c>
      <c r="BX83" s="189" t="str">
        <f t="shared" si="64"/>
        <v>-0.00001-2.33442469256296E-09j</v>
      </c>
      <c r="BY83" s="189" t="str">
        <f t="shared" si="65"/>
        <v>440.08345685302-58.9014478302256j</v>
      </c>
      <c r="BZ83" s="136">
        <f t="shared" si="66"/>
        <v>52.947809856063309</v>
      </c>
      <c r="CA83" s="136">
        <f t="shared" si="67"/>
        <v>172.37674902408273</v>
      </c>
      <c r="CB83" s="189" t="str">
        <f t="shared" si="37"/>
        <v>4078.06534130758-546.328702301749j</v>
      </c>
      <c r="CC83" s="136" t="str">
        <f t="shared" si="38"/>
        <v>1528.30283029768-206.259490085821j</v>
      </c>
      <c r="CD83" s="136">
        <f t="shared" si="68"/>
        <v>63.762579652961556</v>
      </c>
      <c r="CE83" s="136">
        <f t="shared" si="69"/>
        <v>172.31381262117648</v>
      </c>
      <c r="CF83" s="136"/>
      <c r="CG83" s="136">
        <f t="shared" si="70"/>
        <v>-62.762579652961556</v>
      </c>
      <c r="CH83" s="136">
        <f t="shared" si="71"/>
        <v>-172.31381262117648</v>
      </c>
      <c r="CI83" s="77"/>
      <c r="CJ83" s="189"/>
      <c r="CK83" s="189"/>
      <c r="CL83" s="189"/>
      <c r="CM83" s="77"/>
      <c r="CN83" s="189">
        <v>251.188643150958</v>
      </c>
      <c r="CO83" s="189">
        <v>48.026883535103302</v>
      </c>
      <c r="CP83" s="189">
        <v>93.417335759586805</v>
      </c>
      <c r="CQ83" s="74"/>
      <c r="CR83" s="75"/>
      <c r="CS83" s="75"/>
      <c r="CT83" s="75"/>
      <c r="CU83" s="74"/>
      <c r="CV83" s="75"/>
      <c r="CW83" s="75"/>
      <c r="CX83" s="75"/>
      <c r="CY83" s="74"/>
      <c r="CZ83" s="75"/>
      <c r="DA83" s="75"/>
      <c r="DB83" s="75"/>
      <c r="DC83" s="74"/>
      <c r="DD83" s="75"/>
      <c r="DE83" s="75"/>
      <c r="DF83" s="75"/>
      <c r="DG83" s="74"/>
      <c r="DH83" s="75"/>
      <c r="DI83" s="75"/>
      <c r="DJ83" s="75"/>
      <c r="DK83" s="74"/>
      <c r="DL83" s="75"/>
      <c r="DM83" s="75"/>
      <c r="DN83" s="75"/>
      <c r="DO83" s="76"/>
    </row>
    <row r="84" spans="1:119" x14ac:dyDescent="0.25">
      <c r="A84" s="136">
        <v>35</v>
      </c>
      <c r="B84" s="136">
        <f t="shared" si="0"/>
        <v>11.220184543019636</v>
      </c>
      <c r="C84" s="136" t="str">
        <f t="shared" si="7"/>
        <v>70.4984986645445j</v>
      </c>
      <c r="D84" s="136">
        <f t="shared" si="1"/>
        <v>0.99999999685268648</v>
      </c>
      <c r="E84" s="136" t="str">
        <f t="shared" si="2"/>
        <v>-0.0000881231233306806j</v>
      </c>
      <c r="F84" s="136" t="str">
        <f t="shared" si="8"/>
        <v>0.999999996852686-0.0000881231233306806j</v>
      </c>
      <c r="G84" s="136">
        <f t="shared" si="9"/>
        <v>6.3887196085942446E-9</v>
      </c>
      <c r="H84" s="136">
        <f t="shared" si="10"/>
        <v>-5.0490830471800231E-3</v>
      </c>
      <c r="I84" s="136"/>
      <c r="J84" s="136">
        <f t="shared" si="3"/>
        <v>7.0726915520628681</v>
      </c>
      <c r="K84" s="136" t="str">
        <f t="shared" si="4"/>
        <v>1+0.00517454280297846j</v>
      </c>
      <c r="L84" s="136">
        <f t="shared" si="5"/>
        <v>0.99999853794322646</v>
      </c>
      <c r="M84" s="136" t="str">
        <f t="shared" si="6"/>
        <v>0.000378695774197669j</v>
      </c>
      <c r="N84" s="136" t="str">
        <f t="shared" si="11"/>
        <v>0.999998537943226+0.000378695774197669j</v>
      </c>
      <c r="O84" s="136" t="str">
        <f t="shared" si="12"/>
        <v>1.00000041270403+0.00170163099627963j</v>
      </c>
      <c r="P84" s="136" t="str">
        <f t="shared" si="13"/>
        <v>7.07269447099118+0.0120351111721153j</v>
      </c>
      <c r="Q84" s="136"/>
      <c r="R84" s="136">
        <f t="shared" si="14"/>
        <v>11.787819253438114</v>
      </c>
      <c r="S84" s="136" t="str">
        <f t="shared" si="15"/>
        <v>1+1.65091154230502E-06j</v>
      </c>
      <c r="T84" s="136" t="str">
        <f t="shared" si="16"/>
        <v>0.999999815937957+0.000134366331131508j</v>
      </c>
      <c r="U84" s="136" t="str">
        <f t="shared" si="39"/>
        <v>1.00000016622958-0.000132715466352742j</v>
      </c>
      <c r="V84" s="136" t="str">
        <f t="shared" si="40"/>
        <v>11.7878212129224-0.00156442592950187j</v>
      </c>
      <c r="W84" s="136"/>
      <c r="X84" s="136" t="str">
        <f t="shared" si="17"/>
        <v>1.66801126968409+0.00278618421016168j</v>
      </c>
      <c r="Y84" s="136">
        <f t="shared" si="41"/>
        <v>4.4439917285142849</v>
      </c>
      <c r="Z84" s="136">
        <f t="shared" si="42"/>
        <v>-179.90429534223068</v>
      </c>
      <c r="AA84" s="136"/>
      <c r="AB84" s="136" t="str">
        <f t="shared" si="18"/>
        <v>9.2667265026442-0.00122983772492633j</v>
      </c>
      <c r="AC84" s="136">
        <f t="shared" si="43"/>
        <v>19.338526986111816</v>
      </c>
      <c r="AD84" s="136">
        <f t="shared" si="44"/>
        <v>179.99239596521053</v>
      </c>
      <c r="AE84" s="136"/>
      <c r="AF84" s="136" t="str">
        <f t="shared" si="45"/>
        <v>3.4732668552948-0.00408806331470934j</v>
      </c>
      <c r="AG84" s="136">
        <f t="shared" si="46"/>
        <v>10.814769055749384</v>
      </c>
      <c r="AH84" s="136">
        <f t="shared" si="47"/>
        <v>179.93256243303179</v>
      </c>
      <c r="AI84" s="136"/>
      <c r="AJ84" s="136" t="str">
        <f t="shared" si="19"/>
        <v>99999.9937430929-25.0138096819548j</v>
      </c>
      <c r="AK84" s="136" t="str">
        <f t="shared" si="20"/>
        <v>19047.6190476117-0.0117978973682166j</v>
      </c>
      <c r="AL84" s="136" t="str">
        <f t="shared" si="21"/>
        <v>10000-888398093.467134j</v>
      </c>
      <c r="AM84" s="136" t="str">
        <f t="shared" si="22"/>
        <v>963.139120037089-275709753.15245j</v>
      </c>
      <c r="AN84" s="136" t="str">
        <f t="shared" si="48"/>
        <v>10963.1391200371-275709753.15245j</v>
      </c>
      <c r="AO84" s="136" t="str">
        <f t="shared" si="49"/>
        <v>19047.6189027449-1.32771720334613j</v>
      </c>
      <c r="AP84" s="136" t="str">
        <f t="shared" si="50"/>
        <v>0.160000001359601+0.0000335353162970775j</v>
      </c>
      <c r="AQ84" s="136" t="str">
        <f t="shared" si="23"/>
        <v>1+0.000400220979952731j</v>
      </c>
      <c r="AR84" s="136" t="str">
        <f t="shared" si="24"/>
        <v>1+7.98844271362737E-07j</v>
      </c>
      <c r="AS84" s="136" t="str">
        <f t="shared" si="25"/>
        <v>1.25319194347699E-09j</v>
      </c>
      <c r="AT84" s="136" t="str">
        <f t="shared" si="51"/>
        <v>-1.00110520496453E-15+1.25319194347699E-09j</v>
      </c>
      <c r="AU84" s="179" t="str">
        <f t="shared" si="52"/>
        <v>318723.829785335-797962359.65623j</v>
      </c>
      <c r="AV84" s="136" t="str">
        <f t="shared" si="26"/>
        <v>7999.99999671263-0.162169541010208j</v>
      </c>
      <c r="AW84" s="136"/>
      <c r="AX84" s="136" t="str">
        <f t="shared" si="27"/>
        <v>0.499999999794539-0.000010135596313138j</v>
      </c>
      <c r="AY84" s="136"/>
      <c r="AZ84" s="136" t="str">
        <f t="shared" si="28"/>
        <v>4.89239942743277-7979.62297783789j</v>
      </c>
      <c r="BA84" s="136" t="str">
        <f t="shared" si="29"/>
        <v>2.36532147547678-3989.81153686683j</v>
      </c>
      <c r="BB84" s="136">
        <f t="shared" si="53"/>
        <v>72.019049162251065</v>
      </c>
      <c r="BC84" s="136">
        <f t="shared" si="54"/>
        <v>90.033967248980872</v>
      </c>
      <c r="BD84" s="136" t="str">
        <f t="shared" si="30"/>
        <v>17.011966460689-36972.495218201j</v>
      </c>
      <c r="BE84" s="136">
        <f t="shared" si="55"/>
        <v>91.357576148362881</v>
      </c>
      <c r="BF84" s="136">
        <f t="shared" si="56"/>
        <v>90.026363214191406</v>
      </c>
      <c r="BG84" s="136"/>
      <c r="BH84" s="136" t="str">
        <f t="shared" si="31"/>
        <v>-8.09520949357889-13857.6898394563j</v>
      </c>
      <c r="BI84" s="136">
        <f t="shared" si="57"/>
        <v>82.833818218000459</v>
      </c>
      <c r="BJ84" s="136">
        <f t="shared" si="58"/>
        <v>89.966529682012663</v>
      </c>
      <c r="BK84" s="136"/>
      <c r="BL84" s="136">
        <f t="shared" si="59"/>
        <v>-81.833818218000459</v>
      </c>
      <c r="BM84" s="136">
        <f t="shared" si="60"/>
        <v>-89.966529682012663</v>
      </c>
      <c r="BN84" s="136"/>
      <c r="BO84" s="189"/>
      <c r="BP84" s="189" t="str">
        <f t="shared" si="32"/>
        <v>0.00001+2.50138112470457E-09j</v>
      </c>
      <c r="BQ84" s="189" t="str">
        <f t="shared" si="33"/>
        <v>5.00552522305348E-13+1.25069036202067E-09j</v>
      </c>
      <c r="BR84" s="189" t="str">
        <f t="shared" si="34"/>
        <v>-0.000357154397434608-0.0000312784266809947j</v>
      </c>
      <c r="BS84" s="189" t="str">
        <f t="shared" si="35"/>
        <v>0.0000625000005005525+3.75207148672524E-09j</v>
      </c>
      <c r="BT84" s="189" t="str">
        <f t="shared" si="61"/>
        <v>-2.23220326595446E-08-1.95624175204964E-09j</v>
      </c>
      <c r="BU84" s="189" t="str">
        <f t="shared" si="62"/>
        <v>-5.00552522305348E-13-1.25069036202067E-09j</v>
      </c>
      <c r="BV84" s="189" t="str">
        <f t="shared" si="63"/>
        <v>-2.23225332120669E-08-3.20693211407031E-09j</v>
      </c>
      <c r="BW84" s="189" t="str">
        <f t="shared" si="36"/>
        <v>0.999999999984151-3.98107190010309E-06j</v>
      </c>
      <c r="BX84" s="189" t="str">
        <f t="shared" si="64"/>
        <v>-0.00001-2.50138112470457E-09j</v>
      </c>
      <c r="BY84" s="189" t="str">
        <f t="shared" si="65"/>
        <v>438.93442366206-62.948560338463j</v>
      </c>
      <c r="BZ84" s="136">
        <f t="shared" si="66"/>
        <v>52.936408328831561</v>
      </c>
      <c r="CA84" s="136">
        <f t="shared" si="67"/>
        <v>171.83873253830978</v>
      </c>
      <c r="CB84" s="189" t="str">
        <f t="shared" si="37"/>
        <v>4067.40784015783-583.866910504721j</v>
      </c>
      <c r="CC84" s="136" t="str">
        <f t="shared" si="38"/>
        <v>1524.27904765312-220.431539927044j</v>
      </c>
      <c r="CD84" s="136">
        <f t="shared" si="68"/>
        <v>63.751177384580913</v>
      </c>
      <c r="CE84" s="136">
        <f t="shared" si="69"/>
        <v>171.77129497134155</v>
      </c>
      <c r="CF84" s="136"/>
      <c r="CG84" s="136">
        <f t="shared" si="70"/>
        <v>-62.751177384580913</v>
      </c>
      <c r="CH84" s="136">
        <f t="shared" si="71"/>
        <v>-171.77129497134155</v>
      </c>
      <c r="CI84" s="77"/>
      <c r="CJ84" s="189"/>
      <c r="CK84" s="189"/>
      <c r="CL84" s="189"/>
      <c r="CM84" s="77"/>
      <c r="CN84" s="189">
        <v>263.026799189538</v>
      </c>
      <c r="CO84" s="189">
        <v>47.628767829597997</v>
      </c>
      <c r="CP84" s="189">
        <v>93.098687241414595</v>
      </c>
      <c r="CQ84" s="74"/>
      <c r="CR84" s="75"/>
      <c r="CS84" s="75"/>
      <c r="CT84" s="75"/>
      <c r="CU84" s="74"/>
      <c r="CV84" s="75"/>
      <c r="CW84" s="75"/>
      <c r="CX84" s="75"/>
      <c r="CY84" s="74"/>
      <c r="CZ84" s="75"/>
      <c r="DA84" s="75"/>
      <c r="DB84" s="75"/>
      <c r="DC84" s="74"/>
      <c r="DD84" s="75"/>
      <c r="DE84" s="75"/>
      <c r="DF84" s="75"/>
      <c r="DG84" s="74"/>
      <c r="DH84" s="75"/>
      <c r="DI84" s="75"/>
      <c r="DJ84" s="75"/>
      <c r="DK84" s="74"/>
      <c r="DL84" s="75"/>
      <c r="DM84" s="75"/>
      <c r="DN84" s="75"/>
      <c r="DO84" s="76"/>
    </row>
    <row r="85" spans="1:119" x14ac:dyDescent="0.25">
      <c r="A85" s="136">
        <v>36</v>
      </c>
      <c r="B85" s="136">
        <f t="shared" si="0"/>
        <v>12.022644346174133</v>
      </c>
      <c r="C85" s="136" t="str">
        <f t="shared" si="7"/>
        <v>75.540502309327j</v>
      </c>
      <c r="D85" s="136">
        <f t="shared" si="1"/>
        <v>0.99999999638640058</v>
      </c>
      <c r="E85" s="136" t="str">
        <f t="shared" si="2"/>
        <v>-0.0000944256278866587j</v>
      </c>
      <c r="F85" s="136" t="str">
        <f t="shared" si="8"/>
        <v>0.999999996386401-0.0000944256278866587j</v>
      </c>
      <c r="G85" s="136">
        <f t="shared" si="9"/>
        <v>7.3352398034023936E-9</v>
      </c>
      <c r="H85" s="136">
        <f t="shared" si="10"/>
        <v>-5.4101899592491672E-3</v>
      </c>
      <c r="I85" s="136"/>
      <c r="J85" s="136">
        <f t="shared" si="3"/>
        <v>7.0726915520628681</v>
      </c>
      <c r="K85" s="136" t="str">
        <f t="shared" si="4"/>
        <v>1+0.00554462250916973j</v>
      </c>
      <c r="L85" s="136">
        <f t="shared" si="5"/>
        <v>0.99999832133422062</v>
      </c>
      <c r="M85" s="136" t="str">
        <f t="shared" si="6"/>
        <v>0.000405779832864704j</v>
      </c>
      <c r="N85" s="136" t="str">
        <f t="shared" si="11"/>
        <v>0.999998321334221+0.000405779832864704j</v>
      </c>
      <c r="O85" s="136" t="str">
        <f t="shared" si="12"/>
        <v>1.00000047384765+0.00182333050382236j</v>
      </c>
      <c r="P85" s="136" t="str">
        <f t="shared" si="13"/>
        <v>7.07269490344114+0.0128958542510029j</v>
      </c>
      <c r="Q85" s="136"/>
      <c r="R85" s="136">
        <f t="shared" si="14"/>
        <v>11.787819253438114</v>
      </c>
      <c r="S85" s="136" t="str">
        <f t="shared" si="15"/>
        <v>1+1.76898358881942E-06j</v>
      </c>
      <c r="T85" s="136" t="str">
        <f t="shared" si="16"/>
        <v>0.999999788668499+0.00014397611778136j</v>
      </c>
      <c r="U85" s="136" t="str">
        <f t="shared" si="39"/>
        <v>1.0000001908571-0.000142207191724264j</v>
      </c>
      <c r="V85" s="136" t="str">
        <f t="shared" si="40"/>
        <v>11.7878215032271-0.00167631267258464j</v>
      </c>
      <c r="W85" s="136"/>
      <c r="X85" s="136" t="str">
        <f t="shared" si="17"/>
        <v>1.66801138472258+0.00298545023379263j</v>
      </c>
      <c r="Y85" s="136">
        <f t="shared" si="41"/>
        <v>4.4439941227737263</v>
      </c>
      <c r="Z85" s="136">
        <f t="shared" si="42"/>
        <v>-179.89745063058072</v>
      </c>
      <c r="AA85" s="136"/>
      <c r="AB85" s="136" t="str">
        <f t="shared" si="18"/>
        <v>9.26672673086061-0.00131779493336134j</v>
      </c>
      <c r="AC85" s="136">
        <f t="shared" si="43"/>
        <v>19.338527211356521</v>
      </c>
      <c r="AD85" s="136">
        <f t="shared" si="44"/>
        <v>179.99185212970781</v>
      </c>
      <c r="AE85" s="136"/>
      <c r="AF85" s="136" t="str">
        <f t="shared" si="45"/>
        <v>3.4732661585868-0.00438043790422339j</v>
      </c>
      <c r="AG85" s="136">
        <f t="shared" si="46"/>
        <v>10.814768204796692</v>
      </c>
      <c r="AH85" s="136">
        <f t="shared" si="47"/>
        <v>179.92773934970648</v>
      </c>
      <c r="AI85" s="136"/>
      <c r="AJ85" s="136" t="str">
        <f t="shared" si="19"/>
        <v>99999.9928161095-26.8027797232966j</v>
      </c>
      <c r="AK85" s="136" t="str">
        <f t="shared" si="20"/>
        <v>19047.6190476107-0.0126416747912553j</v>
      </c>
      <c r="AL85" s="136" t="str">
        <f t="shared" si="21"/>
        <v>10000-829101341.54805j</v>
      </c>
      <c r="AM85" s="136" t="str">
        <f t="shared" si="22"/>
        <v>963.139120028485-257307312.902234j</v>
      </c>
      <c r="AN85" s="136" t="str">
        <f t="shared" si="48"/>
        <v>10963.1391200285-257307312.902234j</v>
      </c>
      <c r="AO85" s="136" t="str">
        <f t="shared" si="49"/>
        <v>19047.6188812814-1.42267461276337j</v>
      </c>
      <c r="AP85" s="136" t="str">
        <f t="shared" si="50"/>
        <v>0.160000001561032+0.0000359337388108179j</v>
      </c>
      <c r="AQ85" s="136" t="str">
        <f t="shared" si="23"/>
        <v>1+0.000428844506380466j</v>
      </c>
      <c r="AR85" s="136" t="str">
        <f t="shared" si="24"/>
        <v>1+8.55977058643644E-07j</v>
      </c>
      <c r="AS85" s="136" t="str">
        <f t="shared" si="25"/>
        <v>1.34281936060383E-09j</v>
      </c>
      <c r="AT85" s="136" t="str">
        <f t="shared" si="51"/>
        <v>-1.14942256657941E-15+1.34281936060383E-09j</v>
      </c>
      <c r="AU85" s="179" t="str">
        <f t="shared" si="52"/>
        <v>318723.829785306-744701804.058496j</v>
      </c>
      <c r="AV85" s="136" t="str">
        <f t="shared" si="26"/>
        <v>7999.99999622559-0.173767793903381j</v>
      </c>
      <c r="AW85" s="136"/>
      <c r="AX85" s="136" t="str">
        <f t="shared" si="27"/>
        <v>0.499999999764099-0.0000108604871189613j</v>
      </c>
      <c r="AY85" s="136"/>
      <c r="AZ85" s="136" t="str">
        <f t="shared" si="28"/>
        <v>4.89239943087272-7447.01737760982j</v>
      </c>
      <c r="BA85" s="136" t="str">
        <f t="shared" si="29"/>
        <v>2.36532147797803-3723.50874018199j</v>
      </c>
      <c r="BB85" s="136">
        <f t="shared" si="53"/>
        <v>71.419049304484162</v>
      </c>
      <c r="BC85" s="136">
        <f t="shared" si="54"/>
        <v>90.036396562787161</v>
      </c>
      <c r="BD85" s="136" t="str">
        <f t="shared" si="30"/>
        <v>17.0119668149193-34504.7410922462j</v>
      </c>
      <c r="BE85" s="136">
        <f t="shared" si="55"/>
        <v>90.757576515840682</v>
      </c>
      <c r="BF85" s="136">
        <f t="shared" si="56"/>
        <v>90.028248692494955</v>
      </c>
      <c r="BG85" s="136"/>
      <c r="BH85" s="136" t="str">
        <f t="shared" si="31"/>
        <v>-8.09520777856065-12932.7472596201j</v>
      </c>
      <c r="BI85" s="136">
        <f t="shared" si="57"/>
        <v>82.233817509280826</v>
      </c>
      <c r="BJ85" s="136">
        <f t="shared" si="58"/>
        <v>89.964135912493646</v>
      </c>
      <c r="BK85" s="136"/>
      <c r="BL85" s="136">
        <f t="shared" si="59"/>
        <v>-81.233817509280826</v>
      </c>
      <c r="BM85" s="136">
        <f t="shared" si="60"/>
        <v>-89.964135912493646</v>
      </c>
      <c r="BN85" s="136"/>
      <c r="BO85" s="189"/>
      <c r="BP85" s="189" t="str">
        <f t="shared" si="32"/>
        <v>0.00001+2.68027816487791E-09j</v>
      </c>
      <c r="BQ85" s="189" t="str">
        <f t="shared" si="33"/>
        <v>5.74711177595943E-13+1.34013883597722E-09j</v>
      </c>
      <c r="BR85" s="189" t="str">
        <f t="shared" si="34"/>
        <v>-0.000357156107170358-0.0000335154373502161j</v>
      </c>
      <c r="BS85" s="189" t="str">
        <f t="shared" si="35"/>
        <v>0.0000625000005747112+4.02041700085513E-09j</v>
      </c>
      <c r="BT85" s="189" t="str">
        <f t="shared" si="61"/>
        <v>-2.23221221573749E-08-2.09615077013543E-09j</v>
      </c>
      <c r="BU85" s="189" t="str">
        <f t="shared" si="62"/>
        <v>-5.74711177595943E-13-1.34013883597722E-09j</v>
      </c>
      <c r="BV85" s="189" t="str">
        <f t="shared" si="63"/>
        <v>-2.23226968685525E-08-3.43628960611265E-09j</v>
      </c>
      <c r="BW85" s="189" t="str">
        <f t="shared" si="36"/>
        <v>0.999999999981803-4.26579539648942E-06j</v>
      </c>
      <c r="BX85" s="189" t="str">
        <f t="shared" si="64"/>
        <v>-0.00001-2.68027816487791E-09j</v>
      </c>
      <c r="BY85" s="189" t="str">
        <f t="shared" si="65"/>
        <v>437.622565119781-67.248158255707j</v>
      </c>
      <c r="BZ85" s="136">
        <f t="shared" si="66"/>
        <v>52.923354431428905</v>
      </c>
      <c r="CA85" s="136">
        <f t="shared" si="67"/>
        <v>171.26386395492386</v>
      </c>
      <c r="CB85" s="189" t="str">
        <f t="shared" si="37"/>
        <v>4055.24010294104-623.747002508344j</v>
      </c>
      <c r="CC85" s="136" t="str">
        <f t="shared" si="38"/>
        <v>1519.68506928307-235.487730768831j</v>
      </c>
      <c r="CD85" s="136">
        <f t="shared" si="68"/>
        <v>63.738122636225604</v>
      </c>
      <c r="CE85" s="136">
        <f t="shared" si="69"/>
        <v>171.19160330463035</v>
      </c>
      <c r="CF85" s="136"/>
      <c r="CG85" s="136">
        <f t="shared" si="70"/>
        <v>-62.738122636225604</v>
      </c>
      <c r="CH85" s="136">
        <f t="shared" si="71"/>
        <v>-171.19160330463035</v>
      </c>
      <c r="CI85" s="77"/>
      <c r="CJ85" s="189"/>
      <c r="CK85" s="189"/>
      <c r="CL85" s="189"/>
      <c r="CM85" s="77"/>
      <c r="CN85" s="189">
        <v>275.42287033381598</v>
      </c>
      <c r="CO85" s="189">
        <v>47.230251955286697</v>
      </c>
      <c r="CP85" s="189">
        <v>92.786477732734099</v>
      </c>
      <c r="CQ85" s="74"/>
      <c r="CR85" s="75"/>
      <c r="CS85" s="75"/>
      <c r="CT85" s="75"/>
      <c r="CU85" s="74"/>
      <c r="CV85" s="75"/>
      <c r="CW85" s="75"/>
      <c r="CX85" s="75"/>
      <c r="CY85" s="74"/>
      <c r="CZ85" s="75"/>
      <c r="DA85" s="75"/>
      <c r="DB85" s="75"/>
      <c r="DC85" s="74"/>
      <c r="DD85" s="75"/>
      <c r="DE85" s="75"/>
      <c r="DF85" s="75"/>
      <c r="DG85" s="74"/>
      <c r="DH85" s="75"/>
      <c r="DI85" s="75"/>
      <c r="DJ85" s="75"/>
      <c r="DK85" s="74"/>
      <c r="DL85" s="75"/>
      <c r="DM85" s="75"/>
      <c r="DN85" s="75"/>
      <c r="DO85" s="76"/>
    </row>
    <row r="86" spans="1:119" x14ac:dyDescent="0.25">
      <c r="A86" s="136">
        <v>37</v>
      </c>
      <c r="B86" s="136">
        <f t="shared" si="0"/>
        <v>12.882495516931341</v>
      </c>
      <c r="C86" s="136" t="str">
        <f t="shared" si="7"/>
        <v>80.9431065517899j</v>
      </c>
      <c r="D86" s="136">
        <f t="shared" si="1"/>
        <v>0.99999999585103272</v>
      </c>
      <c r="E86" s="136" t="str">
        <f t="shared" si="2"/>
        <v>-0.000101178883189737j</v>
      </c>
      <c r="F86" s="136" t="str">
        <f t="shared" si="8"/>
        <v>0.999999995851033-0.000101178883189737j</v>
      </c>
      <c r="G86" s="136">
        <f t="shared" si="9"/>
        <v>8.4219789975742176E-9</v>
      </c>
      <c r="H86" s="136">
        <f t="shared" si="10"/>
        <v>-5.7971229868891173E-3</v>
      </c>
      <c r="I86" s="136"/>
      <c r="J86" s="136">
        <f t="shared" si="3"/>
        <v>7.0726915520628681</v>
      </c>
      <c r="K86" s="136" t="str">
        <f t="shared" si="4"/>
        <v>1+0.00594117005883034j</v>
      </c>
      <c r="L86" s="136">
        <f t="shared" si="5"/>
        <v>0.99999807263380613</v>
      </c>
      <c r="M86" s="136" t="str">
        <f t="shared" si="6"/>
        <v>0.000434800924590619j</v>
      </c>
      <c r="N86" s="136" t="str">
        <f t="shared" si="11"/>
        <v>0.999998072633806+0.000434800924590619j</v>
      </c>
      <c r="O86" s="136" t="str">
        <f t="shared" si="12"/>
        <v>1.00000054404992+0.00195373388501443j</v>
      </c>
      <c r="P86" s="136" t="str">
        <f t="shared" si="13"/>
        <v>7.07269539996014+0.0138181571435205j</v>
      </c>
      <c r="Q86" s="136"/>
      <c r="R86" s="136">
        <f t="shared" si="14"/>
        <v>11.787819253438114</v>
      </c>
      <c r="S86" s="136" t="str">
        <f t="shared" si="15"/>
        <v>1+1.89550006606851E-06j</v>
      </c>
      <c r="T86" s="136" t="str">
        <f t="shared" si="16"/>
        <v>0.999999757358972+0.00015427318969589j</v>
      </c>
      <c r="U86" s="136" t="str">
        <f t="shared" si="39"/>
        <v>1.00000021913328-0.000152377760409308j</v>
      </c>
      <c r="V86" s="136" t="str">
        <f t="shared" si="40"/>
        <v>11.7878218365416-0.00179620149794862j</v>
      </c>
      <c r="W86" s="136"/>
      <c r="X86" s="136" t="str">
        <f t="shared" si="17"/>
        <v>1.66801151680443+0.00319896763987943j</v>
      </c>
      <c r="Y86" s="136">
        <f t="shared" si="41"/>
        <v>4.443996871749949</v>
      </c>
      <c r="Z86" s="136">
        <f t="shared" si="42"/>
        <v>-179.89011639427991</v>
      </c>
      <c r="AA86" s="136"/>
      <c r="AB86" s="136" t="str">
        <f t="shared" si="18"/>
        <v>9.26672699288819-0.00141204279607522j</v>
      </c>
      <c r="AC86" s="136">
        <f t="shared" si="43"/>
        <v>19.338527469972114</v>
      </c>
      <c r="AD86" s="136">
        <f t="shared" si="44"/>
        <v>179.99126939941763</v>
      </c>
      <c r="AE86" s="136"/>
      <c r="AF86" s="136" t="str">
        <f t="shared" si="45"/>
        <v>3.47326535865938-0.00469372272355852j</v>
      </c>
      <c r="AG86" s="136">
        <f t="shared" si="46"/>
        <v>10.814767227772622</v>
      </c>
      <c r="AH86" s="136">
        <f t="shared" si="47"/>
        <v>179.92257132387442</v>
      </c>
      <c r="AI86" s="136"/>
      <c r="AJ86" s="136" t="str">
        <f t="shared" si="19"/>
        <v>99999.9917517902-28.7196956018741j</v>
      </c>
      <c r="AK86" s="136" t="str">
        <f t="shared" si="20"/>
        <v>19047.6190476094-0.0135457985893648j</v>
      </c>
      <c r="AL86" s="136" t="str">
        <f t="shared" si="21"/>
        <v>10000-773762392.796272j</v>
      </c>
      <c r="AM86" s="136" t="str">
        <f t="shared" si="22"/>
        <v>963.139120018617-240133156.393635j</v>
      </c>
      <c r="AN86" s="136" t="str">
        <f t="shared" si="48"/>
        <v>10963.1391200186-240133156.393635j</v>
      </c>
      <c r="AO86" s="136" t="str">
        <f t="shared" si="49"/>
        <v>19047.6188566378-1.52442330954943j</v>
      </c>
      <c r="AP86" s="136" t="str">
        <f t="shared" si="50"/>
        <v>0.160000001792303+0.0000385036948343913j</v>
      </c>
      <c r="AQ86" s="136" t="str">
        <f t="shared" si="23"/>
        <v>1+0.00045951516753176j</v>
      </c>
      <c r="AR86" s="136" t="str">
        <f t="shared" si="24"/>
        <v>1+9.17195943177166E-07j</v>
      </c>
      <c r="AS86" s="136" t="str">
        <f t="shared" si="25"/>
        <v>1.43885686833382E-09j</v>
      </c>
      <c r="AT86" s="136" t="str">
        <f t="shared" si="51"/>
        <v>-1.31971368244838E-15+1.43885686833382E-09j</v>
      </c>
      <c r="AU86" s="179" t="str">
        <f t="shared" si="52"/>
        <v>318723.829785271-694996161.486592j</v>
      </c>
      <c r="AV86" s="136" t="str">
        <f t="shared" si="26"/>
        <v>7999.9999956664-0.186195545783007j</v>
      </c>
      <c r="AW86" s="136"/>
      <c r="AX86" s="136" t="str">
        <f t="shared" si="27"/>
        <v>0.49999999972915-0.0000116372216114379j</v>
      </c>
      <c r="AY86" s="136"/>
      <c r="AZ86" s="136" t="str">
        <f t="shared" si="28"/>
        <v>4.89239943482229-6949.96090447525j</v>
      </c>
      <c r="BA86" s="136" t="str">
        <f t="shared" si="29"/>
        <v>2.36532148084983-3474.98050728916j</v>
      </c>
      <c r="BB86" s="136">
        <f t="shared" si="53"/>
        <v>70.819049467789597</v>
      </c>
      <c r="BC86" s="136">
        <f t="shared" si="54"/>
        <v>90.038999619373442</v>
      </c>
      <c r="BD86" s="136" t="str">
        <f t="shared" si="30"/>
        <v>17.0119672216299-32201.6990065919j</v>
      </c>
      <c r="BE86" s="136">
        <f t="shared" si="55"/>
        <v>90.157576937761689</v>
      </c>
      <c r="BF86" s="136">
        <f t="shared" si="56"/>
        <v>90.030269018791074</v>
      </c>
      <c r="BG86" s="136"/>
      <c r="BH86" s="136" t="str">
        <f t="shared" si="31"/>
        <v>-8.09520580945743-12069.5405201472j</v>
      </c>
      <c r="BI86" s="136">
        <f t="shared" si="57"/>
        <v>81.633816695562189</v>
      </c>
      <c r="BJ86" s="136">
        <f t="shared" si="58"/>
        <v>89.961570943247892</v>
      </c>
      <c r="BK86" s="136"/>
      <c r="BL86" s="136">
        <f t="shared" si="59"/>
        <v>-80.633816695562189</v>
      </c>
      <c r="BM86" s="136">
        <f t="shared" si="60"/>
        <v>-89.961570943247892</v>
      </c>
      <c r="BN86" s="136"/>
      <c r="BO86" s="189"/>
      <c r="BP86" s="189" t="str">
        <f t="shared" si="32"/>
        <v>0.00001+2.8719697970735E-09j</v>
      </c>
      <c r="BQ86" s="189" t="str">
        <f t="shared" si="33"/>
        <v>6.59856701892685E-13+1.43598459532259E-09j</v>
      </c>
      <c r="BR86" s="189" t="str">
        <f t="shared" si="34"/>
        <v>-0.000357158070209565-0.0000359124373126642j</v>
      </c>
      <c r="BS86" s="189" t="str">
        <f t="shared" si="35"/>
        <v>0.0000625000006598567+4.30795439239609E-09j</v>
      </c>
      <c r="BT86" s="189" t="str">
        <f t="shared" si="61"/>
        <v>-2.23222249146289E-08-2.24606597641591E-09j</v>
      </c>
      <c r="BU86" s="189" t="str">
        <f t="shared" si="62"/>
        <v>-6.59856701892685E-13-1.43598459532259E-09j</v>
      </c>
      <c r="BV86" s="189" t="str">
        <f t="shared" si="63"/>
        <v>-2.23228847713308E-08-3.6820505717385E-09j</v>
      </c>
      <c r="BW86" s="189" t="str">
        <f t="shared" si="36"/>
        <v>0.999999999979107-4.57088211951979E-06j</v>
      </c>
      <c r="BX86" s="189" t="str">
        <f t="shared" si="64"/>
        <v>-0.00001-2.8719697970735E-09j</v>
      </c>
      <c r="BY86" s="189" t="str">
        <f t="shared" si="65"/>
        <v>436.126027545307-71.8102451595398j</v>
      </c>
      <c r="BZ86" s="136">
        <f t="shared" si="66"/>
        <v>52.908414780862088</v>
      </c>
      <c r="CA86" s="136">
        <f t="shared" si="67"/>
        <v>170.64987010636773</v>
      </c>
      <c r="CB86" s="189" t="str">
        <f t="shared" si="37"/>
        <v>4041.35943261583-666.061765801202j</v>
      </c>
      <c r="CC86" s="136" t="str">
        <f t="shared" si="38"/>
        <v>1514.44436610335-251.463091555291j</v>
      </c>
      <c r="CD86" s="136">
        <f t="shared" si="68"/>
        <v>63.723182008634694</v>
      </c>
      <c r="CE86" s="136">
        <f t="shared" si="69"/>
        <v>170.57244143024218</v>
      </c>
      <c r="CF86" s="136"/>
      <c r="CG86" s="136">
        <f t="shared" si="70"/>
        <v>-62.723182008634694</v>
      </c>
      <c r="CH86" s="136">
        <f t="shared" si="71"/>
        <v>-170.57244143024218</v>
      </c>
      <c r="CI86" s="77"/>
      <c r="CJ86" s="189"/>
      <c r="CK86" s="189"/>
      <c r="CL86" s="189"/>
      <c r="CM86" s="77"/>
      <c r="CN86" s="189">
        <v>288.40315031265999</v>
      </c>
      <c r="CO86" s="189">
        <v>46.831348162490499</v>
      </c>
      <c r="CP86" s="189">
        <v>92.4800839924103</v>
      </c>
      <c r="CQ86" s="74"/>
      <c r="CR86" s="75"/>
      <c r="CS86" s="75"/>
      <c r="CT86" s="75"/>
      <c r="CU86" s="74"/>
      <c r="CV86" s="75"/>
      <c r="CW86" s="75"/>
      <c r="CX86" s="75"/>
      <c r="CY86" s="74"/>
      <c r="CZ86" s="75"/>
      <c r="DA86" s="75"/>
      <c r="DB86" s="75"/>
      <c r="DC86" s="74"/>
      <c r="DD86" s="75"/>
      <c r="DE86" s="75"/>
      <c r="DF86" s="75"/>
      <c r="DG86" s="74"/>
      <c r="DH86" s="75"/>
      <c r="DI86" s="75"/>
      <c r="DJ86" s="75"/>
      <c r="DK86" s="74"/>
      <c r="DL86" s="75"/>
      <c r="DM86" s="75"/>
      <c r="DN86" s="75"/>
      <c r="DO86" s="76"/>
    </row>
    <row r="87" spans="1:119" x14ac:dyDescent="0.25">
      <c r="A87" s="136">
        <v>38</v>
      </c>
      <c r="B87" s="136">
        <f t="shared" si="0"/>
        <v>13.803842646028851</v>
      </c>
      <c r="C87" s="136" t="str">
        <f t="shared" si="7"/>
        <v>86.7321012961475j</v>
      </c>
      <c r="D87" s="136">
        <f t="shared" si="1"/>
        <v>0.99999999523634819</v>
      </c>
      <c r="E87" s="136" t="str">
        <f t="shared" si="2"/>
        <v>-0.000108415126620184j</v>
      </c>
      <c r="F87" s="136" t="str">
        <f t="shared" si="8"/>
        <v>0.999999995236348-0.000108415126620184j</v>
      </c>
      <c r="G87" s="136">
        <f t="shared" si="9"/>
        <v>9.6697203765931347E-9</v>
      </c>
      <c r="H87" s="136">
        <f t="shared" si="10"/>
        <v>-6.2117291959662571E-3</v>
      </c>
      <c r="I87" s="136"/>
      <c r="J87" s="136">
        <f t="shared" si="3"/>
        <v>7.0726915520628681</v>
      </c>
      <c r="K87" s="136" t="str">
        <f t="shared" si="4"/>
        <v>1+0.00636607841373636j</v>
      </c>
      <c r="L87" s="136">
        <f t="shared" si="5"/>
        <v>0.99999778708752463</v>
      </c>
      <c r="M87" s="136" t="str">
        <f t="shared" si="6"/>
        <v>0.00046589758463401j</v>
      </c>
      <c r="N87" s="136" t="str">
        <f t="shared" si="11"/>
        <v>0.999997787087525+0.00046589758463401j</v>
      </c>
      <c r="O87" s="136" t="str">
        <f t="shared" si="12"/>
        <v>1.00000062465292+0.00209346363702176j</v>
      </c>
      <c r="P87" s="136" t="str">
        <f t="shared" si="13"/>
        <v>7.0726959700403+0.0148064225801146j</v>
      </c>
      <c r="Q87" s="136"/>
      <c r="R87" s="136">
        <f t="shared" si="14"/>
        <v>11.787819253438114</v>
      </c>
      <c r="S87" s="136" t="str">
        <f t="shared" si="15"/>
        <v>1+2.03106491387157E-06j</v>
      </c>
      <c r="T87" s="136" t="str">
        <f t="shared" si="16"/>
        <v>0.999999721410825+0.00016530670103973j</v>
      </c>
      <c r="U87" s="136" t="str">
        <f t="shared" si="39"/>
        <v>1.00000025159867-0.000163275723203654j</v>
      </c>
      <c r="V87" s="136" t="str">
        <f t="shared" si="40"/>
        <v>11.7878222192378-0.00192466471359906j</v>
      </c>
      <c r="W87" s="136"/>
      <c r="X87" s="136" t="str">
        <f t="shared" si="17"/>
        <v>1.66801166845472+0.0034277556808223j</v>
      </c>
      <c r="Y87" s="136">
        <f t="shared" si="41"/>
        <v>4.4440000279953109</v>
      </c>
      <c r="Z87" s="136">
        <f t="shared" si="42"/>
        <v>-179.88225762387174</v>
      </c>
      <c r="AA87" s="136"/>
      <c r="AB87" s="136" t="str">
        <f t="shared" si="18"/>
        <v>9.26672729373607-0.00151303121993915j</v>
      </c>
      <c r="AC87" s="136">
        <f t="shared" si="43"/>
        <v>19.338527766902512</v>
      </c>
      <c r="AD87" s="136">
        <f t="shared" si="44"/>
        <v>179.99064499260032</v>
      </c>
      <c r="AE87" s="136"/>
      <c r="AF87" s="136" t="str">
        <f t="shared" si="45"/>
        <v>3.47326444022021-0.00502941321230199j</v>
      </c>
      <c r="AG87" s="136">
        <f t="shared" si="46"/>
        <v>10.814766105999045</v>
      </c>
      <c r="AH87" s="136">
        <f t="shared" si="47"/>
        <v>179.91703368573175</v>
      </c>
      <c r="AI87" s="136"/>
      <c r="AJ87" s="136" t="str">
        <f t="shared" si="19"/>
        <v>99999.9905297881-30.7737079019003j</v>
      </c>
      <c r="AK87" s="136" t="str">
        <f t="shared" si="20"/>
        <v>19047.619047608-0.0145145846933636j</v>
      </c>
      <c r="AL87" s="136" t="str">
        <f t="shared" si="21"/>
        <v>10000-722117080.872091j</v>
      </c>
      <c r="AM87" s="136" t="str">
        <f t="shared" si="22"/>
        <v>963.13912000728-224105300.969503j</v>
      </c>
      <c r="AN87" s="136" t="str">
        <f t="shared" si="48"/>
        <v>10963.1391200073-224105300.969503j</v>
      </c>
      <c r="AO87" s="136" t="str">
        <f t="shared" si="49"/>
        <v>19047.6188283432-1.63344900172511j</v>
      </c>
      <c r="AP87" s="136" t="str">
        <f t="shared" si="50"/>
        <v>0.160000002057841+0.0000412574523247838j</v>
      </c>
      <c r="AQ87" s="136" t="str">
        <f t="shared" si="23"/>
        <v>1+0.000492379373059774j</v>
      </c>
      <c r="AR87" s="136" t="str">
        <f t="shared" si="24"/>
        <v>1+9.82793159799949E-07j</v>
      </c>
      <c r="AS87" s="136" t="str">
        <f t="shared" si="25"/>
        <v>1.54176291189342E-09j</v>
      </c>
      <c r="AT87" s="136" t="str">
        <f t="shared" si="51"/>
        <v>-1.5152340438421E-15+1.54176291189342E-09j</v>
      </c>
      <c r="AU87" s="179" t="str">
        <f t="shared" si="52"/>
        <v>318723.82978523-648608156.785179j</v>
      </c>
      <c r="AV87" s="136" t="str">
        <f t="shared" si="26"/>
        <v>7999.99999502436-0.199512121839733j</v>
      </c>
      <c r="AW87" s="136"/>
      <c r="AX87" s="136" t="str">
        <f t="shared" si="27"/>
        <v>0.499999999689022-0.0000124695076149833j</v>
      </c>
      <c r="AY87" s="136"/>
      <c r="AZ87" s="136" t="str">
        <f t="shared" si="28"/>
        <v>4.89239943935699-6486.08080665448j</v>
      </c>
      <c r="BA87" s="136" t="str">
        <f t="shared" si="29"/>
        <v>2.36532148414709-3243.04046231602j</v>
      </c>
      <c r="BB87" s="136">
        <f t="shared" si="53"/>
        <v>70.219049655289268</v>
      </c>
      <c r="BC87" s="136">
        <f t="shared" si="54"/>
        <v>90.041788844689805</v>
      </c>
      <c r="BD87" s="136" t="str">
        <f t="shared" si="30"/>
        <v>17.0119676885961-30052.3751456396j</v>
      </c>
      <c r="BE87" s="136">
        <f t="shared" si="55"/>
        <v>89.557577422191784</v>
      </c>
      <c r="BF87" s="136">
        <f t="shared" si="56"/>
        <v>90.032433837290142</v>
      </c>
      <c r="BG87" s="136"/>
      <c r="BH87" s="136" t="str">
        <f t="shared" si="31"/>
        <v>-8.0952035486252-11263.9490121367j</v>
      </c>
      <c r="BI87" s="136">
        <f t="shared" si="57"/>
        <v>81.033815761288338</v>
      </c>
      <c r="BJ87" s="136">
        <f t="shared" si="58"/>
        <v>89.958822530421557</v>
      </c>
      <c r="BK87" s="136"/>
      <c r="BL87" s="136">
        <f t="shared" si="59"/>
        <v>-80.033815761288338</v>
      </c>
      <c r="BM87" s="136">
        <f t="shared" si="60"/>
        <v>-89.958822530421557</v>
      </c>
      <c r="BN87" s="136"/>
      <c r="BO87" s="189"/>
      <c r="BP87" s="189" t="str">
        <f t="shared" si="32"/>
        <v>0.00001+3.07737108162359E-09j</v>
      </c>
      <c r="BQ87" s="189" t="str">
        <f t="shared" si="33"/>
        <v>7.57616838246361E-13+1.5386851677769E-09j</v>
      </c>
      <c r="BR87" s="189" t="str">
        <f t="shared" si="34"/>
        <v>-0.000357160324080025-0.0000384808688555958j</v>
      </c>
      <c r="BS87" s="189" t="str">
        <f t="shared" si="35"/>
        <v>0.0000625000007576168+4.61605624940049E-09j</v>
      </c>
      <c r="BT87" s="189" t="str">
        <f t="shared" si="61"/>
        <v>-2.23223428957371E-08-2.4067030047745E-09j</v>
      </c>
      <c r="BU87" s="189" t="str">
        <f t="shared" si="62"/>
        <v>-7.57616838246361E-13-1.5386851677769E-09j</v>
      </c>
      <c r="BV87" s="189" t="str">
        <f t="shared" si="63"/>
        <v>-2.23231005125753E-08-3.9453881725514E-09j</v>
      </c>
      <c r="BW87" s="189" t="str">
        <f t="shared" si="36"/>
        <v>0.999999999976012-4.89778843301569E-06j</v>
      </c>
      <c r="BX87" s="189" t="str">
        <f t="shared" si="64"/>
        <v>-0.00001-3.07737108162359E-09j</v>
      </c>
      <c r="BY87" s="189" t="str">
        <f t="shared" si="65"/>
        <v>434.420398270469-76.6438652681933j</v>
      </c>
      <c r="BZ87" s="136">
        <f t="shared" si="66"/>
        <v>52.891324906662149</v>
      </c>
      <c r="CA87" s="136">
        <f t="shared" si="67"/>
        <v>169.99439390668942</v>
      </c>
      <c r="CB87" s="189" t="str">
        <f t="shared" si="37"/>
        <v>4025.53939704768-710.895089803359j</v>
      </c>
      <c r="CC87" s="136" t="str">
        <f t="shared" si="38"/>
        <v>1508.4714477505-268.389291487799j</v>
      </c>
      <c r="CD87" s="136">
        <f t="shared" si="68"/>
        <v>63.706091012661197</v>
      </c>
      <c r="CE87" s="136">
        <f t="shared" si="69"/>
        <v>169.91142759242121</v>
      </c>
      <c r="CF87" s="136"/>
      <c r="CG87" s="136">
        <f t="shared" si="70"/>
        <v>-62.706091012661197</v>
      </c>
      <c r="CH87" s="136">
        <f t="shared" si="71"/>
        <v>-169.91142759242121</v>
      </c>
      <c r="CI87" s="77"/>
      <c r="CJ87" s="189"/>
      <c r="CK87" s="189"/>
      <c r="CL87" s="189"/>
      <c r="CM87" s="77"/>
      <c r="CN87" s="189">
        <v>301.995172040201</v>
      </c>
      <c r="CO87" s="189">
        <v>46.432065534608398</v>
      </c>
      <c r="CP87" s="189">
        <v>92.178893314293902</v>
      </c>
      <c r="CQ87" s="74"/>
      <c r="CR87" s="75"/>
      <c r="CS87" s="75"/>
      <c r="CT87" s="75"/>
      <c r="CU87" s="74"/>
      <c r="CV87" s="75"/>
      <c r="CW87" s="75"/>
      <c r="CX87" s="75"/>
      <c r="CY87" s="74"/>
      <c r="CZ87" s="75"/>
      <c r="DA87" s="75"/>
      <c r="DB87" s="75"/>
      <c r="DC87" s="74"/>
      <c r="DD87" s="75"/>
      <c r="DE87" s="75"/>
      <c r="DF87" s="75"/>
      <c r="DG87" s="74"/>
      <c r="DH87" s="75"/>
      <c r="DI87" s="75"/>
      <c r="DJ87" s="75"/>
      <c r="DK87" s="74"/>
      <c r="DL87" s="75"/>
      <c r="DM87" s="75"/>
      <c r="DN87" s="75"/>
      <c r="DO87" s="76"/>
    </row>
    <row r="88" spans="1:119" x14ac:dyDescent="0.25">
      <c r="A88" s="136">
        <v>39</v>
      </c>
      <c r="B88" s="136">
        <f t="shared" si="0"/>
        <v>14.791083881682074</v>
      </c>
      <c r="C88" s="136" t="str">
        <f t="shared" si="7"/>
        <v>92.9351209226456j</v>
      </c>
      <c r="D88" s="136">
        <f t="shared" si="1"/>
        <v>0.99999999453059596</v>
      </c>
      <c r="E88" s="136" t="str">
        <f t="shared" si="2"/>
        <v>-0.000116168901153307j</v>
      </c>
      <c r="F88" s="136" t="str">
        <f t="shared" si="8"/>
        <v>0.999999994530596-0.000116168901153307j</v>
      </c>
      <c r="G88" s="136">
        <f t="shared" si="9"/>
        <v>1.1102329116501543E-8</v>
      </c>
      <c r="H88" s="136">
        <f t="shared" si="10"/>
        <v>-6.6559877532198931E-3</v>
      </c>
      <c r="I88" s="136"/>
      <c r="J88" s="136">
        <f t="shared" si="3"/>
        <v>7.0726915520628681</v>
      </c>
      <c r="K88" s="136" t="str">
        <f t="shared" si="4"/>
        <v>1+0.00682137591897491j</v>
      </c>
      <c r="L88" s="136">
        <f t="shared" si="5"/>
        <v>0.99999745923652728</v>
      </c>
      <c r="M88" s="136" t="str">
        <f t="shared" si="6"/>
        <v>0.000499218256198913j</v>
      </c>
      <c r="N88" s="136" t="str">
        <f t="shared" si="11"/>
        <v>0.999997459236527+0.000499218256198913j</v>
      </c>
      <c r="O88" s="136" t="str">
        <f t="shared" si="12"/>
        <v>1.00000071719755+0.00224318677807469j</v>
      </c>
      <c r="P88" s="136" t="str">
        <f t="shared" si="13"/>
        <v>7.07269662457992+0.015865368174988j</v>
      </c>
      <c r="Q88" s="136"/>
      <c r="R88" s="136">
        <f t="shared" si="14"/>
        <v>11.787819253438114</v>
      </c>
      <c r="S88" s="136" t="str">
        <f t="shared" si="15"/>
        <v>1+2.17632526540414E-06j</v>
      </c>
      <c r="T88" s="136" t="str">
        <f t="shared" si="16"/>
        <v>0.99999968013683+0.000177129321449212j</v>
      </c>
      <c r="U88" s="136" t="str">
        <f t="shared" si="39"/>
        <v>1.00000028887394-0.000174953103312907j</v>
      </c>
      <c r="V88" s="136" t="str">
        <f t="shared" si="40"/>
        <v>11.7878226586319-0.00206231555968063j</v>
      </c>
      <c r="W88" s="136"/>
      <c r="X88" s="136" t="str">
        <f t="shared" si="17"/>
        <v>1.66801184257254+0.00367290650603449j</v>
      </c>
      <c r="Y88" s="136">
        <f t="shared" si="41"/>
        <v>4.444003651847396</v>
      </c>
      <c r="Z88" s="136">
        <f t="shared" si="42"/>
        <v>-179.87383680627957</v>
      </c>
      <c r="AA88" s="136"/>
      <c r="AB88" s="136" t="str">
        <f t="shared" si="18"/>
        <v>9.26672763915571-0.00162124228969113j</v>
      </c>
      <c r="AC88" s="136">
        <f t="shared" si="43"/>
        <v>19.338528107824263</v>
      </c>
      <c r="AD88" s="136">
        <f t="shared" si="44"/>
        <v>179.98997592856543</v>
      </c>
      <c r="AE88" s="136"/>
      <c r="AF88" s="136" t="str">
        <f t="shared" si="45"/>
        <v>3.47326338571158-0.00538911175235971j</v>
      </c>
      <c r="AG88" s="136">
        <f t="shared" si="46"/>
        <v>10.814764818031117</v>
      </c>
      <c r="AH88" s="136">
        <f t="shared" si="47"/>
        <v>179.91110000116353</v>
      </c>
      <c r="AI88" s="136"/>
      <c r="AJ88" s="136" t="str">
        <f t="shared" si="19"/>
        <v>99999.9891267421-32.9746216479801j</v>
      </c>
      <c r="AK88" s="136" t="str">
        <f t="shared" si="20"/>
        <v>19047.6190476063-0.015552657706444j</v>
      </c>
      <c r="AL88" s="136" t="str">
        <f t="shared" si="21"/>
        <v>10000-673918871.402851j</v>
      </c>
      <c r="AM88" s="136" t="str">
        <f t="shared" si="22"/>
        <v>963.139119994258-209147235.962465j</v>
      </c>
      <c r="AN88" s="136" t="str">
        <f t="shared" si="48"/>
        <v>10963.1391199943-209147235.962465j</v>
      </c>
      <c r="AO88" s="136" t="str">
        <f t="shared" si="49"/>
        <v>19047.6187958567-1.75027213478061j</v>
      </c>
      <c r="AP88" s="136" t="str">
        <f t="shared" si="50"/>
        <v>0.160000002362717+0.0000442081566346318j</v>
      </c>
      <c r="AQ88" s="136" t="str">
        <f t="shared" si="23"/>
        <v>1+0.000527594003734338j</v>
      </c>
      <c r="AR88" s="136" t="str">
        <f t="shared" si="24"/>
        <v>1+1.05308184378111E-06j</v>
      </c>
      <c r="AS88" s="136" t="str">
        <f t="shared" si="25"/>
        <v>1.65202872419314E-09j</v>
      </c>
      <c r="AT88" s="136" t="str">
        <f t="shared" si="51"/>
        <v>-1.73972145485267E-15+1.65202872419314E-09j</v>
      </c>
      <c r="AU88" s="179" t="str">
        <f t="shared" si="52"/>
        <v>318723.829785186-605316351.89509j</v>
      </c>
      <c r="AV88" s="136" t="str">
        <f t="shared" si="26"/>
        <v>7999.9999942872-0.213781090160493j</v>
      </c>
      <c r="AW88" s="136"/>
      <c r="AX88" s="136" t="str">
        <f t="shared" si="27"/>
        <v>0.49999999964295-0.0000133613181350308j</v>
      </c>
      <c r="AY88" s="136"/>
      <c r="AZ88" s="136" t="str">
        <f t="shared" si="28"/>
        <v>4.89239944456356-6053.16270331328j</v>
      </c>
      <c r="BA88" s="136" t="str">
        <f t="shared" si="29"/>
        <v>2.36532148793288-3026.58141486426j</v>
      </c>
      <c r="BB88" s="136">
        <f t="shared" si="53"/>
        <v>69.619049870567778</v>
      </c>
      <c r="BC88" s="136">
        <f t="shared" si="54"/>
        <v>90.044777553378736</v>
      </c>
      <c r="BD88" s="136" t="str">
        <f t="shared" si="30"/>
        <v>17.0119682247454-28046.5094840369j</v>
      </c>
      <c r="BE88" s="136">
        <f t="shared" si="55"/>
        <v>88.957577978392067</v>
      </c>
      <c r="BF88" s="136">
        <f t="shared" si="56"/>
        <v>90.034753481944165</v>
      </c>
      <c r="BG88" s="136"/>
      <c r="BH88" s="136" t="str">
        <f t="shared" si="31"/>
        <v>-8.09520095284438-10512.127159105j</v>
      </c>
      <c r="BI88" s="136">
        <f t="shared" si="57"/>
        <v>80.4338146885989</v>
      </c>
      <c r="BJ88" s="136">
        <f t="shared" si="58"/>
        <v>89.955877554542269</v>
      </c>
      <c r="BK88" s="136"/>
      <c r="BL88" s="136">
        <f t="shared" si="59"/>
        <v>-79.4338146885989</v>
      </c>
      <c r="BM88" s="136">
        <f t="shared" si="60"/>
        <v>-89.955877554542269</v>
      </c>
      <c r="BN88" s="136"/>
      <c r="BO88" s="189"/>
      <c r="BP88" s="189" t="str">
        <f t="shared" si="32"/>
        <v>0.00001+3.29746252333961E-09j</v>
      </c>
      <c r="BQ88" s="189" t="str">
        <f t="shared" si="33"/>
        <v>8.69860485295944E-13+1.64873080273662E-09j</v>
      </c>
      <c r="BR88" s="189" t="str">
        <f t="shared" si="34"/>
        <v>-0.000357162911869413-0.0000412329926024491j</v>
      </c>
      <c r="BS88" s="189" t="str">
        <f t="shared" si="35"/>
        <v>0.0000625000008698605+4.94619332607623E-09j</v>
      </c>
      <c r="BT88" s="189" t="str">
        <f t="shared" si="61"/>
        <v>-2.23224783561674E-08-2.57882867033103E-09j</v>
      </c>
      <c r="BU88" s="189" t="str">
        <f t="shared" si="62"/>
        <v>-8.69860485295944E-13-1.64873080273662E-09j</v>
      </c>
      <c r="BV88" s="189" t="str">
        <f t="shared" si="63"/>
        <v>-2.23233482166527E-08-4.22755947306765E-09j</v>
      </c>
      <c r="BW88" s="189" t="str">
        <f t="shared" si="36"/>
        <v>0.999999999972458-5.24807485892711E-06j</v>
      </c>
      <c r="BX88" s="189" t="str">
        <f t="shared" si="64"/>
        <v>-0.00001-3.29746252333961E-09j</v>
      </c>
      <c r="BY88" s="189" t="str">
        <f t="shared" si="65"/>
        <v>432.47852136978-81.756718142262j</v>
      </c>
      <c r="BZ88" s="136">
        <f t="shared" si="66"/>
        <v>52.871785683692295</v>
      </c>
      <c r="CA88" s="136">
        <f t="shared" si="67"/>
        <v>169.29500457740042</v>
      </c>
      <c r="CB88" s="189" t="str">
        <f t="shared" si="37"/>
        <v>4007.52811986962-758.31839216379j</v>
      </c>
      <c r="CC88" s="136" t="str">
        <f t="shared" si="38"/>
        <v>1501.67121728977-286.293290741617j</v>
      </c>
      <c r="CD88" s="136">
        <f t="shared" si="68"/>
        <v>63.686550501723438</v>
      </c>
      <c r="CE88" s="136">
        <f t="shared" si="69"/>
        <v>169.20610457856401</v>
      </c>
      <c r="CF88" s="136"/>
      <c r="CG88" s="136">
        <f t="shared" si="70"/>
        <v>-62.686550501723438</v>
      </c>
      <c r="CH88" s="136">
        <f t="shared" si="71"/>
        <v>-169.20610457856401</v>
      </c>
      <c r="CI88" s="77"/>
      <c r="CJ88" s="189"/>
      <c r="CK88" s="189"/>
      <c r="CL88" s="189"/>
      <c r="CM88" s="77"/>
      <c r="CN88" s="189">
        <v>316.22776601683699</v>
      </c>
      <c r="CO88" s="189">
        <v>46.032410056857501</v>
      </c>
      <c r="CP88" s="189">
        <v>91.882303024232499</v>
      </c>
      <c r="CQ88" s="74"/>
      <c r="CR88" s="75"/>
      <c r="CS88" s="75"/>
      <c r="CT88" s="75"/>
      <c r="CU88" s="74"/>
      <c r="CV88" s="75"/>
      <c r="CW88" s="75"/>
      <c r="CX88" s="75"/>
      <c r="CY88" s="74"/>
      <c r="CZ88" s="75"/>
      <c r="DA88" s="75"/>
      <c r="DB88" s="75"/>
      <c r="DC88" s="74"/>
      <c r="DD88" s="75"/>
      <c r="DE88" s="75"/>
      <c r="DF88" s="75"/>
      <c r="DG88" s="74"/>
      <c r="DH88" s="75"/>
      <c r="DI88" s="75"/>
      <c r="DJ88" s="75"/>
      <c r="DK88" s="74"/>
      <c r="DL88" s="75"/>
      <c r="DM88" s="75"/>
      <c r="DN88" s="75"/>
      <c r="DO88" s="76"/>
    </row>
    <row r="89" spans="1:119" x14ac:dyDescent="0.25">
      <c r="A89" s="136">
        <v>40</v>
      </c>
      <c r="B89" s="136">
        <f t="shared" si="0"/>
        <v>15.848931924611136</v>
      </c>
      <c r="C89" s="136" t="str">
        <f t="shared" si="7"/>
        <v>99.5817762032062j</v>
      </c>
      <c r="D89" s="136">
        <f t="shared" si="1"/>
        <v>0.99999999372028392</v>
      </c>
      <c r="E89" s="136" t="str">
        <f t="shared" si="2"/>
        <v>-0.000124477220254008j</v>
      </c>
      <c r="F89" s="136" t="str">
        <f t="shared" si="8"/>
        <v>0.999999993720284-0.000124477220254008j</v>
      </c>
      <c r="G89" s="136">
        <f t="shared" si="9"/>
        <v>1.2747178616633423E-8</v>
      </c>
      <c r="H89" s="136">
        <f t="shared" si="10"/>
        <v>-7.1320193740262057E-3</v>
      </c>
      <c r="I89" s="136"/>
      <c r="J89" s="136">
        <f t="shared" si="3"/>
        <v>7.0726915520628681</v>
      </c>
      <c r="K89" s="136" t="str">
        <f t="shared" si="4"/>
        <v>1+0.00730923598546453j</v>
      </c>
      <c r="L89" s="136">
        <f t="shared" si="5"/>
        <v>0.99999708281321742</v>
      </c>
      <c r="M89" s="136" t="str">
        <f t="shared" si="6"/>
        <v>0.000534921999044188j</v>
      </c>
      <c r="N89" s="136" t="str">
        <f t="shared" si="11"/>
        <v>0.999997082813217+0.000534921999044188j</v>
      </c>
      <c r="O89" s="136" t="str">
        <f t="shared" si="12"/>
        <v>1.00000082345302+0.00240361803169856j</v>
      </c>
      <c r="P89" s="136" t="str">
        <f t="shared" si="13"/>
        <v>7.07269737609209+0.0170000489471804j</v>
      </c>
      <c r="Q89" s="136"/>
      <c r="R89" s="136">
        <f t="shared" si="14"/>
        <v>11.787819253438114</v>
      </c>
      <c r="S89" s="136" t="str">
        <f t="shared" si="15"/>
        <v>1+2.33197453635689E-06j</v>
      </c>
      <c r="T89" s="136" t="str">
        <f t="shared" si="16"/>
        <v>0.999999632747943+0.000189797487456468j</v>
      </c>
      <c r="U89" s="136" t="str">
        <f t="shared" si="39"/>
        <v>1.00000033167167-0.000187465644717704j</v>
      </c>
      <c r="V89" s="136" t="str">
        <f t="shared" si="40"/>
        <v>11.7878231631238-0.00220981113616154j</v>
      </c>
      <c r="W89" s="136"/>
      <c r="X89" s="136" t="str">
        <f t="shared" si="17"/>
        <v>1.66801204248659+0.00393559037566756j</v>
      </c>
      <c r="Y89" s="136">
        <f t="shared" si="41"/>
        <v>4.4440078125833509</v>
      </c>
      <c r="Z89" s="136">
        <f t="shared" si="42"/>
        <v>-179.86481374580259</v>
      </c>
      <c r="AA89" s="136"/>
      <c r="AB89" s="136" t="str">
        <f t="shared" si="18"/>
        <v>9.2667280357505-0.00173719256946803j</v>
      </c>
      <c r="AC89" s="136">
        <f t="shared" si="43"/>
        <v>19.338528499254775</v>
      </c>
      <c r="AD89" s="136">
        <f t="shared" si="44"/>
        <v>179.98925901344228</v>
      </c>
      <c r="AE89" s="136"/>
      <c r="AF89" s="136" t="str">
        <f t="shared" si="45"/>
        <v>3.47326217497441-0.00577453531398179j</v>
      </c>
      <c r="AG89" s="136">
        <f t="shared" si="46"/>
        <v>10.814763339246451</v>
      </c>
      <c r="AH89" s="136">
        <f t="shared" si="47"/>
        <v>179.90474194557467</v>
      </c>
      <c r="AI89" s="136"/>
      <c r="AJ89" s="136" t="str">
        <f t="shared" si="19"/>
        <v>99999.9875158298-35.3329431095337j</v>
      </c>
      <c r="AK89" s="136" t="str">
        <f t="shared" si="20"/>
        <v>19047.6190476045-0.0166649729802055j</v>
      </c>
      <c r="AL89" s="136" t="str">
        <f t="shared" si="21"/>
        <v>10000-628937685.124962j</v>
      </c>
      <c r="AM89" s="136" t="str">
        <f t="shared" si="22"/>
        <v>963.13911997932-195187557.463136j</v>
      </c>
      <c r="AN89" s="136" t="str">
        <f t="shared" si="48"/>
        <v>10963.1391199793-195187557.463136j</v>
      </c>
      <c r="AO89" s="136" t="str">
        <f t="shared" si="49"/>
        <v>19047.6187585573-1.87545037606825j</v>
      </c>
      <c r="AP89" s="136" t="str">
        <f t="shared" si="50"/>
        <v>0.160000002712763+0.0000473698932629297j</v>
      </c>
      <c r="AQ89" s="136" t="str">
        <f t="shared" si="23"/>
        <v>1+0.000565327160328944j</v>
      </c>
      <c r="AR89" s="136" t="str">
        <f t="shared" si="24"/>
        <v>1+1.12839752560667E-06j</v>
      </c>
      <c r="AS89" s="136" t="str">
        <f t="shared" si="25"/>
        <v>1.77018067078001E-09j</v>
      </c>
      <c r="AT89" s="136" t="str">
        <f t="shared" si="51"/>
        <v>-1.99746748878492E-15+1.77018067078001E-09j</v>
      </c>
      <c r="AU89" s="179" t="str">
        <f t="shared" si="52"/>
        <v>318723.829785132-564914088.795242j</v>
      </c>
      <c r="AV89" s="136" t="str">
        <f t="shared" si="26"/>
        <v>7999.99999344084-0.229070565177474j</v>
      </c>
      <c r="AW89" s="136"/>
      <c r="AX89" s="136" t="str">
        <f t="shared" si="27"/>
        <v>0.499999999590052-0.0000143169103235921j</v>
      </c>
      <c r="AY89" s="136"/>
      <c r="AZ89" s="136" t="str">
        <f t="shared" si="28"/>
        <v>4.89239945054145-5649.14001398097j</v>
      </c>
      <c r="BA89" s="136" t="str">
        <f t="shared" si="29"/>
        <v>2.36532149227951-2824.57007471868j</v>
      </c>
      <c r="BB89" s="136">
        <f t="shared" si="53"/>
        <v>69.019050117740505</v>
      </c>
      <c r="BC89" s="136">
        <f t="shared" si="54"/>
        <v>90.047980012333028</v>
      </c>
      <c r="BD89" s="136" t="str">
        <f t="shared" si="30"/>
        <v>17.0119688403267-26174.5268093564j</v>
      </c>
      <c r="BE89" s="136">
        <f t="shared" si="55"/>
        <v>88.357578616995283</v>
      </c>
      <c r="BF89" s="136">
        <f t="shared" si="56"/>
        <v>90.037239025775307</v>
      </c>
      <c r="BG89" s="136"/>
      <c r="BH89" s="136" t="str">
        <f t="shared" si="31"/>
        <v>-8.09519797249075-9810.48605971752j</v>
      </c>
      <c r="BI89" s="136">
        <f t="shared" si="57"/>
        <v>79.833813456986974</v>
      </c>
      <c r="BJ89" s="136">
        <f t="shared" si="58"/>
        <v>89.952721957907713</v>
      </c>
      <c r="BK89" s="136"/>
      <c r="BL89" s="136">
        <f t="shared" si="59"/>
        <v>-78.833813456986974</v>
      </c>
      <c r="BM89" s="136">
        <f t="shared" si="60"/>
        <v>-89.952721957907713</v>
      </c>
      <c r="BN89" s="136"/>
      <c r="BO89" s="189"/>
      <c r="BP89" s="189" t="str">
        <f t="shared" si="32"/>
        <v>0.00001+3.5332947520559E-09j</v>
      </c>
      <c r="BQ89" s="189" t="str">
        <f t="shared" si="33"/>
        <v>9.98733425202454E-13+1.76664681141682E-09j</v>
      </c>
      <c r="BR89" s="189" t="str">
        <f t="shared" si="34"/>
        <v>-0.000357165883048973-0.000044181946037781j</v>
      </c>
      <c r="BS89" s="189" t="str">
        <f t="shared" si="35"/>
        <v>0.0000625000009987334+5.29994156347272E-09j</v>
      </c>
      <c r="BT89" s="189" t="str">
        <f t="shared" si="61"/>
        <v>-2.23226338855421E-08-2.76326462979592E-09j</v>
      </c>
      <c r="BU89" s="189" t="str">
        <f t="shared" si="62"/>
        <v>-9.98733425202454E-13-1.76664681141682E-09j</v>
      </c>
      <c r="BV89" s="189" t="str">
        <f t="shared" si="63"/>
        <v>-2.23236326189673E-08-4.52991144121274E-09j</v>
      </c>
      <c r="BW89" s="189" t="str">
        <f t="shared" si="36"/>
        <v>0.999999999968377-5.62341352664957E-06j</v>
      </c>
      <c r="BX89" s="189" t="str">
        <f t="shared" si="64"/>
        <v>-0.00001-3.5332947520559E-09j</v>
      </c>
      <c r="BY89" s="189" t="str">
        <f t="shared" si="65"/>
        <v>430.27033809158-87.1546983381978j</v>
      </c>
      <c r="BZ89" s="136">
        <f t="shared" si="66"/>
        <v>52.849459532228671</v>
      </c>
      <c r="CA89" s="136">
        <f t="shared" si="67"/>
        <v>168.549211622407</v>
      </c>
      <c r="CB89" s="189" t="str">
        <f t="shared" si="37"/>
        <v>3987.04680045074-808.38634897215j</v>
      </c>
      <c r="CC89" s="136" t="str">
        <f t="shared" si="38"/>
        <v>1493.9384124236-305.195728371236j</v>
      </c>
      <c r="CD89" s="136">
        <f t="shared" si="68"/>
        <v>63.664222871475111</v>
      </c>
      <c r="CE89" s="136">
        <f t="shared" si="69"/>
        <v>168.45395356798167</v>
      </c>
      <c r="CF89" s="136"/>
      <c r="CG89" s="136">
        <f t="shared" si="70"/>
        <v>-62.664222871475111</v>
      </c>
      <c r="CH89" s="136">
        <f t="shared" si="71"/>
        <v>-168.45395356798167</v>
      </c>
      <c r="CI89" s="77"/>
      <c r="CJ89" s="189"/>
      <c r="CK89" s="189"/>
      <c r="CL89" s="189"/>
      <c r="CM89" s="77"/>
      <c r="CN89" s="189">
        <v>331.13112148259103</v>
      </c>
      <c r="CO89" s="189">
        <v>45.632384664672102</v>
      </c>
      <c r="CP89" s="189">
        <v>91.589719719866196</v>
      </c>
      <c r="CQ89" s="74"/>
      <c r="CR89" s="75"/>
      <c r="CS89" s="75"/>
      <c r="CT89" s="75"/>
      <c r="CU89" s="74"/>
      <c r="CV89" s="75"/>
      <c r="CW89" s="75"/>
      <c r="CX89" s="75"/>
      <c r="CY89" s="74"/>
      <c r="CZ89" s="75"/>
      <c r="DA89" s="75"/>
      <c r="DB89" s="75"/>
      <c r="DC89" s="74"/>
      <c r="DD89" s="75"/>
      <c r="DE89" s="75"/>
      <c r="DF89" s="75"/>
      <c r="DG89" s="74"/>
      <c r="DH89" s="75"/>
      <c r="DI89" s="75"/>
      <c r="DJ89" s="75"/>
      <c r="DK89" s="74"/>
      <c r="DL89" s="75"/>
      <c r="DM89" s="75"/>
      <c r="DN89" s="75"/>
      <c r="DO89" s="76"/>
    </row>
    <row r="90" spans="1:119" x14ac:dyDescent="0.25">
      <c r="A90" s="136">
        <v>41</v>
      </c>
      <c r="B90" s="136">
        <f t="shared" si="0"/>
        <v>16.982436524617448</v>
      </c>
      <c r="C90" s="136" t="str">
        <f t="shared" si="7"/>
        <v>106.703795651586j</v>
      </c>
      <c r="D90" s="136">
        <f t="shared" si="1"/>
        <v>0.99999999278992124</v>
      </c>
      <c r="E90" s="136" t="str">
        <f t="shared" si="2"/>
        <v>-0.000133379744564483j</v>
      </c>
      <c r="F90" s="136" t="str">
        <f t="shared" si="8"/>
        <v>0.999999992789921-0.000133379744564483j</v>
      </c>
      <c r="G90" s="136">
        <f t="shared" si="9"/>
        <v>1.4635717524154502E-8</v>
      </c>
      <c r="H90" s="136">
        <f t="shared" si="10"/>
        <v>-7.6420964458599463E-3</v>
      </c>
      <c r="I90" s="136"/>
      <c r="J90" s="136">
        <f t="shared" si="3"/>
        <v>7.0726915520628681</v>
      </c>
      <c r="K90" s="136" t="str">
        <f t="shared" si="4"/>
        <v>1+0.00783198746496265j</v>
      </c>
      <c r="L90" s="136">
        <f t="shared" si="5"/>
        <v>0.99999665062143106</v>
      </c>
      <c r="M90" s="136" t="str">
        <f t="shared" si="6"/>
        <v>0.000573179248772139j</v>
      </c>
      <c r="N90" s="136" t="str">
        <f t="shared" si="11"/>
        <v>0.999996650621431+0.000573179248772139j</v>
      </c>
      <c r="O90" s="136" t="str">
        <f t="shared" si="12"/>
        <v>1.00000094545064+0.00257552323870491j</v>
      </c>
      <c r="P90" s="136" t="str">
        <f t="shared" si="13"/>
        <v>7.07269823894362+0.0182158814525298j</v>
      </c>
      <c r="Q90" s="136"/>
      <c r="R90" s="136">
        <f t="shared" si="14"/>
        <v>11.787819253438114</v>
      </c>
      <c r="S90" s="136" t="str">
        <f t="shared" si="15"/>
        <v>1+2.49875573502893E-06j</v>
      </c>
      <c r="T90" s="136" t="str">
        <f t="shared" si="16"/>
        <v>0.999999578338221+0.000203371671895198j</v>
      </c>
      <c r="U90" s="136" t="str">
        <f t="shared" si="39"/>
        <v>1.00000038081005-0.000200873078306644j</v>
      </c>
      <c r="V90" s="136" t="str">
        <f t="shared" si="40"/>
        <v>11.7878237423582-0.00236785553996044j</v>
      </c>
      <c r="W90" s="136"/>
      <c r="X90" s="136" t="str">
        <f t="shared" si="17"/>
        <v>1.66801227201865+0.00421706124726109j</v>
      </c>
      <c r="Y90" s="136">
        <f t="shared" si="41"/>
        <v>4.4440125897433234</v>
      </c>
      <c r="Z90" s="136">
        <f t="shared" si="42"/>
        <v>-179.85514537232223</v>
      </c>
      <c r="AA90" s="136"/>
      <c r="AB90" s="136" t="str">
        <f t="shared" si="18"/>
        <v>9.2667284911024-0.00186143556898624j</v>
      </c>
      <c r="AC90" s="136">
        <f t="shared" si="43"/>
        <v>19.338528948677268</v>
      </c>
      <c r="AD90" s="136">
        <f t="shared" si="44"/>
        <v>179.98849082493282</v>
      </c>
      <c r="AE90" s="136"/>
      <c r="AF90" s="136" t="str">
        <f t="shared" si="45"/>
        <v>3.47326078486322-0.00618752364807308j</v>
      </c>
      <c r="AG90" s="136">
        <f t="shared" si="46"/>
        <v>10.814761641375249</v>
      </c>
      <c r="AH90" s="136">
        <f t="shared" si="47"/>
        <v>179.8979291686999</v>
      </c>
      <c r="AI90" s="136"/>
      <c r="AJ90" s="136" t="str">
        <f t="shared" si="19"/>
        <v>99999.985666255-37.8599299524796j</v>
      </c>
      <c r="AK90" s="136" t="str">
        <f t="shared" si="20"/>
        <v>19047.6190476023-0.0178568402695513j</v>
      </c>
      <c r="AL90" s="136" t="str">
        <f t="shared" si="21"/>
        <v>10000-586958799.576176j</v>
      </c>
      <c r="AM90" s="136" t="str">
        <f t="shared" si="22"/>
        <v>963.13911996216-182159627.465992j</v>
      </c>
      <c r="AN90" s="136" t="str">
        <f t="shared" si="48"/>
        <v>10963.1391199622-182159627.465992j</v>
      </c>
      <c r="AO90" s="136" t="str">
        <f t="shared" si="49"/>
        <v>19047.6187157317-2.00958127687526j</v>
      </c>
      <c r="AP90" s="136" t="str">
        <f t="shared" si="50"/>
        <v>0.160000003114668+0.0000507577550936116j</v>
      </c>
      <c r="AQ90" s="136" t="str">
        <f t="shared" si="23"/>
        <v>1+0.000605758966067619j</v>
      </c>
      <c r="AR90" s="136" t="str">
        <f t="shared" si="24"/>
        <v>1+0.0000012090997326699j</v>
      </c>
      <c r="AS90" s="136" t="str">
        <f t="shared" si="25"/>
        <v>1.89678276249923E-09j</v>
      </c>
      <c r="AT90" s="136" t="str">
        <f t="shared" si="51"/>
        <v>-2.29339953107069E-15+1.89678276249923E-09j</v>
      </c>
      <c r="AU90" s="179" t="str">
        <f t="shared" si="52"/>
        <v>318723.829785073-527208502.998702j</v>
      </c>
      <c r="AV90" s="136" t="str">
        <f t="shared" si="26"/>
        <v>7999.99999246907-0.245453532819537j</v>
      </c>
      <c r="AW90" s="136"/>
      <c r="AX90" s="136" t="str">
        <f t="shared" si="27"/>
        <v>0.499999999529317-0.0000153408458012211j</v>
      </c>
      <c r="AY90" s="136"/>
      <c r="AZ90" s="136" t="str">
        <f t="shared" si="28"/>
        <v>4.89239945740503-5272.08409350974j</v>
      </c>
      <c r="BA90" s="136" t="str">
        <f t="shared" si="29"/>
        <v>2.36532149727014-2636.04211932694j</v>
      </c>
      <c r="BB90" s="136">
        <f t="shared" si="53"/>
        <v>68.419050401532843</v>
      </c>
      <c r="BC90" s="136">
        <f t="shared" si="54"/>
        <v>90.051411508799319</v>
      </c>
      <c r="BD90" s="136" t="str">
        <f t="shared" si="30"/>
        <v>17.0119695471091-24427.4910138065j</v>
      </c>
      <c r="BE90" s="136">
        <f t="shared" si="55"/>
        <v>87.757579350210108</v>
      </c>
      <c r="BF90" s="136">
        <f t="shared" si="56"/>
        <v>90.039902333732158</v>
      </c>
      <c r="BG90" s="136"/>
      <c r="BH90" s="136" t="str">
        <f t="shared" si="31"/>
        <v>-8.09519455058981-9155.67635578871j</v>
      </c>
      <c r="BI90" s="136">
        <f t="shared" si="57"/>
        <v>79.233812042908085</v>
      </c>
      <c r="BJ90" s="136">
        <f t="shared" si="58"/>
        <v>89.949340677499222</v>
      </c>
      <c r="BK90" s="136"/>
      <c r="BL90" s="136">
        <f t="shared" si="59"/>
        <v>-78.233812042908085</v>
      </c>
      <c r="BM90" s="136">
        <f t="shared" si="60"/>
        <v>-89.949340677499222</v>
      </c>
      <c r="BN90" s="136"/>
      <c r="BO90" s="189"/>
      <c r="BP90" s="189" t="str">
        <f t="shared" si="32"/>
        <v>0.00001+3.78599353792262E-09j</v>
      </c>
      <c r="BQ90" s="189" t="str">
        <f t="shared" si="33"/>
        <v>1.14669934476099E-12+1.8929960743379E-09j</v>
      </c>
      <c r="BR90" s="189" t="str">
        <f t="shared" si="34"/>
        <v>-0.000357169294419286-0.0000473418062174232j</v>
      </c>
      <c r="BS90" s="189" t="str">
        <f t="shared" si="35"/>
        <v>0.0000625000011466994+5.67898961226052E-09j</v>
      </c>
      <c r="BT90" s="189" t="str">
        <f t="shared" si="61"/>
        <v>-2.23228124571455E-08-2.9608913035886E-09j</v>
      </c>
      <c r="BU90" s="189" t="str">
        <f t="shared" si="62"/>
        <v>-1.14669934476099E-12-1.8929960743379E-09j</v>
      </c>
      <c r="BV90" s="189" t="str">
        <f t="shared" si="63"/>
        <v>-2.23239591564903E-08-4.8538873779265E-09j</v>
      </c>
      <c r="BW90" s="189" t="str">
        <f t="shared" si="36"/>
        <v>0.999999999963692-6.02559615511107E-06j</v>
      </c>
      <c r="BX90" s="189" t="str">
        <f t="shared" si="64"/>
        <v>-0.00001-3.78599353792262E-09j</v>
      </c>
      <c r="BY90" s="189" t="str">
        <f t="shared" si="65"/>
        <v>427.76276763943-92.8413524898041j</v>
      </c>
      <c r="BZ90" s="136">
        <f t="shared" si="66"/>
        <v>52.823966428615876</v>
      </c>
      <c r="CA90" s="136">
        <f t="shared" si="67"/>
        <v>167.75448325227796</v>
      </c>
      <c r="CB90" s="189" t="str">
        <f t="shared" si="37"/>
        <v>3963.78860812132-861.13185910052j</v>
      </c>
      <c r="CC90" s="136" t="str">
        <f t="shared" si="38"/>
        <v>1485.15718800254-325.109021057034j</v>
      </c>
      <c r="CD90" s="136">
        <f t="shared" si="68"/>
        <v>63.638728069991124</v>
      </c>
      <c r="CE90" s="136">
        <f t="shared" si="69"/>
        <v>167.65241242097787</v>
      </c>
      <c r="CF90" s="136"/>
      <c r="CG90" s="136">
        <f t="shared" si="70"/>
        <v>-62.638728069991124</v>
      </c>
      <c r="CH90" s="136">
        <f t="shared" si="71"/>
        <v>-167.65241242097787</v>
      </c>
      <c r="CI90" s="77"/>
      <c r="CJ90" s="189"/>
      <c r="CK90" s="189"/>
      <c r="CL90" s="189"/>
      <c r="CM90" s="77"/>
      <c r="CN90" s="189">
        <v>346.73685045253097</v>
      </c>
      <c r="CO90" s="189">
        <v>45.231989267853699</v>
      </c>
      <c r="CP90" s="189">
        <v>91.300558788183494</v>
      </c>
      <c r="CQ90" s="74"/>
      <c r="CR90" s="75"/>
      <c r="CS90" s="75"/>
      <c r="CT90" s="75"/>
      <c r="CU90" s="74"/>
      <c r="CV90" s="75"/>
      <c r="CW90" s="75"/>
      <c r="CX90" s="75"/>
      <c r="CY90" s="74"/>
      <c r="CZ90" s="75"/>
      <c r="DA90" s="75"/>
      <c r="DB90" s="75"/>
      <c r="DC90" s="74"/>
      <c r="DD90" s="75"/>
      <c r="DE90" s="75"/>
      <c r="DF90" s="75"/>
      <c r="DG90" s="74"/>
      <c r="DH90" s="75"/>
      <c r="DI90" s="75"/>
      <c r="DJ90" s="75"/>
      <c r="DK90" s="74"/>
      <c r="DL90" s="75"/>
      <c r="DM90" s="75"/>
      <c r="DN90" s="75"/>
      <c r="DO90" s="76"/>
    </row>
    <row r="91" spans="1:119" x14ac:dyDescent="0.25">
      <c r="A91" s="136">
        <v>42</v>
      </c>
      <c r="B91" s="136">
        <f t="shared" si="0"/>
        <v>18.197008586099841</v>
      </c>
      <c r="C91" s="136" t="str">
        <f t="shared" si="7"/>
        <v>114.335176982803j</v>
      </c>
      <c r="D91" s="136">
        <f t="shared" si="1"/>
        <v>0.99999999172172194</v>
      </c>
      <c r="E91" s="136" t="str">
        <f t="shared" si="2"/>
        <v>-0.000142918971228504j</v>
      </c>
      <c r="F91" s="136" t="str">
        <f t="shared" si="8"/>
        <v>0.999999991721722-0.000142918971228504j</v>
      </c>
      <c r="G91" s="136">
        <f t="shared" si="9"/>
        <v>1.6804054116493666E-8</v>
      </c>
      <c r="H91" s="136">
        <f t="shared" si="10"/>
        <v>-8.1886538757795172E-3</v>
      </c>
      <c r="I91" s="136"/>
      <c r="J91" s="136">
        <f t="shared" si="3"/>
        <v>7.0726915520628681</v>
      </c>
      <c r="K91" s="136" t="str">
        <f t="shared" si="4"/>
        <v>1+0.00839212576708642j</v>
      </c>
      <c r="L91" s="136">
        <f t="shared" si="5"/>
        <v>0.99999615439886624</v>
      </c>
      <c r="M91" s="136" t="str">
        <f t="shared" si="6"/>
        <v>0.000614172630420935j</v>
      </c>
      <c r="N91" s="136" t="str">
        <f t="shared" si="11"/>
        <v>0.999996154398866+0.000614172630420935j</v>
      </c>
      <c r="O91" s="136" t="str">
        <f t="shared" si="12"/>
        <v>1.00000108552268+0.00275972301323832j</v>
      </c>
      <c r="P91" s="136" t="str">
        <f t="shared" si="13"/>
        <v>7.07269922962996+0.0195186696417642j</v>
      </c>
      <c r="Q91" s="136"/>
      <c r="R91" s="136">
        <f t="shared" si="14"/>
        <v>11.787819253438114</v>
      </c>
      <c r="S91" s="136" t="str">
        <f t="shared" si="15"/>
        <v>1+2.67746500915668E-06j</v>
      </c>
      <c r="T91" s="136" t="str">
        <f t="shared" si="16"/>
        <v>0.999999515867501+0.000217916672574153j</v>
      </c>
      <c r="U91" s="136" t="str">
        <f t="shared" si="39"/>
        <v>1.00000043722846-0.000215239407048758j</v>
      </c>
      <c r="V91" s="136" t="str">
        <f t="shared" si="40"/>
        <v>11.7878244074082-0.00253720322650795j</v>
      </c>
      <c r="W91" s="136"/>
      <c r="X91" s="136" t="str">
        <f t="shared" si="17"/>
        <v>1.66801253555678+0.00451866276199661j</v>
      </c>
      <c r="Y91" s="136">
        <f t="shared" si="41"/>
        <v>4.444018074651666</v>
      </c>
      <c r="Z91" s="136">
        <f t="shared" si="42"/>
        <v>-179.84478553580649</v>
      </c>
      <c r="AA91" s="136"/>
      <c r="AB91" s="136" t="str">
        <f t="shared" si="18"/>
        <v>9.26672901391627-0.00199456438615654j</v>
      </c>
      <c r="AC91" s="136">
        <f t="shared" si="43"/>
        <v>19.338529464683255</v>
      </c>
      <c r="AD91" s="136">
        <f t="shared" si="44"/>
        <v>179.9876676959737</v>
      </c>
      <c r="AE91" s="136"/>
      <c r="AF91" s="136" t="str">
        <f t="shared" si="45"/>
        <v>3.4732591888033-0.00663004806372586j</v>
      </c>
      <c r="AG91" s="136">
        <f t="shared" si="46"/>
        <v>10.814759691958942</v>
      </c>
      <c r="AH91" s="136">
        <f t="shared" si="47"/>
        <v>179.89062914974886</v>
      </c>
      <c r="AI91" s="136"/>
      <c r="AJ91" s="136" t="str">
        <f t="shared" si="19"/>
        <v>99999.9835426591-40.5676449775324j</v>
      </c>
      <c r="AK91" s="136" t="str">
        <f t="shared" si="20"/>
        <v>19047.6190475998-0.019133949079366j</v>
      </c>
      <c r="AL91" s="136" t="str">
        <f t="shared" si="21"/>
        <v>10000-547781824.095106j</v>
      </c>
      <c r="AM91" s="136" t="str">
        <f t="shared" si="22"/>
        <v>963.13911994246-170001255.76578j</v>
      </c>
      <c r="AN91" s="136" t="str">
        <f t="shared" si="48"/>
        <v>10963.1391199425-170001255.76578j</v>
      </c>
      <c r="AO91" s="136" t="str">
        <f t="shared" si="49"/>
        <v>19047.6186665614-2.15330512488467j</v>
      </c>
      <c r="AP91" s="136" t="str">
        <f t="shared" si="50"/>
        <v>0.160000003576117+0.0000543879144429857j</v>
      </c>
      <c r="AQ91" s="136" t="str">
        <f t="shared" si="23"/>
        <v>1+0.000649082426462226j</v>
      </c>
      <c r="AR91" s="136" t="str">
        <f t="shared" si="24"/>
        <v>1+1.29557370551342E-06j</v>
      </c>
      <c r="AS91" s="136" t="str">
        <f t="shared" si="25"/>
        <v>2.03243934785984E-09j</v>
      </c>
      <c r="AT91" s="136" t="str">
        <f t="shared" si="51"/>
        <v>-2.63317497713805E-15+2.03243934785984E-09j</v>
      </c>
      <c r="AU91" s="179" t="str">
        <f t="shared" si="52"/>
        <v>318723.829785005-492019602.893566j</v>
      </c>
      <c r="AV91" s="136" t="str">
        <f t="shared" si="26"/>
        <v>7999.99999135334-0.263008198918226j</v>
      </c>
      <c r="AW91" s="136"/>
      <c r="AX91" s="136" t="str">
        <f t="shared" si="27"/>
        <v>0.499999999459584-0.0000164380124323891j</v>
      </c>
      <c r="AY91" s="136"/>
      <c r="AZ91" s="136" t="str">
        <f t="shared" si="28"/>
        <v>4.89239946528549-4920.19502548218j</v>
      </c>
      <c r="BA91" s="136" t="str">
        <f t="shared" si="29"/>
        <v>2.36532150300016-2460.09759050346j</v>
      </c>
      <c r="BB91" s="136">
        <f t="shared" si="53"/>
        <v>67.819050727369955</v>
      </c>
      <c r="BC91" s="136">
        <f t="shared" si="54"/>
        <v>90.055088423351975</v>
      </c>
      <c r="BD91" s="136" t="str">
        <f t="shared" si="30"/>
        <v>17.0119703586039-22797.06243677j</v>
      </c>
      <c r="BE91" s="136">
        <f t="shared" si="55"/>
        <v>87.157580192053246</v>
      </c>
      <c r="BF91" s="136">
        <f t="shared" si="56"/>
        <v>90.042756119325645</v>
      </c>
      <c r="BG91" s="136"/>
      <c r="BH91" s="136" t="str">
        <f t="shared" si="31"/>
        <v>-8.09519062172482-8544.57224376427j</v>
      </c>
      <c r="BI91" s="136">
        <f t="shared" si="57"/>
        <v>78.633810419328938</v>
      </c>
      <c r="BJ91" s="136">
        <f t="shared" si="58"/>
        <v>89.945717573100836</v>
      </c>
      <c r="BK91" s="136"/>
      <c r="BL91" s="136">
        <f t="shared" si="59"/>
        <v>-77.633810419328938</v>
      </c>
      <c r="BM91" s="136">
        <f t="shared" si="60"/>
        <v>-89.945717573100836</v>
      </c>
      <c r="BN91" s="136"/>
      <c r="BO91" s="189"/>
      <c r="BP91" s="189" t="str">
        <f t="shared" si="32"/>
        <v>0.00001+4.05676516538891E-09j</v>
      </c>
      <c r="BQ91" s="189" t="str">
        <f t="shared" si="33"/>
        <v>1.31658693388043E-12+2.02838172812102E-09j</v>
      </c>
      <c r="BR91" s="189" t="str">
        <f t="shared" si="34"/>
        <v>-0.000357173211196132-0.0000507276569630938j</v>
      </c>
      <c r="BS91" s="189" t="str">
        <f t="shared" si="35"/>
        <v>0.0000625000013165869+6.08514689350993E-09j</v>
      </c>
      <c r="BT91" s="189" t="str">
        <f t="shared" si="61"/>
        <v>-2.23230174847636E-08-3.17265207843729E-09j</v>
      </c>
      <c r="BU91" s="189" t="str">
        <f t="shared" si="62"/>
        <v>-1.31658693388043E-12-2.02838172812102E-09j</v>
      </c>
      <c r="BV91" s="189" t="str">
        <f t="shared" si="63"/>
        <v>-2.23243340716975E-08-5.20103380655831E-09j</v>
      </c>
      <c r="BW91" s="189" t="str">
        <f t="shared" si="36"/>
        <v>0.999999999958313-6.45654260573228E-06j</v>
      </c>
      <c r="BX91" s="189" t="str">
        <f t="shared" si="64"/>
        <v>-0.00001-4.05676516538891E-09j</v>
      </c>
      <c r="BY91" s="189" t="str">
        <f t="shared" si="65"/>
        <v>424.919648131722-98.8172479492484j</v>
      </c>
      <c r="BZ91" s="136">
        <f t="shared" si="66"/>
        <v>52.794879793598781</v>
      </c>
      <c r="CA91" s="136">
        <f t="shared" si="67"/>
        <v>166.90827001831431</v>
      </c>
      <c r="CB91" s="189" t="str">
        <f t="shared" si="37"/>
        <v>3937.41813456182-916.5601882438j</v>
      </c>
      <c r="CC91" s="136" t="str">
        <f t="shared" si="38"/>
        <v>1475.20090927314-346.035152142316j</v>
      </c>
      <c r="CD91" s="136">
        <f t="shared" si="68"/>
        <v>63.609639485557715</v>
      </c>
      <c r="CE91" s="136">
        <f t="shared" si="69"/>
        <v>166.79889916806317</v>
      </c>
      <c r="CF91" s="136"/>
      <c r="CG91" s="136">
        <f t="shared" si="70"/>
        <v>-62.609639485557715</v>
      </c>
      <c r="CH91" s="136">
        <f t="shared" si="71"/>
        <v>-166.79889916806317</v>
      </c>
      <c r="CI91" s="77"/>
      <c r="CJ91" s="189"/>
      <c r="CK91" s="189"/>
      <c r="CL91" s="189"/>
      <c r="CM91" s="77"/>
      <c r="CN91" s="189">
        <v>363.07805477010101</v>
      </c>
      <c r="CO91" s="189">
        <v>44.831220754926001</v>
      </c>
      <c r="CP91" s="189">
        <v>91.014243869260596</v>
      </c>
      <c r="CQ91" s="74"/>
      <c r="CR91" s="75"/>
      <c r="CS91" s="75"/>
      <c r="CT91" s="75"/>
      <c r="CU91" s="74"/>
      <c r="CV91" s="75"/>
      <c r="CW91" s="75"/>
      <c r="CX91" s="75"/>
      <c r="CY91" s="74"/>
      <c r="CZ91" s="75"/>
      <c r="DA91" s="75"/>
      <c r="DB91" s="75"/>
      <c r="DC91" s="74"/>
      <c r="DD91" s="75"/>
      <c r="DE91" s="75"/>
      <c r="DF91" s="75"/>
      <c r="DG91" s="74"/>
      <c r="DH91" s="75"/>
      <c r="DI91" s="75"/>
      <c r="DJ91" s="75"/>
      <c r="DK91" s="74"/>
      <c r="DL91" s="75"/>
      <c r="DM91" s="75"/>
      <c r="DN91" s="75"/>
      <c r="DO91" s="76"/>
    </row>
    <row r="92" spans="1:119" x14ac:dyDescent="0.25">
      <c r="A92" s="136">
        <v>43</v>
      </c>
      <c r="B92" s="136">
        <f t="shared" si="0"/>
        <v>19.498445997580465</v>
      </c>
      <c r="C92" s="136" t="str">
        <f t="shared" si="7"/>
        <v>122.512349404832j</v>
      </c>
      <c r="D92" s="136">
        <f t="shared" si="1"/>
        <v>0.99999999049526511</v>
      </c>
      <c r="E92" s="136" t="str">
        <f t="shared" si="2"/>
        <v>-0.00015314043675604j</v>
      </c>
      <c r="F92" s="136" t="str">
        <f t="shared" si="8"/>
        <v>0.999999990495265-0.00015314043675604j</v>
      </c>
      <c r="G92" s="136">
        <f t="shared" si="9"/>
        <v>1.9293633259206937E-8</v>
      </c>
      <c r="H92" s="136">
        <f t="shared" si="10"/>
        <v>-8.7743007137169853E-3</v>
      </c>
      <c r="I92" s="136"/>
      <c r="J92" s="136">
        <f t="shared" si="3"/>
        <v>7.0726915520628681</v>
      </c>
      <c r="K92" s="136" t="str">
        <f t="shared" si="4"/>
        <v>1+0.00899232477141507j</v>
      </c>
      <c r="L92" s="136">
        <f t="shared" si="5"/>
        <v>0.99999558465913141</v>
      </c>
      <c r="M92" s="136" t="str">
        <f t="shared" si="6"/>
        <v>0.000658097830244595j</v>
      </c>
      <c r="N92" s="136" t="str">
        <f t="shared" si="11"/>
        <v>0.999995584659131+0.000658097830244595j</v>
      </c>
      <c r="O92" s="136" t="str">
        <f t="shared" si="12"/>
        <v>1.00000124634693+0.00295709666034133j</v>
      </c>
      <c r="P92" s="136" t="str">
        <f t="shared" si="13"/>
        <v>7.07270036709027+0.0209146325682294j</v>
      </c>
      <c r="Q92" s="136"/>
      <c r="R92" s="136">
        <f t="shared" si="14"/>
        <v>11.787819253438114</v>
      </c>
      <c r="S92" s="136" t="str">
        <f t="shared" si="15"/>
        <v>1+2.86895544640957E-06j</v>
      </c>
      <c r="T92" s="136" t="str">
        <f t="shared" si="16"/>
        <v>0.999999444141518+0.000233501921596347j</v>
      </c>
      <c r="U92" s="136" t="str">
        <f t="shared" si="39"/>
        <v>1.00000050200546-0.000230633211568605j</v>
      </c>
      <c r="V92" s="136" t="str">
        <f t="shared" si="40"/>
        <v>11.7878251709877-0.00271866261181067j</v>
      </c>
      <c r="W92" s="136"/>
      <c r="X92" s="136" t="str">
        <f t="shared" si="17"/>
        <v>1.66801283813908+0.00484183465914784j</v>
      </c>
      <c r="Y92" s="136">
        <f t="shared" si="41"/>
        <v>4.4440243721619925</v>
      </c>
      <c r="Z92" s="136">
        <f t="shared" si="42"/>
        <v>-179.8336847861361</v>
      </c>
      <c r="AA92" s="136"/>
      <c r="AB92" s="136" t="str">
        <f t="shared" si="18"/>
        <v>9.26672961418686-0.00213721453876446j</v>
      </c>
      <c r="AC92" s="136">
        <f t="shared" si="43"/>
        <v>19.338530057137319</v>
      </c>
      <c r="AD92" s="136">
        <f t="shared" si="44"/>
        <v>179.98678569722952</v>
      </c>
      <c r="AE92" s="136"/>
      <c r="AF92" s="136" t="str">
        <f t="shared" si="45"/>
        <v>3.47325735628306-0.00710422083267649j</v>
      </c>
      <c r="AG92" s="136">
        <f t="shared" si="46"/>
        <v>10.814757453730554</v>
      </c>
      <c r="AH92" s="136">
        <f t="shared" si="47"/>
        <v>179.88280704219588</v>
      </c>
      <c r="AI92" s="136"/>
      <c r="AJ92" s="136" t="str">
        <f t="shared" si="19"/>
        <v>99999.9811044449-43.4690137015835j</v>
      </c>
      <c r="AK92" s="136" t="str">
        <f t="shared" si="20"/>
        <v>19047.619047597-0.0205023958239709j</v>
      </c>
      <c r="AL92" s="136" t="str">
        <f t="shared" si="21"/>
        <v>10000-511219743.235179j</v>
      </c>
      <c r="AM92" s="136" t="str">
        <f t="shared" si="22"/>
        <v>963.13911991984-158654403.08598j</v>
      </c>
      <c r="AN92" s="136" t="str">
        <f t="shared" si="48"/>
        <v>10963.1391199198-158654403.08598j</v>
      </c>
      <c r="AO92" s="136" t="str">
        <f t="shared" si="49"/>
        <v>19047.6186101065-2.30730800063932j</v>
      </c>
      <c r="AP92" s="136" t="str">
        <f t="shared" si="50"/>
        <v>0.160000004105932+0.0000582777002599426j</v>
      </c>
      <c r="AQ92" s="136" t="str">
        <f t="shared" si="23"/>
        <v>1+0.000695504350644744j</v>
      </c>
      <c r="AR92" s="136" t="str">
        <f t="shared" si="24"/>
        <v>1+1.38823223681586E-06j</v>
      </c>
      <c r="AS92" s="136" t="str">
        <f t="shared" si="25"/>
        <v>2.17779799795635E-09j</v>
      </c>
      <c r="AT92" s="136" t="str">
        <f t="shared" si="51"/>
        <v>-3.02328938603605E-15+2.17779799795635E-09j</v>
      </c>
      <c r="AU92" s="179" t="str">
        <f t="shared" si="52"/>
        <v>318723.829784925-459179410.533941j</v>
      </c>
      <c r="AV92" s="136" t="str">
        <f t="shared" si="26"/>
        <v>7999.9999900723-0.281818362531525j</v>
      </c>
      <c r="AW92" s="136"/>
      <c r="AX92" s="136" t="str">
        <f t="shared" si="27"/>
        <v>0.499999999379519-0.0000176136476582203j</v>
      </c>
      <c r="AY92" s="136"/>
      <c r="AZ92" s="136" t="str">
        <f t="shared" si="28"/>
        <v>4.89239947433341-4591.79303011964j</v>
      </c>
      <c r="BA92" s="136" t="str">
        <f t="shared" si="29"/>
        <v>2.36532150957906-2295.8965983837j</v>
      </c>
      <c r="BB92" s="136">
        <f t="shared" si="53"/>
        <v>67.219051101481</v>
      </c>
      <c r="BC92" s="136">
        <f t="shared" si="54"/>
        <v>90.0590283080859</v>
      </c>
      <c r="BD92" s="136" t="str">
        <f t="shared" si="30"/>
        <v>17.0119712903239-21275.4580545526j</v>
      </c>
      <c r="BE92" s="136">
        <f t="shared" si="55"/>
        <v>86.557581158618305</v>
      </c>
      <c r="BF92" s="136">
        <f t="shared" si="56"/>
        <v>90.045814005315435</v>
      </c>
      <c r="BG92" s="136"/>
      <c r="BH92" s="136" t="str">
        <f t="shared" si="31"/>
        <v>-8.09518611078854-7974.25655336778j</v>
      </c>
      <c r="BI92" s="136">
        <f t="shared" si="57"/>
        <v>78.033808555211536</v>
      </c>
      <c r="BJ92" s="136">
        <f t="shared" si="58"/>
        <v>89.941835350281792</v>
      </c>
      <c r="BK92" s="136"/>
      <c r="BL92" s="136">
        <f t="shared" si="59"/>
        <v>-77.033808555211536</v>
      </c>
      <c r="BM92" s="136">
        <f t="shared" si="60"/>
        <v>-89.941835350281792</v>
      </c>
      <c r="BN92" s="136"/>
      <c r="BO92" s="189"/>
      <c r="BP92" s="189" t="str">
        <f t="shared" si="32"/>
        <v>0.00001+4.34690219152965E-09j</v>
      </c>
      <c r="BQ92" s="189" t="str">
        <f t="shared" si="33"/>
        <v>1.51164396179608E-12+2.17345004440988E-09j</v>
      </c>
      <c r="BR92" s="189" t="str">
        <f t="shared" si="34"/>
        <v>-0.000357177708257203-0.0000543556608620541j</v>
      </c>
      <c r="BS92" s="189" t="str">
        <f t="shared" si="35"/>
        <v>0.000062500001511644+6.52035223593953E-09j</v>
      </c>
      <c r="BT92" s="189" t="str">
        <f t="shared" si="61"/>
        <v>-2.23232528879459E-08-3.39955781051345E-09j</v>
      </c>
      <c r="BU92" s="189" t="str">
        <f t="shared" si="62"/>
        <v>-1.51164396179608E-12-2.17345004440988E-09j</v>
      </c>
      <c r="BV92" s="189" t="str">
        <f t="shared" si="63"/>
        <v>-2.23247645319077E-08-5.57300785492333E-09j</v>
      </c>
      <c r="BW92" s="189" t="str">
        <f t="shared" si="36"/>
        <v>0.999999999952137-6.91831004708853E-06j</v>
      </c>
      <c r="BX92" s="189" t="str">
        <f t="shared" si="64"/>
        <v>-0.00001-4.34690219152965E-09j</v>
      </c>
      <c r="BY92" s="189" t="str">
        <f t="shared" si="65"/>
        <v>421.701762199516-105.079250028784j</v>
      </c>
      <c r="BZ92" s="136">
        <f t="shared" si="66"/>
        <v>52.76172235516718</v>
      </c>
      <c r="CA92" s="136">
        <f t="shared" si="67"/>
        <v>166.00803445714175</v>
      </c>
      <c r="CB92" s="189" t="str">
        <f t="shared" si="37"/>
        <v>3907.57163122816-974.642265215474j</v>
      </c>
      <c r="CC92" s="136" t="str">
        <f t="shared" si="38"/>
        <v>1463.93224151986-367.963140599375j</v>
      </c>
      <c r="CD92" s="136">
        <f t="shared" si="68"/>
        <v>63.576479808897723</v>
      </c>
      <c r="CE92" s="136">
        <f t="shared" si="69"/>
        <v>165.8908414993376</v>
      </c>
      <c r="CF92" s="136"/>
      <c r="CG92" s="136">
        <f t="shared" si="70"/>
        <v>-62.576479808897723</v>
      </c>
      <c r="CH92" s="136">
        <f t="shared" si="71"/>
        <v>-165.8908414993376</v>
      </c>
      <c r="CI92" s="77"/>
      <c r="CJ92" s="189"/>
      <c r="CK92" s="189"/>
      <c r="CL92" s="189"/>
      <c r="CM92" s="77"/>
      <c r="CN92" s="189">
        <v>380.189396320561</v>
      </c>
      <c r="CO92" s="189">
        <v>44.430072973836502</v>
      </c>
      <c r="CP92" s="189">
        <v>90.730206175770704</v>
      </c>
      <c r="CQ92" s="74"/>
      <c r="CR92" s="75"/>
      <c r="CS92" s="75"/>
      <c r="CT92" s="75"/>
      <c r="CU92" s="74"/>
      <c r="CV92" s="75"/>
      <c r="CW92" s="75"/>
      <c r="CX92" s="75"/>
      <c r="CY92" s="74"/>
      <c r="CZ92" s="75"/>
      <c r="DA92" s="75"/>
      <c r="DB92" s="75"/>
      <c r="DC92" s="74"/>
      <c r="DD92" s="75"/>
      <c r="DE92" s="75"/>
      <c r="DF92" s="75"/>
      <c r="DG92" s="74"/>
      <c r="DH92" s="75"/>
      <c r="DI92" s="75"/>
      <c r="DJ92" s="75"/>
      <c r="DK92" s="74"/>
      <c r="DL92" s="75"/>
      <c r="DM92" s="75"/>
      <c r="DN92" s="75"/>
      <c r="DO92" s="76"/>
    </row>
    <row r="93" spans="1:119" x14ac:dyDescent="0.25">
      <c r="A93" s="136">
        <v>44</v>
      </c>
      <c r="B93" s="136">
        <f t="shared" si="0"/>
        <v>20.892961308540393</v>
      </c>
      <c r="C93" s="136" t="str">
        <f t="shared" si="7"/>
        <v>131.274347517293j</v>
      </c>
      <c r="D93" s="136">
        <f t="shared" si="1"/>
        <v>0.99999998908710419</v>
      </c>
      <c r="E93" s="136" t="str">
        <f t="shared" si="2"/>
        <v>-0.000164092934396616j</v>
      </c>
      <c r="F93" s="136" t="str">
        <f t="shared" si="8"/>
        <v>0.999999989087104-0.000164092934396616j</v>
      </c>
      <c r="G93" s="136">
        <f t="shared" si="9"/>
        <v>2.2152056084300822E-8</v>
      </c>
      <c r="H93" s="136">
        <f t="shared" si="10"/>
        <v>-9.4018326070582931E-3</v>
      </c>
      <c r="I93" s="136"/>
      <c r="J93" s="136">
        <f t="shared" si="3"/>
        <v>7.0726915520628681</v>
      </c>
      <c r="K93" s="136" t="str">
        <f t="shared" si="4"/>
        <v>1+0.00963544959153763j</v>
      </c>
      <c r="L93" s="136">
        <f t="shared" si="5"/>
        <v>0.99999493051039168</v>
      </c>
      <c r="M93" s="136" t="str">
        <f t="shared" si="6"/>
        <v>0.000705164529842067j</v>
      </c>
      <c r="N93" s="136" t="str">
        <f t="shared" si="11"/>
        <v>0.999994930510392+0.000705164529842067j</v>
      </c>
      <c r="O93" s="136" t="str">
        <f t="shared" si="12"/>
        <v>1.00000143099791+0.00316858637375034j</v>
      </c>
      <c r="P93" s="136" t="str">
        <f t="shared" si="13"/>
        <v>7.0727016730697+0.0224104340776055j</v>
      </c>
      <c r="Q93" s="136"/>
      <c r="R93" s="136">
        <f t="shared" si="14"/>
        <v>11.787819253438114</v>
      </c>
      <c r="S93" s="136" t="str">
        <f t="shared" si="15"/>
        <v>1+3.07414114669443E-06j</v>
      </c>
      <c r="T93" s="136" t="str">
        <f t="shared" si="16"/>
        <v>0.999999361789071+0.000250201816800564j</v>
      </c>
      <c r="U93" s="136" t="str">
        <f t="shared" si="39"/>
        <v>1.00000057637943-0.000247127977584826j</v>
      </c>
      <c r="V93" s="136" t="str">
        <f t="shared" si="40"/>
        <v>11.7878260476947-0.00291309993223763j</v>
      </c>
      <c r="W93" s="136"/>
      <c r="X93" s="136" t="str">
        <f t="shared" si="17"/>
        <v>1.66801318555012+0.00518811964936618j</v>
      </c>
      <c r="Y93" s="136">
        <f t="shared" si="41"/>
        <v>4.4440316026620943</v>
      </c>
      <c r="Z93" s="136">
        <f t="shared" si="42"/>
        <v>-179.8217901372067</v>
      </c>
      <c r="AA93" s="136"/>
      <c r="AB93" s="136" t="str">
        <f t="shared" si="18"/>
        <v>9.26673030339005-0.00229006699875328j</v>
      </c>
      <c r="AC93" s="136">
        <f t="shared" si="43"/>
        <v>19.338530737365886</v>
      </c>
      <c r="AD93" s="136">
        <f t="shared" si="44"/>
        <v>179.98584061833421</v>
      </c>
      <c r="AE93" s="136"/>
      <c r="AF93" s="136" t="str">
        <f t="shared" si="45"/>
        <v>3.47325525227073-0.00761230526532637j</v>
      </c>
      <c r="AG93" s="136">
        <f t="shared" si="46"/>
        <v>10.814754883902173</v>
      </c>
      <c r="AH93" s="136">
        <f t="shared" si="47"/>
        <v>179.87442550747465</v>
      </c>
      <c r="AI93" s="136"/>
      <c r="AJ93" s="136" t="str">
        <f t="shared" si="19"/>
        <v>99999.9783050006-46.5778860569625j</v>
      </c>
      <c r="AK93" s="136" t="str">
        <f t="shared" si="20"/>
        <v>19047.6190475937-0.0219687129290039j</v>
      </c>
      <c r="AL93" s="136" t="str">
        <f t="shared" si="21"/>
        <v>10000-477098024.026563j</v>
      </c>
      <c r="AM93" s="136" t="str">
        <f t="shared" si="22"/>
        <v>963.139119893876-148064904.022166j</v>
      </c>
      <c r="AN93" s="136" t="str">
        <f t="shared" si="48"/>
        <v>10963.1391198939-148064904.022166j</v>
      </c>
      <c r="AO93" s="136" t="str">
        <f t="shared" si="49"/>
        <v>19047.6185452872-2.47232505259899j</v>
      </c>
      <c r="AP93" s="136" t="str">
        <f t="shared" si="50"/>
        <v>0.16000000471424+0.0000624456808474562j</v>
      </c>
      <c r="AQ93" s="136" t="str">
        <f t="shared" si="23"/>
        <v>1+0.000745246338592589j</v>
      </c>
      <c r="AR93" s="136" t="str">
        <f t="shared" si="24"/>
        <v>1+1.48751764190137E-06j</v>
      </c>
      <c r="AS93" s="136" t="str">
        <f t="shared" si="25"/>
        <v>2.33355259771804E-09j</v>
      </c>
      <c r="AT93" s="136" t="str">
        <f t="shared" si="51"/>
        <v>-3.47120065741035E-15+2.33355259771804E-09j</v>
      </c>
      <c r="AU93" s="179" t="str">
        <f t="shared" si="52"/>
        <v>318723.829784834-428531159.779405j</v>
      </c>
      <c r="AV93" s="136" t="str">
        <f t="shared" si="26"/>
        <v>7999.99998860148-0.30197381596746j</v>
      </c>
      <c r="AW93" s="136"/>
      <c r="AX93" s="136" t="str">
        <f t="shared" si="27"/>
        <v>0.499999999287593-0.0000188733634979662j</v>
      </c>
      <c r="AY93" s="136"/>
      <c r="AZ93" s="136" t="str">
        <f t="shared" si="28"/>
        <v>4.89239948472184-4285.3104456753j</v>
      </c>
      <c r="BA93" s="136" t="str">
        <f t="shared" si="29"/>
        <v>2.36532151713268-2142.6553121208j</v>
      </c>
      <c r="BB93" s="136">
        <f t="shared" si="53"/>
        <v>66.619051531017931</v>
      </c>
      <c r="BC93" s="136">
        <f t="shared" si="54"/>
        <v>90.063249970401358</v>
      </c>
      <c r="BD93" s="136" t="str">
        <f t="shared" si="30"/>
        <v>17.0119723600827-19855.4143272942j</v>
      </c>
      <c r="BE93" s="136">
        <f t="shared" si="55"/>
        <v>85.957582268383817</v>
      </c>
      <c r="BF93" s="136">
        <f t="shared" si="56"/>
        <v>90.049090588735567</v>
      </c>
      <c r="BG93" s="136"/>
      <c r="BH93" s="136" t="str">
        <f t="shared" si="31"/>
        <v>-8.09518093154659-7442.00682217878j</v>
      </c>
      <c r="BI93" s="136">
        <f t="shared" si="57"/>
        <v>77.433806414920085</v>
      </c>
      <c r="BJ93" s="136">
        <f t="shared" si="58"/>
        <v>89.937675477876013</v>
      </c>
      <c r="BK93" s="136"/>
      <c r="BL93" s="136">
        <f t="shared" si="59"/>
        <v>-76.433806414920085</v>
      </c>
      <c r="BM93" s="136">
        <f t="shared" si="60"/>
        <v>-89.937675477876013</v>
      </c>
      <c r="BN93" s="136"/>
      <c r="BO93" s="189"/>
      <c r="BP93" s="189" t="str">
        <f t="shared" si="32"/>
        <v>0.00001+4.65778961620368E-09j</v>
      </c>
      <c r="BQ93" s="189" t="str">
        <f t="shared" si="33"/>
        <v>1.735599364767E-12+2.32889351465277E-09j</v>
      </c>
      <c r="BR93" s="189" t="str">
        <f t="shared" si="34"/>
        <v>-0.00035718287157357-0.0000582431364153169j</v>
      </c>
      <c r="BS93" s="189" t="str">
        <f t="shared" si="35"/>
        <v>0.0000625000017355994+6.98668313085645E-09j</v>
      </c>
      <c r="BT93" s="189" t="str">
        <f t="shared" si="61"/>
        <v>-2.23235231669358E-08-3.64269165058751E-09j</v>
      </c>
      <c r="BU93" s="189" t="str">
        <f t="shared" si="62"/>
        <v>-1.735599364767E-12-2.32889351465277E-09j</v>
      </c>
      <c r="BV93" s="189" t="str">
        <f t="shared" si="63"/>
        <v>-2.23252587663006E-08-5.97158516524028E-09j</v>
      </c>
      <c r="BW93" s="189" t="str">
        <f t="shared" si="36"/>
        <v>0.999999999945046-7.41310277502209E-06j</v>
      </c>
      <c r="BX93" s="189" t="str">
        <f t="shared" si="64"/>
        <v>-0.00001-4.65778961620368E-09j</v>
      </c>
      <c r="BY93" s="189" t="str">
        <f t="shared" si="65"/>
        <v>418.066976542413-111.619709437404j</v>
      </c>
      <c r="BZ93" s="136">
        <f t="shared" si="66"/>
        <v>52.723962118906087</v>
      </c>
      <c r="CA93" s="136">
        <f t="shared" si="67"/>
        <v>165.05128755398241</v>
      </c>
      <c r="CB93" s="189" t="str">
        <f t="shared" si="37"/>
        <v>3873.85830375924-1035.30714528543j</v>
      </c>
      <c r="CC93" s="136" t="str">
        <f t="shared" si="38"/>
        <v>1451.20363877502-390.866195507189j</v>
      </c>
      <c r="CD93" s="136">
        <f t="shared" si="68"/>
        <v>63.538717002808276</v>
      </c>
      <c r="CE93" s="136">
        <f t="shared" si="69"/>
        <v>164.92571306145709</v>
      </c>
      <c r="CF93" s="136"/>
      <c r="CG93" s="136">
        <f t="shared" si="70"/>
        <v>-62.538717002808276</v>
      </c>
      <c r="CH93" s="136">
        <f t="shared" si="71"/>
        <v>-164.92571306145709</v>
      </c>
      <c r="CI93" s="77"/>
      <c r="CJ93" s="189"/>
      <c r="CK93" s="189"/>
      <c r="CL93" s="189"/>
      <c r="CM93" s="77"/>
      <c r="CN93" s="189">
        <v>398.10717055349699</v>
      </c>
      <c r="CO93" s="189">
        <v>44.028536693226599</v>
      </c>
      <c r="CP93" s="189">
        <v>90.447884076988998</v>
      </c>
      <c r="CQ93" s="74"/>
      <c r="CR93" s="75"/>
      <c r="CS93" s="75"/>
      <c r="CT93" s="75"/>
      <c r="CU93" s="74"/>
      <c r="CV93" s="75"/>
      <c r="CW93" s="75"/>
      <c r="CX93" s="75"/>
      <c r="CY93" s="74"/>
      <c r="CZ93" s="75"/>
      <c r="DA93" s="75"/>
      <c r="DB93" s="75"/>
      <c r="DC93" s="74"/>
      <c r="DD93" s="75"/>
      <c r="DE93" s="75"/>
      <c r="DF93" s="75"/>
      <c r="DG93" s="74"/>
      <c r="DH93" s="75"/>
      <c r="DI93" s="75"/>
      <c r="DJ93" s="75"/>
      <c r="DK93" s="74"/>
      <c r="DL93" s="75"/>
      <c r="DM93" s="75"/>
      <c r="DN93" s="75"/>
      <c r="DO93" s="76"/>
    </row>
    <row r="94" spans="1:119" x14ac:dyDescent="0.25">
      <c r="A94" s="136">
        <v>45</v>
      </c>
      <c r="B94" s="136">
        <f t="shared" si="0"/>
        <v>22.387211385683397</v>
      </c>
      <c r="C94" s="136" t="str">
        <f t="shared" si="7"/>
        <v>140.662997647249j</v>
      </c>
      <c r="D94" s="136">
        <f t="shared" si="1"/>
        <v>0.99999998747031915</v>
      </c>
      <c r="E94" s="136" t="str">
        <f t="shared" si="2"/>
        <v>-0.000175828747059061j</v>
      </c>
      <c r="F94" s="136" t="str">
        <f t="shared" si="8"/>
        <v>0.999999987470319-0.000175828747059061j</v>
      </c>
      <c r="G94" s="136">
        <f t="shared" si="9"/>
        <v>2.5433963314161184E-8</v>
      </c>
      <c r="H94" s="136">
        <f t="shared" si="10"/>
        <v>-1.0074245145966949E-2</v>
      </c>
      <c r="I94" s="136"/>
      <c r="J94" s="136">
        <f t="shared" si="3"/>
        <v>7.0726915520628681</v>
      </c>
      <c r="K94" s="136" t="str">
        <f t="shared" si="4"/>
        <v>1+0.0103245702519763j</v>
      </c>
      <c r="L94" s="136">
        <f t="shared" si="5"/>
        <v>0.99999417944714697</v>
      </c>
      <c r="M94" s="136" t="str">
        <f t="shared" si="6"/>
        <v>0.00075559740709457j</v>
      </c>
      <c r="N94" s="136" t="str">
        <f t="shared" si="11"/>
        <v>0.999994179447147+0.00075559740709457j</v>
      </c>
      <c r="O94" s="136" t="str">
        <f t="shared" si="12"/>
        <v>1.00000164300566+0.00339520173397543j</v>
      </c>
      <c r="P94" s="136" t="str">
        <f t="shared" si="13"/>
        <v>7.07270317253512+0.0240132146214372j</v>
      </c>
      <c r="Q94" s="136"/>
      <c r="R94" s="136">
        <f t="shared" si="14"/>
        <v>11.787819253438114</v>
      </c>
      <c r="S94" s="136" t="str">
        <f t="shared" si="15"/>
        <v>1+3.29400158570835E-06j</v>
      </c>
      <c r="T94" s="136" t="str">
        <f t="shared" si="16"/>
        <v>0.99999926723581+0.000268096076907327j</v>
      </c>
      <c r="U94" s="136" t="str">
        <f t="shared" si="39"/>
        <v>1.00000066177218-0.000264802446777894j</v>
      </c>
      <c r="V94" s="136" t="str">
        <f t="shared" si="40"/>
        <v>11.787827054289-0.00312144338048598j</v>
      </c>
      <c r="W94" s="136"/>
      <c r="X94" s="136" t="str">
        <f t="shared" si="17"/>
        <v>1.66801358443146+0.00555917077963418j</v>
      </c>
      <c r="Y94" s="136">
        <f t="shared" si="41"/>
        <v>4.4440399043748444</v>
      </c>
      <c r="Z94" s="136">
        <f t="shared" si="42"/>
        <v>-179.80904481418818</v>
      </c>
      <c r="AA94" s="136"/>
      <c r="AB94" s="136" t="str">
        <f t="shared" si="18"/>
        <v>9.26673109470118-0.00245385144361904j</v>
      </c>
      <c r="AC94" s="136">
        <f t="shared" si="43"/>
        <v>19.338531518372722</v>
      </c>
      <c r="AD94" s="136">
        <f t="shared" si="44"/>
        <v>179.98482794778997</v>
      </c>
      <c r="AE94" s="136"/>
      <c r="AF94" s="136" t="str">
        <f t="shared" si="45"/>
        <v>3.47325283654439-0.00815672650611918j</v>
      </c>
      <c r="AG94" s="136">
        <f t="shared" si="46"/>
        <v>10.814751933346201</v>
      </c>
      <c r="AH94" s="136">
        <f t="shared" si="47"/>
        <v>179.86544453678573</v>
      </c>
      <c r="AI94" s="136"/>
      <c r="AJ94" s="136" t="str">
        <f t="shared" si="19"/>
        <v>99999.9750908087-49.9091025030181j</v>
      </c>
      <c r="AK94" s="136" t="str">
        <f t="shared" si="20"/>
        <v>19047.61904759-0.0235399000146461j</v>
      </c>
      <c r="AL94" s="136" t="str">
        <f t="shared" si="21"/>
        <v>10000-445253782.824538j</v>
      </c>
      <c r="AM94" s="136" t="str">
        <f t="shared" si="22"/>
        <v>963.139119864057-138182208.477705j</v>
      </c>
      <c r="AN94" s="136" t="str">
        <f t="shared" si="48"/>
        <v>10963.1391198641-138182208.477705j</v>
      </c>
      <c r="AO94" s="136" t="str">
        <f t="shared" si="49"/>
        <v>19047.6184708651-2.64914400642418j</v>
      </c>
      <c r="AP94" s="136" t="str">
        <f t="shared" si="50"/>
        <v>0.160000005412672+0.0000669117525002569j</v>
      </c>
      <c r="AQ94" s="136" t="str">
        <f t="shared" si="23"/>
        <v>1+0.0007985458389596j</v>
      </c>
      <c r="AR94" s="136" t="str">
        <f t="shared" si="24"/>
        <v>1+1.59390387017884E-06j</v>
      </c>
      <c r="AS94" s="136" t="str">
        <f t="shared" si="25"/>
        <v>2.50044665824225E-09j</v>
      </c>
      <c r="AT94" s="136" t="str">
        <f t="shared" si="51"/>
        <v>-3.98547160574807E-15+2.50044665824225E-09j</v>
      </c>
      <c r="AU94" s="179" t="str">
        <f t="shared" si="52"/>
        <v>318723.829784729-399928547.955204j</v>
      </c>
      <c r="AV94" s="136" t="str">
        <f t="shared" si="26"/>
        <v>7999.99998691275-0.323570773417098j</v>
      </c>
      <c r="AW94" s="136"/>
      <c r="AX94" s="136" t="str">
        <f t="shared" si="27"/>
        <v>0.499999999182047-0.0000202231733385686j</v>
      </c>
      <c r="AY94" s="136"/>
      <c r="AZ94" s="136" t="str">
        <f t="shared" si="28"/>
        <v>4.89239949664934-3999.28424503455j</v>
      </c>
      <c r="BA94" s="136" t="str">
        <f t="shared" si="29"/>
        <v>2.36532152580538-1999.64221818589j</v>
      </c>
      <c r="BB94" s="136">
        <f t="shared" si="53"/>
        <v>66.019052024192234</v>
      </c>
      <c r="BC94" s="136">
        <f t="shared" si="54"/>
        <v>90.06777356278053</v>
      </c>
      <c r="BD94" s="136" t="str">
        <f t="shared" si="30"/>
        <v>17.0119735883297-18530.1525256881j</v>
      </c>
      <c r="BE94" s="136">
        <f t="shared" si="55"/>
        <v>85.357583542564953</v>
      </c>
      <c r="BF94" s="136">
        <f t="shared" si="56"/>
        <v>90.052601510570483</v>
      </c>
      <c r="BG94" s="136"/>
      <c r="BH94" s="136" t="str">
        <f t="shared" si="31"/>
        <v>-8.0951749849888-6945.28229966885j</v>
      </c>
      <c r="BI94" s="136">
        <f t="shared" si="57"/>
        <v>76.833803957538436</v>
      </c>
      <c r="BJ94" s="136">
        <f t="shared" si="58"/>
        <v>89.933218099566247</v>
      </c>
      <c r="BK94" s="136"/>
      <c r="BL94" s="136">
        <f t="shared" si="59"/>
        <v>-75.833803957538436</v>
      </c>
      <c r="BM94" s="136">
        <f t="shared" si="60"/>
        <v>-89.933218099566247</v>
      </c>
      <c r="BN94" s="136"/>
      <c r="BO94" s="189"/>
      <c r="BP94" s="189" t="str">
        <f t="shared" si="32"/>
        <v>0.00001+4.9909114934975E-09j</v>
      </c>
      <c r="BQ94" s="189" t="str">
        <f t="shared" si="33"/>
        <v>1.99273453215613E-12+2.49545415545888E-09j</v>
      </c>
      <c r="BR94" s="189" t="str">
        <f t="shared" si="34"/>
        <v>-0.000357188799853177-0.0000624086407024402j</v>
      </c>
      <c r="BS94" s="189" t="str">
        <f t="shared" si="35"/>
        <v>0.0000625000019927345+7.48636564895638E-09j</v>
      </c>
      <c r="BT94" s="189" t="str">
        <f t="shared" si="61"/>
        <v>-2.23238334887021E-08-3.90321421422778E-09j</v>
      </c>
      <c r="BU94" s="189" t="str">
        <f t="shared" si="62"/>
        <v>-1.99273453215613E-12-2.49545415545888E-09j</v>
      </c>
      <c r="BV94" s="189" t="str">
        <f t="shared" si="63"/>
        <v>-2.23258262232343E-08-6.39866836968666E-09j</v>
      </c>
      <c r="BW94" s="189" t="str">
        <f t="shared" si="36"/>
        <v>0.999999999936904-7.94328273508196E-06j</v>
      </c>
      <c r="BX94" s="189" t="str">
        <f t="shared" si="64"/>
        <v>-0.00001-4.9909114934975E-09j</v>
      </c>
      <c r="BY94" s="189" t="str">
        <f t="shared" si="65"/>
        <v>413.97052945484-118.425568115717j</v>
      </c>
      <c r="BZ94" s="136">
        <f t="shared" si="66"/>
        <v>52.681008621476323</v>
      </c>
      <c r="CA94" s="136">
        <f t="shared" si="67"/>
        <v>164.03563279100658</v>
      </c>
      <c r="CB94" s="189" t="str">
        <f t="shared" si="37"/>
        <v>3835.86297883779-1098.43371664689j</v>
      </c>
      <c r="CC94" s="136" t="str">
        <f t="shared" si="38"/>
        <v>1436.85835070435-414.698584767653j</v>
      </c>
      <c r="CD94" s="136">
        <f t="shared" si="68"/>
        <v>63.495760554822489</v>
      </c>
      <c r="CE94" s="136">
        <f t="shared" si="69"/>
        <v>163.90107732779222</v>
      </c>
      <c r="CF94" s="136"/>
      <c r="CG94" s="136">
        <f t="shared" si="70"/>
        <v>-62.495760554822489</v>
      </c>
      <c r="CH94" s="136">
        <f t="shared" si="71"/>
        <v>-163.90107732779222</v>
      </c>
      <c r="CI94" s="77"/>
      <c r="CJ94" s="189"/>
      <c r="CK94" s="189"/>
      <c r="CL94" s="189"/>
      <c r="CM94" s="77"/>
      <c r="CN94" s="189">
        <v>416.86938347033498</v>
      </c>
      <c r="CO94" s="189">
        <v>43.626599539895302</v>
      </c>
      <c r="CP94" s="189">
        <v>90.166722717093606</v>
      </c>
      <c r="CQ94" s="74"/>
      <c r="CR94" s="75"/>
      <c r="CS94" s="75"/>
      <c r="CT94" s="75"/>
      <c r="CU94" s="74"/>
      <c r="CV94" s="75"/>
      <c r="CW94" s="75"/>
      <c r="CX94" s="75"/>
      <c r="CY94" s="74"/>
      <c r="CZ94" s="75"/>
      <c r="DA94" s="75"/>
      <c r="DB94" s="75"/>
      <c r="DC94" s="74"/>
      <c r="DD94" s="75"/>
      <c r="DE94" s="75"/>
      <c r="DF94" s="75"/>
      <c r="DG94" s="74"/>
      <c r="DH94" s="75"/>
      <c r="DI94" s="75"/>
      <c r="DJ94" s="75"/>
      <c r="DK94" s="74"/>
      <c r="DL94" s="75"/>
      <c r="DM94" s="75"/>
      <c r="DN94" s="75"/>
      <c r="DO94" s="76"/>
    </row>
    <row r="95" spans="1:119" x14ac:dyDescent="0.25">
      <c r="A95" s="136">
        <v>46</v>
      </c>
      <c r="B95" s="136">
        <f t="shared" si="0"/>
        <v>23.988329190194907</v>
      </c>
      <c r="C95" s="136" t="str">
        <f t="shared" si="7"/>
        <v>150.72311751162j</v>
      </c>
      <c r="D95" s="136">
        <f t="shared" si="1"/>
        <v>0.99999998561400161</v>
      </c>
      <c r="E95" s="136" t="str">
        <f t="shared" si="2"/>
        <v>-0.000188403896889525j</v>
      </c>
      <c r="F95" s="136" t="str">
        <f t="shared" si="8"/>
        <v>0.999999985614002-0.000188403896889525j</v>
      </c>
      <c r="G95" s="136">
        <f t="shared" si="9"/>
        <v>2.920210373634589E-8</v>
      </c>
      <c r="H95" s="136">
        <f t="shared" si="10"/>
        <v>-1.0794748163157383E-2</v>
      </c>
      <c r="I95" s="136"/>
      <c r="J95" s="136">
        <f t="shared" si="3"/>
        <v>7.0726915520628681</v>
      </c>
      <c r="K95" s="136" t="str">
        <f t="shared" si="4"/>
        <v>1+0.0110629763432746j</v>
      </c>
      <c r="L95" s="136">
        <f t="shared" si="5"/>
        <v>0.99999331711116268</v>
      </c>
      <c r="M95" s="136" t="str">
        <f t="shared" si="6"/>
        <v>0.000809637208689315j</v>
      </c>
      <c r="N95" s="136" t="str">
        <f t="shared" si="11"/>
        <v>0.999993317111163+0.000809637208689315j</v>
      </c>
      <c r="O95" s="136" t="str">
        <f t="shared" si="12"/>
        <v>1.0000018864232+0.00363802452815453j</v>
      </c>
      <c r="P95" s="136" t="str">
        <f t="shared" si="13"/>
        <v>7.0727048941523+0.025730625346476j</v>
      </c>
      <c r="Q95" s="136"/>
      <c r="R95" s="136">
        <f t="shared" si="14"/>
        <v>11.787819253438114</v>
      </c>
      <c r="S95" s="136" t="str">
        <f t="shared" si="15"/>
        <v>1+3.52958629056979E-06j</v>
      </c>
      <c r="T95" s="136" t="str">
        <f t="shared" si="16"/>
        <v>0.999999158674142+0.000287270122064667j</v>
      </c>
      <c r="U95" s="136" t="str">
        <f t="shared" si="39"/>
        <v>1.00000075981619-0.00028374099276522j</v>
      </c>
      <c r="V95" s="136" t="str">
        <f t="shared" si="40"/>
        <v>11.787828210014-0.0033446875375075j</v>
      </c>
      <c r="W95" s="136"/>
      <c r="X95" s="136" t="str">
        <f t="shared" si="17"/>
        <v>1.66801404240865+0.00595675932507364j</v>
      </c>
      <c r="Y95" s="136">
        <f t="shared" si="41"/>
        <v>4.4440494360004514</v>
      </c>
      <c r="Z95" s="136">
        <f t="shared" si="42"/>
        <v>-179.79538798274262</v>
      </c>
      <c r="AA95" s="136"/>
      <c r="AB95" s="136" t="str">
        <f t="shared" si="18"/>
        <v>9.266732003248-0.00262934974046832j</v>
      </c>
      <c r="AC95" s="136">
        <f t="shared" si="43"/>
        <v>19.338532415088569</v>
      </c>
      <c r="AD95" s="136">
        <f t="shared" si="44"/>
        <v>179.98374285142842</v>
      </c>
      <c r="AE95" s="136"/>
      <c r="AF95" s="136" t="str">
        <f t="shared" si="45"/>
        <v>3.47325006292345-0.00874008309943091j</v>
      </c>
      <c r="AG95" s="136">
        <f t="shared" si="46"/>
        <v>10.814748545657039</v>
      </c>
      <c r="AH95" s="136">
        <f t="shared" si="47"/>
        <v>179.85582126016831</v>
      </c>
      <c r="AI95" s="136"/>
      <c r="AJ95" s="136" t="str">
        <f t="shared" si="19"/>
        <v>99999.9714004228-53.4785648655005j</v>
      </c>
      <c r="AK95" s="136" t="str">
        <f t="shared" si="20"/>
        <v>19047.6190475856-0.0252234573090506j</v>
      </c>
      <c r="AL95" s="136" t="str">
        <f t="shared" si="21"/>
        <v>10000-415535007.767129j</v>
      </c>
      <c r="AM95" s="136" t="str">
        <f t="shared" si="22"/>
        <v>963.139119829824-128959140.357508j</v>
      </c>
      <c r="AN95" s="136" t="str">
        <f t="shared" si="48"/>
        <v>10963.1391198298-128959140.357508j</v>
      </c>
      <c r="AO95" s="136" t="str">
        <f t="shared" si="49"/>
        <v>19047.6183854168-2.83860892523597j</v>
      </c>
      <c r="AP95" s="136" t="str">
        <f t="shared" si="50"/>
        <v>0.160000006214579+0.000071697234481799j</v>
      </c>
      <c r="AQ95" s="136" t="str">
        <f t="shared" si="23"/>
        <v>1+0.000855657282562373j</v>
      </c>
      <c r="AR95" s="136" t="str">
        <f t="shared" si="24"/>
        <v>1+1.70789876758957E-06j</v>
      </c>
      <c r="AS95" s="136" t="str">
        <f t="shared" si="25"/>
        <v>2.67927686602343E-09j</v>
      </c>
      <c r="AT95" s="136" t="str">
        <f t="shared" si="51"/>
        <v>-4.57593365751266E-15+2.67927686602343E-09j</v>
      </c>
      <c r="AU95" s="179" t="str">
        <f t="shared" si="52"/>
        <v>318723.829784609-373235037.46093j</v>
      </c>
      <c r="AV95" s="136" t="str">
        <f t="shared" si="26"/>
        <v>7999.99998497382-0.346712330243053j</v>
      </c>
      <c r="AW95" s="136"/>
      <c r="AX95" s="136" t="str">
        <f t="shared" si="27"/>
        <v>0.499999999060864-0.0000216695206401908j</v>
      </c>
      <c r="AY95" s="136"/>
      <c r="AZ95" s="136" t="str">
        <f t="shared" si="28"/>
        <v>4.89239951034396-3732.34905179999j</v>
      </c>
      <c r="BA95" s="136" t="str">
        <f t="shared" si="29"/>
        <v>2.36532153576298-1866.17462841076j</v>
      </c>
      <c r="BB95" s="136">
        <f t="shared" si="53"/>
        <v>65.419052590432102</v>
      </c>
      <c r="BC95" s="136">
        <f t="shared" si="54"/>
        <v>90.072620678984578</v>
      </c>
      <c r="BD95" s="136" t="str">
        <f t="shared" si="30"/>
        <v>17.0119749985461-17293.346372001j</v>
      </c>
      <c r="BE95" s="136">
        <f t="shared" si="55"/>
        <v>84.757585005520667</v>
      </c>
      <c r="BF95" s="136">
        <f t="shared" si="56"/>
        <v>90.056363530413009</v>
      </c>
      <c r="BG95" s="136"/>
      <c r="BH95" s="136" t="str">
        <f t="shared" si="31"/>
        <v>-8.09516815743669-6481.7118186606j</v>
      </c>
      <c r="BI95" s="136">
        <f t="shared" si="57"/>
        <v>76.233801136089141</v>
      </c>
      <c r="BJ95" s="136">
        <f t="shared" si="58"/>
        <v>89.92844193915289</v>
      </c>
      <c r="BK95" s="136"/>
      <c r="BL95" s="136">
        <f t="shared" si="59"/>
        <v>-75.233801136089141</v>
      </c>
      <c r="BM95" s="136">
        <f t="shared" si="60"/>
        <v>-89.92844193915289</v>
      </c>
      <c r="BN95" s="136"/>
      <c r="BO95" s="189"/>
      <c r="BP95" s="189" t="str">
        <f t="shared" si="32"/>
        <v>0.00001+5.34785801601483E-09j</v>
      </c>
      <c r="BQ95" s="189" t="str">
        <f t="shared" si="33"/>
        <v>2.28796515362404E-12+2.67392705029336E-09j</v>
      </c>
      <c r="BR95" s="189" t="str">
        <f t="shared" si="34"/>
        <v>-0.000357195606427858-0.0000668720579572142j</v>
      </c>
      <c r="BS95" s="189" t="str">
        <f t="shared" si="35"/>
        <v>0.0000625000022879652+8.02178506630819E-09j</v>
      </c>
      <c r="BT95" s="189" t="str">
        <f t="shared" si="61"/>
        <v>-2.23241897857164E-08-4.18236912170822E-09j</v>
      </c>
      <c r="BU95" s="189" t="str">
        <f t="shared" si="62"/>
        <v>-2.28796515362404E-12-2.67392705029336E-09j</v>
      </c>
      <c r="BV95" s="189" t="str">
        <f t="shared" si="63"/>
        <v>-2.232647775087E-08-6.85629617200158E-09j</v>
      </c>
      <c r="BW95" s="189" t="str">
        <f t="shared" si="36"/>
        <v>0.999999999927556-8.51138079752133E-06j</v>
      </c>
      <c r="BX95" s="189" t="str">
        <f t="shared" si="64"/>
        <v>-0.00001-5.34785801601483E-09j</v>
      </c>
      <c r="BY95" s="189" t="str">
        <f t="shared" si="65"/>
        <v>409.365504246567-125.477400724277j</v>
      </c>
      <c r="BZ95" s="136">
        <f t="shared" si="66"/>
        <v>52.632209691351328</v>
      </c>
      <c r="CA95" s="136">
        <f t="shared" si="67"/>
        <v>162.95881843620487</v>
      </c>
      <c r="CB95" s="189" t="str">
        <f t="shared" si="37"/>
        <v>3793.15049525639-1163.84181005838j</v>
      </c>
      <c r="CC95" s="136" t="str">
        <f t="shared" si="38"/>
        <v>1420.73208047365-439.392278486222j</v>
      </c>
      <c r="CD95" s="136">
        <f t="shared" si="68"/>
        <v>63.446958237008381</v>
      </c>
      <c r="CE95" s="136">
        <f t="shared" si="69"/>
        <v>162.81463969637318</v>
      </c>
      <c r="CF95" s="136"/>
      <c r="CG95" s="136">
        <f t="shared" si="70"/>
        <v>-62.446958237008381</v>
      </c>
      <c r="CH95" s="136">
        <f t="shared" si="71"/>
        <v>-162.81463969637318</v>
      </c>
      <c r="CI95" s="77"/>
      <c r="CJ95" s="189"/>
      <c r="CK95" s="189"/>
      <c r="CL95" s="189"/>
      <c r="CM95" s="77"/>
      <c r="CN95" s="189">
        <v>436.51583224016503</v>
      </c>
      <c r="CO95" s="189">
        <v>43.2242459159296</v>
      </c>
      <c r="CP95" s="189">
        <v>89.886173488538304</v>
      </c>
      <c r="CQ95" s="74"/>
      <c r="CR95" s="75"/>
      <c r="CS95" s="75"/>
      <c r="CT95" s="75"/>
      <c r="CU95" s="74"/>
      <c r="CV95" s="75"/>
      <c r="CW95" s="75"/>
      <c r="CX95" s="75"/>
      <c r="CY95" s="74"/>
      <c r="CZ95" s="75"/>
      <c r="DA95" s="75"/>
      <c r="DB95" s="75"/>
      <c r="DC95" s="74"/>
      <c r="DD95" s="75"/>
      <c r="DE95" s="75"/>
      <c r="DF95" s="75"/>
      <c r="DG95" s="74"/>
      <c r="DH95" s="75"/>
      <c r="DI95" s="75"/>
      <c r="DJ95" s="75"/>
      <c r="DK95" s="74"/>
      <c r="DL95" s="75"/>
      <c r="DM95" s="75"/>
      <c r="DN95" s="75"/>
      <c r="DO95" s="76"/>
    </row>
    <row r="96" spans="1:119" x14ac:dyDescent="0.25">
      <c r="A96" s="136">
        <v>47</v>
      </c>
      <c r="B96" s="136">
        <f t="shared" si="0"/>
        <v>25.703957827688647</v>
      </c>
      <c r="C96" s="136" t="str">
        <f t="shared" si="7"/>
        <v>161.502730159297j</v>
      </c>
      <c r="D96" s="136">
        <f t="shared" si="1"/>
        <v>0.99999998348266383</v>
      </c>
      <c r="E96" s="136" t="str">
        <f t="shared" si="2"/>
        <v>-0.000201878412699121j</v>
      </c>
      <c r="F96" s="136" t="str">
        <f t="shared" si="8"/>
        <v>0.999999983482664-0.000201878412699121j</v>
      </c>
      <c r="G96" s="136">
        <f t="shared" si="9"/>
        <v>3.3528497182456466E-8</v>
      </c>
      <c r="H96" s="136">
        <f t="shared" si="10"/>
        <v>-1.1566781056377975E-2</v>
      </c>
      <c r="I96" s="136"/>
      <c r="J96" s="136">
        <f t="shared" si="3"/>
        <v>7.0726915520628681</v>
      </c>
      <c r="K96" s="136" t="str">
        <f t="shared" si="4"/>
        <v>1+0.0118541927252056j</v>
      </c>
      <c r="L96" s="136">
        <f t="shared" si="5"/>
        <v>0.99999232701697949</v>
      </c>
      <c r="M96" s="136" t="str">
        <f t="shared" si="6"/>
        <v>0.000867541899349288j</v>
      </c>
      <c r="N96" s="136" t="str">
        <f t="shared" si="11"/>
        <v>0.999992327016979+0.000867541899349288j</v>
      </c>
      <c r="O96" s="136" t="str">
        <f t="shared" si="12"/>
        <v>1.00000216590402+0.00389821391471204j</v>
      </c>
      <c r="P96" s="136" t="str">
        <f t="shared" si="13"/>
        <v>7.07270687083393+0.0275708646227178j</v>
      </c>
      <c r="Q96" s="136"/>
      <c r="R96" s="136">
        <f t="shared" si="14"/>
        <v>11.787819253438114</v>
      </c>
      <c r="S96" s="136" t="str">
        <f t="shared" si="15"/>
        <v>1+3.78201984984752E-06j</v>
      </c>
      <c r="T96" s="136" t="str">
        <f t="shared" si="16"/>
        <v>0.999999034028669+0.000307815481610254j</v>
      </c>
      <c r="U96" s="136" t="str">
        <f t="shared" si="39"/>
        <v>1.00000087238579-0.000304034023982411j</v>
      </c>
      <c r="V96" s="136" t="str">
        <f t="shared" si="40"/>
        <v>11.7878295369641-0.00358389812160013j</v>
      </c>
      <c r="W96" s="136"/>
      <c r="X96" s="136" t="str">
        <f t="shared" si="17"/>
        <v>1.66801456823698+0.00638278324531558j</v>
      </c>
      <c r="Y96" s="136">
        <f t="shared" si="41"/>
        <v>4.4440603797497973</v>
      </c>
      <c r="Z96" s="136">
        <f t="shared" si="42"/>
        <v>-179.78075445891864</v>
      </c>
      <c r="AA96" s="136"/>
      <c r="AB96" s="136" t="str">
        <f t="shared" si="18"/>
        <v>9.26673304639952-0.00281739967940819j</v>
      </c>
      <c r="AC96" s="136">
        <f t="shared" si="43"/>
        <v>19.338533444656218</v>
      </c>
      <c r="AD96" s="136">
        <f t="shared" si="44"/>
        <v>179.982580149331</v>
      </c>
      <c r="AE96" s="136"/>
      <c r="AF96" s="136" t="str">
        <f t="shared" si="45"/>
        <v>3.47324687838588-0.00936515938071701j</v>
      </c>
      <c r="AG96" s="136">
        <f t="shared" si="46"/>
        <v>10.814744656072776</v>
      </c>
      <c r="AH96" s="136">
        <f t="shared" si="47"/>
        <v>179.84550974192726</v>
      </c>
      <c r="AI96" s="136"/>
      <c r="AJ96" s="136" t="str">
        <f t="shared" si="19"/>
        <v>99999.9671632933-57.3033122417689j</v>
      </c>
      <c r="AK96" s="136" t="str">
        <f t="shared" si="20"/>
        <v>19047.6190475807-0.0270274214514774j</v>
      </c>
      <c r="AL96" s="136" t="str">
        <f t="shared" si="21"/>
        <v>10000-387799833.130383j</v>
      </c>
      <c r="AM96" s="136" t="str">
        <f t="shared" si="22"/>
        <v>963.139119790524-120351672.367937j</v>
      </c>
      <c r="AN96" s="136" t="str">
        <f t="shared" si="48"/>
        <v>10963.1391197905-120351672.367937j</v>
      </c>
      <c r="AO96" s="136" t="str">
        <f t="shared" si="49"/>
        <v>19047.6182873092-3.04162423880228j</v>
      </c>
      <c r="AP96" s="136" t="str">
        <f t="shared" si="50"/>
        <v>0.160000007135291+0.0000768249707938812j</v>
      </c>
      <c r="AQ96" s="136" t="str">
        <f t="shared" si="23"/>
        <v>1+0.000916853296932731j</v>
      </c>
      <c r="AR96" s="136" t="str">
        <f t="shared" si="24"/>
        <v>1+1.83004650086373E-06j</v>
      </c>
      <c r="AS96" s="136" t="str">
        <f t="shared" si="25"/>
        <v>2.87089688602061E-09j</v>
      </c>
      <c r="AT96" s="136" t="str">
        <f t="shared" si="51"/>
        <v>-5.2538748006026E-15+2.87089688602061E-09j</v>
      </c>
      <c r="AU96" s="179" t="str">
        <f t="shared" si="52"/>
        <v>318723.829784472-348323203.993805j</v>
      </c>
      <c r="AV96" s="136" t="str">
        <f t="shared" si="26"/>
        <v>7999.99998274764-0.371508955115966j</v>
      </c>
      <c r="AW96" s="136"/>
      <c r="AX96" s="136" t="str">
        <f t="shared" si="27"/>
        <v>0.499999998921728-0.0000232193096947479j</v>
      </c>
      <c r="AY96" s="136"/>
      <c r="AZ96" s="136" t="str">
        <f t="shared" si="28"/>
        <v>4.89239952606749-3483.23062252234j</v>
      </c>
      <c r="BA96" s="136" t="str">
        <f t="shared" si="29"/>
        <v>2.36532154719583-1741.61542110344j</v>
      </c>
      <c r="BB96" s="136">
        <f t="shared" si="53"/>
        <v>64.819053240562468</v>
      </c>
      <c r="BC96" s="136">
        <f t="shared" si="54"/>
        <v>90.077814457129932</v>
      </c>
      <c r="BD96" s="136" t="str">
        <f t="shared" si="30"/>
        <v>17.0119766176912-16139.0918409144j</v>
      </c>
      <c r="BE96" s="136">
        <f t="shared" si="55"/>
        <v>84.157586685218675</v>
      </c>
      <c r="BF96" s="136">
        <f t="shared" si="56"/>
        <v>90.060394606460932</v>
      </c>
      <c r="BG96" s="136"/>
      <c r="BH96" s="136" t="str">
        <f t="shared" si="31"/>
        <v>-8.09516031837151-6049.08247630949j</v>
      </c>
      <c r="BI96" s="136">
        <f t="shared" si="57"/>
        <v>75.633797896635215</v>
      </c>
      <c r="BJ96" s="136">
        <f t="shared" si="58"/>
        <v>89.923324199057177</v>
      </c>
      <c r="BK96" s="136"/>
      <c r="BL96" s="136">
        <f t="shared" si="59"/>
        <v>-74.633797896635215</v>
      </c>
      <c r="BM96" s="136">
        <f t="shared" si="60"/>
        <v>-89.923324199057177</v>
      </c>
      <c r="BN96" s="136"/>
      <c r="BO96" s="189"/>
      <c r="BP96" s="189" t="str">
        <f t="shared" si="32"/>
        <v>0.00001+5.73033310582957E-09j</v>
      </c>
      <c r="BQ96" s="189" t="str">
        <f t="shared" si="33"/>
        <v>2.62693519204713E-12+2.86516414440059E-09j</v>
      </c>
      <c r="BR96" s="189" t="str">
        <f t="shared" si="34"/>
        <v>-0.000357203421419879-0.0000716546944767035j</v>
      </c>
      <c r="BS96" s="189" t="str">
        <f t="shared" si="35"/>
        <v>0.0000625000026269352+8.59549725023016E-09j</v>
      </c>
      <c r="BT96" s="189" t="str">
        <f t="shared" si="61"/>
        <v>-2.23245988693633E-08-4.48148893405279E-09j</v>
      </c>
      <c r="BU96" s="189" t="str">
        <f t="shared" si="62"/>
        <v>-2.62693519204713E-12-2.86516414440059E-09j</v>
      </c>
      <c r="BV96" s="189" t="str">
        <f t="shared" si="63"/>
        <v>-2.23272258045553E-08-7.34665307845338E-09j</v>
      </c>
      <c r="BW96" s="189" t="str">
        <f t="shared" si="36"/>
        <v>0.999999999916824-9.12010883867488E-06j</v>
      </c>
      <c r="BX96" s="189" t="str">
        <f t="shared" si="64"/>
        <v>-0.00001-5.73033310582957E-09j</v>
      </c>
      <c r="BY96" s="189" t="str">
        <f t="shared" si="65"/>
        <v>404.203528732609-132.748420812023j</v>
      </c>
      <c r="BZ96" s="136">
        <f t="shared" si="66"/>
        <v>52.57684899369643</v>
      </c>
      <c r="CA96" s="136">
        <f t="shared" si="67"/>
        <v>161.81879852503712</v>
      </c>
      <c r="CB96" s="189" t="str">
        <f t="shared" si="37"/>
        <v>3745.27219181953-1231.28298088839j</v>
      </c>
      <c r="CC96" s="136" t="str">
        <f t="shared" si="38"/>
        <v>1402.65543428465-464.853468664843j</v>
      </c>
      <c r="CD96" s="136">
        <f t="shared" si="68"/>
        <v>63.391593649769213</v>
      </c>
      <c r="CE96" s="136">
        <f t="shared" si="69"/>
        <v>161.66430826696441</v>
      </c>
      <c r="CF96" s="136"/>
      <c r="CG96" s="136">
        <f t="shared" si="70"/>
        <v>-62.391593649769213</v>
      </c>
      <c r="CH96" s="136">
        <f t="shared" si="71"/>
        <v>-161.66430826696441</v>
      </c>
      <c r="CI96" s="77"/>
      <c r="CJ96" s="189"/>
      <c r="CK96" s="189"/>
      <c r="CL96" s="189"/>
      <c r="CM96" s="77"/>
      <c r="CN96" s="189">
        <v>457.08818961487498</v>
      </c>
      <c r="CO96" s="189">
        <v>42.821456894513197</v>
      </c>
      <c r="CP96" s="189">
        <v>89.605693874903906</v>
      </c>
      <c r="CQ96" s="74"/>
      <c r="CR96" s="75"/>
      <c r="CS96" s="75"/>
      <c r="CT96" s="75"/>
      <c r="CU96" s="74"/>
      <c r="CV96" s="75"/>
      <c r="CW96" s="75"/>
      <c r="CX96" s="75"/>
      <c r="CY96" s="74"/>
      <c r="CZ96" s="75"/>
      <c r="DA96" s="75"/>
      <c r="DB96" s="75"/>
      <c r="DC96" s="74"/>
      <c r="DD96" s="75"/>
      <c r="DE96" s="75"/>
      <c r="DF96" s="75"/>
      <c r="DG96" s="74"/>
      <c r="DH96" s="75"/>
      <c r="DI96" s="75"/>
      <c r="DJ96" s="75"/>
      <c r="DK96" s="74"/>
      <c r="DL96" s="75"/>
      <c r="DM96" s="75"/>
      <c r="DN96" s="75"/>
      <c r="DO96" s="76"/>
    </row>
    <row r="97" spans="1:119" x14ac:dyDescent="0.25">
      <c r="A97" s="136">
        <v>48</v>
      </c>
      <c r="B97" s="136">
        <f t="shared" si="0"/>
        <v>27.542287033381665</v>
      </c>
      <c r="C97" s="136" t="str">
        <f t="shared" si="7"/>
        <v>173.053293214267j</v>
      </c>
      <c r="D97" s="136">
        <f t="shared" si="1"/>
        <v>0.99999998103556065</v>
      </c>
      <c r="E97" s="136" t="str">
        <f t="shared" si="2"/>
        <v>-0.000216316616517834j</v>
      </c>
      <c r="F97" s="136" t="str">
        <f t="shared" si="8"/>
        <v>0.999999981035561-0.000216316616517834j</v>
      </c>
      <c r="G97" s="136">
        <f t="shared" si="9"/>
        <v>3.8495867518683309E-8</v>
      </c>
      <c r="H97" s="136">
        <f t="shared" si="10"/>
        <v>-1.2394029206750173E-2</v>
      </c>
      <c r="I97" s="136"/>
      <c r="J97" s="136">
        <f t="shared" si="3"/>
        <v>7.0726915520628681</v>
      </c>
      <c r="K97" s="136" t="str">
        <f t="shared" si="4"/>
        <v>1+0.0127019963530651j</v>
      </c>
      <c r="L97" s="136">
        <f t="shared" si="5"/>
        <v>0.9999911902367572</v>
      </c>
      <c r="M97" s="136" t="str">
        <f t="shared" si="6"/>
        <v>0.000929587893255265j</v>
      </c>
      <c r="N97" s="136" t="str">
        <f t="shared" si="11"/>
        <v>0.999991190236757+0.000929587893255265j</v>
      </c>
      <c r="O97" s="136" t="str">
        <f t="shared" si="12"/>
        <v>1.00000248679106+0.00417701195750321j</v>
      </c>
      <c r="P97" s="136" t="str">
        <f t="shared" si="13"/>
        <v>7.07270914036899+0.0295427171846985j</v>
      </c>
      <c r="Q97" s="136"/>
      <c r="R97" s="136">
        <f t="shared" si="14"/>
        <v>11.787819253438114</v>
      </c>
      <c r="S97" s="136" t="str">
        <f t="shared" si="15"/>
        <v>1+4.05250728190345E-06j</v>
      </c>
      <c r="T97" s="136" t="str">
        <f t="shared" si="16"/>
        <v>0.999998890916518+0.000329830230996399j</v>
      </c>
      <c r="U97" s="136" t="str">
        <f t="shared" si="39"/>
        <v>1.00000100163302-0.000325778415398806j</v>
      </c>
      <c r="V97" s="136" t="str">
        <f t="shared" si="40"/>
        <v>11.7878310605071-0.0038402170773926j</v>
      </c>
      <c r="W97" s="136"/>
      <c r="X97" s="136" t="str">
        <f t="shared" si="17"/>
        <v>1.66801517196891+0.0068392762458421j</v>
      </c>
      <c r="Y97" s="136">
        <f t="shared" si="41"/>
        <v>4.4440729448274965</v>
      </c>
      <c r="Z97" s="136">
        <f t="shared" si="42"/>
        <v>-179.76507439835032</v>
      </c>
      <c r="AA97" s="136"/>
      <c r="AB97" s="136" t="str">
        <f t="shared" si="18"/>
        <v>9.26673424409807-0.00301889897413522j</v>
      </c>
      <c r="AC97" s="136">
        <f t="shared" si="43"/>
        <v>19.338534626758271</v>
      </c>
      <c r="AD97" s="136">
        <f t="shared" si="44"/>
        <v>179.98133429109771</v>
      </c>
      <c r="AE97" s="136"/>
      <c r="AF97" s="136" t="str">
        <f t="shared" si="45"/>
        <v>3.47324322205459-0.0100349387514942j</v>
      </c>
      <c r="AG97" s="136">
        <f t="shared" si="46"/>
        <v>10.81474019023686</v>
      </c>
      <c r="AH97" s="136">
        <f t="shared" si="47"/>
        <v>179.8344607614419</v>
      </c>
      <c r="AI97" s="136"/>
      <c r="AJ97" s="136" t="str">
        <f t="shared" si="19"/>
        <v>99999.9622984181-61.4016023340015j</v>
      </c>
      <c r="AK97" s="136" t="str">
        <f t="shared" si="20"/>
        <v>19047.619047575-0.0289604038560424j</v>
      </c>
      <c r="AL97" s="136" t="str">
        <f t="shared" si="21"/>
        <v>10000-361915862.117286j</v>
      </c>
      <c r="AM97" s="136" t="str">
        <f t="shared" si="22"/>
        <v>963.13911974539-112318715.847856j</v>
      </c>
      <c r="AN97" s="136" t="str">
        <f t="shared" si="48"/>
        <v>10963.1391197454-112318715.847856j</v>
      </c>
      <c r="AO97" s="136" t="str">
        <f t="shared" si="49"/>
        <v>19047.6181746665-3.25915906088099j</v>
      </c>
      <c r="AP97" s="136" t="str">
        <f t="shared" si="50"/>
        <v>0.16000000819241+0.0000823194392247549j</v>
      </c>
      <c r="AQ97" s="136" t="str">
        <f t="shared" si="23"/>
        <v>1+0.00098242600773417j</v>
      </c>
      <c r="AR97" s="136" t="str">
        <f t="shared" si="24"/>
        <v>1+1.96093015515802E-06j</v>
      </c>
      <c r="AS97" s="136" t="str">
        <f t="shared" si="25"/>
        <v>3.07622143671762E-09j</v>
      </c>
      <c r="AT97" s="136" t="str">
        <f t="shared" si="51"/>
        <v>-6.03225537920311E-15+3.07622143671762E-09j</v>
      </c>
      <c r="AU97" s="179" t="str">
        <f t="shared" si="52"/>
        <v>318723.829784313-325074128.275252j</v>
      </c>
      <c r="AV97" s="136" t="str">
        <f t="shared" si="26"/>
        <v>7999.99998019164-0.398079017348224j</v>
      </c>
      <c r="AW97" s="136"/>
      <c r="AX97" s="136" t="str">
        <f t="shared" si="27"/>
        <v>0.499999998761977-0.000024879938584264j</v>
      </c>
      <c r="AY97" s="136"/>
      <c r="AZ97" s="136" t="str">
        <f t="shared" si="28"/>
        <v>4.8923995441205-3250.73976396422j</v>
      </c>
      <c r="BA97" s="136" t="str">
        <f t="shared" si="29"/>
        <v>2.36532156032249-1625.36999968022j</v>
      </c>
      <c r="BB97" s="136">
        <f t="shared" si="53"/>
        <v>64.21905398701179</v>
      </c>
      <c r="BC97" s="136">
        <f t="shared" si="54"/>
        <v>90.083379690136027</v>
      </c>
      <c r="BD97" s="136" t="str">
        <f t="shared" si="30"/>
        <v>17.0119784767191-15061.8789760332j</v>
      </c>
      <c r="BE97" s="136">
        <f t="shared" si="55"/>
        <v>83.557588613770093</v>
      </c>
      <c r="BF97" s="136">
        <f t="shared" si="56"/>
        <v>90.064713981233751</v>
      </c>
      <c r="BG97" s="136"/>
      <c r="BH97" s="136" t="str">
        <f t="shared" si="31"/>
        <v>-8.09515131793749-5645.32907057719j</v>
      </c>
      <c r="BI97" s="136">
        <f t="shared" si="57"/>
        <v>75.03379417724868</v>
      </c>
      <c r="BJ97" s="136">
        <f t="shared" si="58"/>
        <v>89.917840451577916</v>
      </c>
      <c r="BK97" s="136"/>
      <c r="BL97" s="136">
        <f t="shared" si="59"/>
        <v>-74.03379417724868</v>
      </c>
      <c r="BM97" s="136">
        <f t="shared" si="60"/>
        <v>-89.917840451577916</v>
      </c>
      <c r="BN97" s="136"/>
      <c r="BO97" s="189"/>
      <c r="BP97" s="189" t="str">
        <f t="shared" si="32"/>
        <v>0.00001+6.14016254833856E-09j</v>
      </c>
      <c r="BQ97" s="189" t="str">
        <f t="shared" si="33"/>
        <v>3.01612477855597E-12+3.07007831104986E-09j</v>
      </c>
      <c r="BR97" s="189" t="str">
        <f t="shared" si="34"/>
        <v>-0.000357212394229493-0.0000767793803162504j</v>
      </c>
      <c r="BS97" s="189" t="str">
        <f t="shared" si="35"/>
        <v>0.0000625000030161248+9.21024085938842E-09j</v>
      </c>
      <c r="BT97" s="189" t="str">
        <f t="shared" si="61"/>
        <v>-2.23250685601547E-08-4.80200151353066E-09j</v>
      </c>
      <c r="BU97" s="189" t="str">
        <f t="shared" si="62"/>
        <v>-3.01612477855597E-12-3.07007831104986E-09j</v>
      </c>
      <c r="BV97" s="189" t="str">
        <f t="shared" si="63"/>
        <v>-2.23280846849333E-08-7.87207982458052E-09j</v>
      </c>
      <c r="BW97" s="189" t="str">
        <f t="shared" si="36"/>
        <v>0.999999999904501-9.77237268638785E-06j</v>
      </c>
      <c r="BX97" s="189" t="str">
        <f t="shared" si="64"/>
        <v>-0.00001-6.14016254833856E-09j</v>
      </c>
      <c r="BY97" s="189" t="str">
        <f t="shared" si="65"/>
        <v>398.435740390993-140.203495224794j</v>
      </c>
      <c r="BZ97" s="136">
        <f t="shared" si="66"/>
        <v>52.514144690307319</v>
      </c>
      <c r="CA97" s="136">
        <f t="shared" si="67"/>
        <v>160.61380266717811</v>
      </c>
      <c r="CB97" s="189" t="str">
        <f t="shared" si="37"/>
        <v>3691.77485936588-1300.43136758976j</v>
      </c>
      <c r="CC97" s="136" t="str">
        <f t="shared" si="38"/>
        <v>1382.45730124999-490.959117749108j</v>
      </c>
      <c r="CD97" s="136">
        <f t="shared" si="68"/>
        <v>63.328884880544159</v>
      </c>
      <c r="CE97" s="136">
        <f t="shared" si="69"/>
        <v>160.44826342861998</v>
      </c>
      <c r="CF97" s="136"/>
      <c r="CG97" s="136">
        <f t="shared" si="70"/>
        <v>-62.328884880544159</v>
      </c>
      <c r="CH97" s="136">
        <f t="shared" si="71"/>
        <v>-160.44826342861998</v>
      </c>
      <c r="CI97" s="77"/>
      <c r="CJ97" s="189"/>
      <c r="CK97" s="189"/>
      <c r="CL97" s="189"/>
      <c r="CM97" s="77"/>
      <c r="CN97" s="189">
        <v>478.63009232263801</v>
      </c>
      <c r="CO97" s="189">
        <v>42.418210093301703</v>
      </c>
      <c r="CP97" s="189">
        <v>89.324747208356797</v>
      </c>
      <c r="CQ97" s="74"/>
      <c r="CR97" s="75"/>
      <c r="CS97" s="75"/>
      <c r="CT97" s="75"/>
      <c r="CU97" s="74"/>
      <c r="CV97" s="75"/>
      <c r="CW97" s="75"/>
      <c r="CX97" s="75"/>
      <c r="CY97" s="74"/>
      <c r="CZ97" s="75"/>
      <c r="DA97" s="75"/>
      <c r="DB97" s="75"/>
      <c r="DC97" s="74"/>
      <c r="DD97" s="75"/>
      <c r="DE97" s="75"/>
      <c r="DF97" s="75"/>
      <c r="DG97" s="74"/>
      <c r="DH97" s="75"/>
      <c r="DI97" s="75"/>
      <c r="DJ97" s="75"/>
      <c r="DK97" s="74"/>
      <c r="DL97" s="75"/>
      <c r="DM97" s="75"/>
      <c r="DN97" s="75"/>
      <c r="DO97" s="76"/>
    </row>
    <row r="98" spans="1:119" x14ac:dyDescent="0.25">
      <c r="A98" s="136">
        <v>49</v>
      </c>
      <c r="B98" s="136">
        <f t="shared" si="0"/>
        <v>29.512092266663863</v>
      </c>
      <c r="C98" s="136" t="str">
        <f t="shared" si="7"/>
        <v>185.429944514031j</v>
      </c>
      <c r="D98" s="136">
        <f t="shared" si="1"/>
        <v>0.99999997822591025</v>
      </c>
      <c r="E98" s="136" t="str">
        <f t="shared" si="2"/>
        <v>-0.000231787430642539j</v>
      </c>
      <c r="F98" s="136" t="str">
        <f t="shared" si="8"/>
        <v>0.99999997822591-0.000231787430642539j</v>
      </c>
      <c r="G98" s="136">
        <f t="shared" si="9"/>
        <v>4.4199164354455823E-8</v>
      </c>
      <c r="H98" s="136">
        <f t="shared" si="10"/>
        <v>-1.3280441571335901E-2</v>
      </c>
      <c r="I98" s="136"/>
      <c r="J98" s="136">
        <f t="shared" si="3"/>
        <v>7.0726915520628681</v>
      </c>
      <c r="K98" s="136" t="str">
        <f t="shared" si="4"/>
        <v>1+0.0136104343073669j</v>
      </c>
      <c r="L98" s="136">
        <f t="shared" si="5"/>
        <v>0.99998988503842834</v>
      </c>
      <c r="M98" s="136" t="str">
        <f t="shared" si="6"/>
        <v>0.000996071373538171j</v>
      </c>
      <c r="N98" s="136" t="str">
        <f t="shared" si="11"/>
        <v>0.999989885038428+0.000996071373538171j</v>
      </c>
      <c r="O98" s="136" t="str">
        <f t="shared" si="12"/>
        <v>1.00000285521884+0.00447574955589574j</v>
      </c>
      <c r="P98" s="136" t="str">
        <f t="shared" si="13"/>
        <v>7.07271174614504+0.0316555960731329j</v>
      </c>
      <c r="Q98" s="136"/>
      <c r="R98" s="136">
        <f t="shared" si="14"/>
        <v>11.787819253438114</v>
      </c>
      <c r="S98" s="136" t="str">
        <f t="shared" si="15"/>
        <v>1+4.34233978717553E-06j</v>
      </c>
      <c r="T98" s="136" t="str">
        <f t="shared" si="16"/>
        <v>0.999998726601784+0.000353419459963621j</v>
      </c>
      <c r="U98" s="136" t="str">
        <f t="shared" si="39"/>
        <v>1.00000115002873-0.000349077971134245j</v>
      </c>
      <c r="V98" s="136" t="str">
        <f t="shared" si="40"/>
        <v>11.7878328097689-0.00411486802908737j</v>
      </c>
      <c r="W98" s="136"/>
      <c r="X98" s="136" t="str">
        <f t="shared" si="17"/>
        <v>1.6680158651462+0.00732841748760928j</v>
      </c>
      <c r="Y98" s="136">
        <f t="shared" si="41"/>
        <v>4.4440873714303155</v>
      </c>
      <c r="Z98" s="136">
        <f t="shared" si="42"/>
        <v>-179.74827296329192</v>
      </c>
      <c r="AA98" s="136"/>
      <c r="AB98" s="136" t="str">
        <f t="shared" si="18"/>
        <v>9.26673561924029-0.00323480954887793j</v>
      </c>
      <c r="AC98" s="136">
        <f t="shared" si="43"/>
        <v>19.338535983993165</v>
      </c>
      <c r="AD98" s="136">
        <f t="shared" si="44"/>
        <v>179.97999932934675</v>
      </c>
      <c r="AE98" s="136"/>
      <c r="AF98" s="136" t="str">
        <f t="shared" si="45"/>
        <v>3.47323902403385-0.0107526179008244j</v>
      </c>
      <c r="AG98" s="136">
        <f t="shared" si="46"/>
        <v>10.81473506277684</v>
      </c>
      <c r="AH98" s="136">
        <f t="shared" si="47"/>
        <v>179.8226215783142</v>
      </c>
      <c r="AI98" s="136"/>
      <c r="AJ98" s="136" t="str">
        <f t="shared" si="19"/>
        <v>99999.9567127946-65.7929985984543j</v>
      </c>
      <c r="AK98" s="136" t="str">
        <f t="shared" si="20"/>
        <v>19047.6190475685-0.0310316318192165j</v>
      </c>
      <c r="AL98" s="136" t="str">
        <f t="shared" si="21"/>
        <v>10000-337759534.847608j</v>
      </c>
      <c r="AM98" s="136" t="str">
        <f t="shared" si="22"/>
        <v>963.139119693574-104821924.627544j</v>
      </c>
      <c r="AN98" s="136" t="str">
        <f t="shared" si="48"/>
        <v>10963.1391196936-104821924.627544j</v>
      </c>
      <c r="AO98" s="136" t="str">
        <f t="shared" si="49"/>
        <v>19047.6180453354-3.49225181532852j</v>
      </c>
      <c r="AP98" s="136" t="str">
        <f t="shared" si="50"/>
        <v>0.160000009406146+0.0000882068681962294j</v>
      </c>
      <c r="AQ98" s="136" t="str">
        <f t="shared" si="23"/>
        <v>1+0.00105268843325467j</v>
      </c>
      <c r="AR98" s="136" t="str">
        <f t="shared" si="24"/>
        <v>1+0.0000021011745174744j</v>
      </c>
      <c r="AS98" s="136" t="str">
        <f t="shared" si="25"/>
        <v>3.2962306566287E-09j</v>
      </c>
      <c r="AT98" s="136" t="str">
        <f t="shared" si="51"/>
        <v>-6.92595585942613E-15+3.2962306566287E-09j</v>
      </c>
      <c r="AU98" s="179" t="str">
        <f t="shared" si="52"/>
        <v>318723.82978413-303376828.377126j</v>
      </c>
      <c r="AV98" s="136" t="str">
        <f t="shared" si="26"/>
        <v>7999.99997725696-0.426549351942165j</v>
      </c>
      <c r="AW98" s="136"/>
      <c r="AX98" s="136" t="str">
        <f t="shared" si="27"/>
        <v>0.49999999857856-0.0000266593344963853j</v>
      </c>
      <c r="AY98" s="136"/>
      <c r="AZ98" s="136" t="str">
        <f t="shared" si="28"/>
        <v>4.89239956484812-3033.76665636028j</v>
      </c>
      <c r="BA98" s="136" t="str">
        <f t="shared" si="29"/>
        <v>2.36532157539392-1516.88345429594j</v>
      </c>
      <c r="BB98" s="136">
        <f t="shared" si="53"/>
        <v>63.619054844050268</v>
      </c>
      <c r="BC98" s="136">
        <f t="shared" si="54"/>
        <v>90.089342944071191</v>
      </c>
      <c r="BD98" s="136" t="str">
        <f t="shared" si="30"/>
        <v>17.0119806111689-14056.5655875253j</v>
      </c>
      <c r="BE98" s="136">
        <f t="shared" si="55"/>
        <v>82.957590828043465</v>
      </c>
      <c r="BF98" s="136">
        <f t="shared" si="56"/>
        <v>90.069342273417959</v>
      </c>
      <c r="BG98" s="136"/>
      <c r="BH98" s="136" t="str">
        <f t="shared" si="31"/>
        <v>-8.09514098407959-5268.52424177106j</v>
      </c>
      <c r="BI98" s="136">
        <f t="shared" si="57"/>
        <v>74.433789906827144</v>
      </c>
      <c r="BJ98" s="136">
        <f t="shared" si="58"/>
        <v>89.911964522385389</v>
      </c>
      <c r="BK98" s="136"/>
      <c r="BL98" s="136">
        <f t="shared" si="59"/>
        <v>-73.433789906827144</v>
      </c>
      <c r="BM98" s="136">
        <f t="shared" si="60"/>
        <v>-89.911964522385389</v>
      </c>
      <c r="BN98" s="136"/>
      <c r="BO98" s="189"/>
      <c r="BP98" s="189" t="str">
        <f t="shared" si="32"/>
        <v>0.00001+6.57930270784171E-09j</v>
      </c>
      <c r="BQ98" s="189" t="str">
        <f t="shared" si="33"/>
        <v>3.46297409220813E-12+3.28964770848808E-09j</v>
      </c>
      <c r="BR98" s="189" t="str">
        <f t="shared" si="34"/>
        <v>-0.000357222696391005-0.0000822705782553391j</v>
      </c>
      <c r="BS98" s="189" t="str">
        <f t="shared" si="35"/>
        <v>0.0000625000034629741+9.86895041632979E-09j</v>
      </c>
      <c r="BT98" s="189" t="str">
        <f t="shared" si="61"/>
        <v>-2.23256078372332E-08-5.14543683893785E-09j</v>
      </c>
      <c r="BU98" s="189" t="str">
        <f t="shared" si="62"/>
        <v>-3.46297409220813E-12-3.28964770848808E-09j</v>
      </c>
      <c r="BV98" s="189" t="str">
        <f t="shared" si="63"/>
        <v>-2.23290708113254E-08-8.43508454742593E-09j</v>
      </c>
      <c r="BW98" s="189" t="str">
        <f t="shared" si="36"/>
        <v>0.999999999890352-0.0000104712859912931j</v>
      </c>
      <c r="BX98" s="189" t="str">
        <f t="shared" si="64"/>
        <v>-0.00001-6.57930270784171E-09j</v>
      </c>
      <c r="BY98" s="189" t="str">
        <f t="shared" si="65"/>
        <v>392.014051947211-147.79822725237j</v>
      </c>
      <c r="BZ98" s="136">
        <f t="shared" si="66"/>
        <v>52.443249596091079</v>
      </c>
      <c r="CA98" s="136">
        <f t="shared" si="67"/>
        <v>159.34241435068219</v>
      </c>
      <c r="CB98" s="189" t="str">
        <f t="shared" si="37"/>
        <v>3632.21247930511-1370.87518773864j</v>
      </c>
      <c r="CC98" s="136" t="str">
        <f t="shared" si="38"/>
        <v>1359.96928532862-517.553747888297j</v>
      </c>
      <c r="CD98" s="136">
        <f t="shared" si="68"/>
        <v>63.257984658867912</v>
      </c>
      <c r="CE98" s="136">
        <f t="shared" si="69"/>
        <v>159.16503592899636</v>
      </c>
      <c r="CF98" s="136"/>
      <c r="CG98" s="136">
        <f t="shared" si="70"/>
        <v>-62.257984658867912</v>
      </c>
      <c r="CH98" s="136">
        <f t="shared" si="71"/>
        <v>-159.16503592899636</v>
      </c>
      <c r="CI98" s="77"/>
      <c r="CJ98" s="189"/>
      <c r="CK98" s="189"/>
      <c r="CL98" s="189"/>
      <c r="CM98" s="77"/>
      <c r="CN98" s="189">
        <v>501.18723362727201</v>
      </c>
      <c r="CO98" s="189">
        <v>42.014479526516602</v>
      </c>
      <c r="CP98" s="189">
        <v>89.042802550909698</v>
      </c>
      <c r="CQ98" s="74"/>
      <c r="CR98" s="75"/>
      <c r="CS98" s="75"/>
      <c r="CT98" s="75"/>
      <c r="CU98" s="74"/>
      <c r="CV98" s="75"/>
      <c r="CW98" s="75"/>
      <c r="CX98" s="75"/>
      <c r="CY98" s="74"/>
      <c r="CZ98" s="75"/>
      <c r="DA98" s="75"/>
      <c r="DB98" s="75"/>
      <c r="DC98" s="74"/>
      <c r="DD98" s="75"/>
      <c r="DE98" s="75"/>
      <c r="DF98" s="75"/>
      <c r="DG98" s="74"/>
      <c r="DH98" s="75"/>
      <c r="DI98" s="75"/>
      <c r="DJ98" s="75"/>
      <c r="DK98" s="74"/>
      <c r="DL98" s="75"/>
      <c r="DM98" s="75"/>
      <c r="DN98" s="75"/>
      <c r="DO98" s="76"/>
    </row>
    <row r="99" spans="1:119" x14ac:dyDescent="0.25">
      <c r="A99" s="136">
        <v>50</v>
      </c>
      <c r="B99" s="136">
        <f t="shared" si="0"/>
        <v>31.622776601683803</v>
      </c>
      <c r="C99" s="136" t="str">
        <f t="shared" si="7"/>
        <v>198.691765315922j</v>
      </c>
      <c r="D99" s="136">
        <f t="shared" si="1"/>
        <v>0.99999997500000004</v>
      </c>
      <c r="E99" s="136" t="str">
        <f t="shared" si="2"/>
        <v>-0.000248364706644902j</v>
      </c>
      <c r="F99" s="136" t="str">
        <f t="shared" si="8"/>
        <v>0.999999975-0.000248364706644902j</v>
      </c>
      <c r="G99" s="136">
        <f t="shared" si="9"/>
        <v>5.074743190895087E-8</v>
      </c>
      <c r="H99" s="136">
        <f t="shared" si="10"/>
        <v>-1.4230249533916134E-2</v>
      </c>
      <c r="I99" s="136"/>
      <c r="J99" s="136">
        <f t="shared" si="3"/>
        <v>7.0726915520628681</v>
      </c>
      <c r="K99" s="136" t="str">
        <f t="shared" si="4"/>
        <v>1+0.0145838431130118j</v>
      </c>
      <c r="L99" s="136">
        <f t="shared" si="5"/>
        <v>0.99998838647024013</v>
      </c>
      <c r="M99" s="136" t="str">
        <f t="shared" si="6"/>
        <v>0.00106730970614069j</v>
      </c>
      <c r="N99" s="136" t="str">
        <f t="shared" si="11"/>
        <v>0.99998838647024+0.00106730970614069j</v>
      </c>
      <c r="O99" s="136" t="str">
        <f t="shared" si="12"/>
        <v>1.00000327823076+0.00479585279913773j</v>
      </c>
      <c r="P99" s="136" t="str">
        <f t="shared" si="13"/>
        <v>7.07271473797787+0.0339195875773985j</v>
      </c>
      <c r="Q99" s="136"/>
      <c r="R99" s="136">
        <f t="shared" si="14"/>
        <v>11.787819253438114</v>
      </c>
      <c r="S99" s="136" t="str">
        <f t="shared" si="15"/>
        <v>1+4.65290091185994E-06j</v>
      </c>
      <c r="T99" s="136" t="str">
        <f t="shared" si="16"/>
        <v>0.999998537943226+0.000378695774197669j</v>
      </c>
      <c r="U99" s="136" t="str">
        <f t="shared" si="39"/>
        <v>1.00000132040985-0.000374043920192888j</v>
      </c>
      <c r="V99" s="136" t="str">
        <f t="shared" si="40"/>
        <v>11.7878348181908-0.00440916212408119j</v>
      </c>
      <c r="W99" s="136"/>
      <c r="X99" s="136" t="str">
        <f t="shared" si="17"/>
        <v>1.66801666102062+0.00785254199136543j</v>
      </c>
      <c r="Y99" s="136">
        <f t="shared" si="41"/>
        <v>4.4441039353384051</v>
      </c>
      <c r="Z99" s="136">
        <f t="shared" si="42"/>
        <v>-179.73026996591869</v>
      </c>
      <c r="AA99" s="136"/>
      <c r="AB99" s="136" t="str">
        <f t="shared" si="18"/>
        <v>9.26673719811531-0.00346616213222568j</v>
      </c>
      <c r="AC99" s="136">
        <f t="shared" si="43"/>
        <v>19.338537542307609</v>
      </c>
      <c r="AD99" s="136">
        <f t="shared" si="44"/>
        <v>179.97856889131774</v>
      </c>
      <c r="AE99" s="136"/>
      <c r="AF99" s="136" t="str">
        <f t="shared" si="45"/>
        <v>3.47323420407336-0.0115216220403209j</v>
      </c>
      <c r="AG99" s="136">
        <f t="shared" si="46"/>
        <v>10.814729175672522</v>
      </c>
      <c r="AH99" s="136">
        <f t="shared" si="47"/>
        <v>179.80993568073961</v>
      </c>
      <c r="AI99" s="136"/>
      <c r="AJ99" s="136" t="str">
        <f t="shared" si="19"/>
        <v>99999.9502996416-70.498463626538j</v>
      </c>
      <c r="AK99" s="136" t="str">
        <f t="shared" si="20"/>
        <v>19047.619047561-0.0332509925673029j</v>
      </c>
      <c r="AL99" s="136" t="str">
        <f t="shared" si="21"/>
        <v>10000-315215538.531721j</v>
      </c>
      <c r="AM99" s="136" t="str">
        <f t="shared" si="22"/>
        <v>963.139119634086-97825511.9791927j</v>
      </c>
      <c r="AN99" s="136" t="str">
        <f t="shared" si="48"/>
        <v>10963.1391196341-97825511.9791927j</v>
      </c>
      <c r="AO99" s="136" t="str">
        <f t="shared" si="49"/>
        <v>19047.6178968435-3.74201519305364j</v>
      </c>
      <c r="AP99" s="136" t="str">
        <f t="shared" si="50"/>
        <v>0.1600000107997+0.0000945153619675749j</v>
      </c>
      <c r="AQ99" s="136" t="str">
        <f t="shared" si="23"/>
        <v>1+0.00112797597863271j</v>
      </c>
      <c r="AR99" s="136" t="str">
        <f t="shared" si="24"/>
        <v>1+2.25144905914713E-06j</v>
      </c>
      <c r="AS99" s="136" t="str">
        <f t="shared" si="25"/>
        <v>3.53197478309368E-09j</v>
      </c>
      <c r="AT99" s="136" t="str">
        <f t="shared" si="51"/>
        <v>-7.95206130232765E-15+3.53197478309368E-09j</v>
      </c>
      <c r="AU99" s="179" t="str">
        <f t="shared" si="52"/>
        <v>318723.829783923-283127729.937699j</v>
      </c>
      <c r="AV99" s="136" t="str">
        <f t="shared" si="26"/>
        <v>7999.99997388749-0.457055865050116j</v>
      </c>
      <c r="AW99" s="136"/>
      <c r="AX99" s="136" t="str">
        <f t="shared" si="27"/>
        <v>0.499999998367968-0.0000285659915656322j</v>
      </c>
      <c r="AY99" s="136"/>
      <c r="AZ99" s="136" t="str">
        <f t="shared" si="28"/>
        <v>4.89239958864666-2831.27555557471j</v>
      </c>
      <c r="BA99" s="136" t="str">
        <f t="shared" si="29"/>
        <v>2.36532159269825-1415.63791292287j</v>
      </c>
      <c r="BB99" s="136">
        <f t="shared" si="53"/>
        <v>63.019055828061987</v>
      </c>
      <c r="BC99" s="136">
        <f t="shared" si="54"/>
        <v>90.095732684961732</v>
      </c>
      <c r="BD99" s="136" t="str">
        <f t="shared" si="30"/>
        <v>17.011983061846-13118.3527053328j</v>
      </c>
      <c r="BE99" s="136">
        <f t="shared" si="55"/>
        <v>82.357593370369585</v>
      </c>
      <c r="BF99" s="136">
        <f t="shared" si="56"/>
        <v>90.074301576279467</v>
      </c>
      <c r="BG99" s="136"/>
      <c r="BH99" s="136" t="str">
        <f t="shared" si="31"/>
        <v>-8.09512911925309-4916.86927208813j</v>
      </c>
      <c r="BI99" s="136">
        <f t="shared" si="57"/>
        <v>73.833785003734491</v>
      </c>
      <c r="BJ99" s="136">
        <f t="shared" si="58"/>
        <v>89.905668365701359</v>
      </c>
      <c r="BK99" s="136"/>
      <c r="BL99" s="136">
        <f t="shared" si="59"/>
        <v>-72.833785003734491</v>
      </c>
      <c r="BM99" s="136">
        <f t="shared" si="60"/>
        <v>-89.905668365701359</v>
      </c>
      <c r="BN99" s="136"/>
      <c r="BO99" s="189"/>
      <c r="BP99" s="189" t="str">
        <f t="shared" si="32"/>
        <v>0.00001+7.04984986645445E-09j</v>
      </c>
      <c r="BQ99" s="189" t="str">
        <f t="shared" si="33"/>
        <v>3.97602559234794E-12+3.52492044836587E-09j</v>
      </c>
      <c r="BR99" s="189" t="str">
        <f t="shared" si="34"/>
        <v>-0.000357234524851965-0.0000881545005537984j</v>
      </c>
      <c r="BS99" s="189" t="str">
        <f t="shared" si="35"/>
        <v>0.0000625000039760256+1.05747703148203E-08j</v>
      </c>
      <c r="BT99" s="189" t="str">
        <f t="shared" si="61"/>
        <v>-2.23262270100259E-08-5.51343430816578E-09j</v>
      </c>
      <c r="BU99" s="189" t="str">
        <f t="shared" si="62"/>
        <v>-3.97602559234794E-12-3.52492044836587E-09j</v>
      </c>
      <c r="BV99" s="189" t="str">
        <f t="shared" si="63"/>
        <v>-2.23302030356182E-08-9.03835475653165E-09j</v>
      </c>
      <c r="BW99" s="189" t="str">
        <f t="shared" si="36"/>
        <v>0.999999999874107-0.0000112201850901524j</v>
      </c>
      <c r="BX99" s="189" t="str">
        <f t="shared" si="64"/>
        <v>-0.00001-7.04984986645445E-09j</v>
      </c>
      <c r="BY99" s="189" t="str">
        <f t="shared" si="65"/>
        <v>384.892741435915-155.478187402026j</v>
      </c>
      <c r="BZ99" s="136">
        <f t="shared" si="66"/>
        <v>52.363253253863348</v>
      </c>
      <c r="CA99" s="136">
        <f t="shared" si="67"/>
        <v>158.00365679824634</v>
      </c>
      <c r="CB99" s="189" t="str">
        <f t="shared" si="37"/>
        <v>3566.16097174321-1442.10960333923j</v>
      </c>
      <c r="CC99" s="136" t="str">
        <f t="shared" si="38"/>
        <v>1335.03127354402-544.446747164932j</v>
      </c>
      <c r="CD99" s="136">
        <f t="shared" si="68"/>
        <v>63.177982429535852</v>
      </c>
      <c r="CE99" s="136">
        <f t="shared" si="69"/>
        <v>157.8135924789859</v>
      </c>
      <c r="CF99" s="136"/>
      <c r="CG99" s="136">
        <f t="shared" si="70"/>
        <v>-62.177982429535852</v>
      </c>
      <c r="CH99" s="136">
        <f t="shared" si="71"/>
        <v>-157.8135924789859</v>
      </c>
      <c r="CI99" s="77"/>
      <c r="CJ99" s="189"/>
      <c r="CK99" s="189"/>
      <c r="CL99" s="189"/>
      <c r="CM99" s="77"/>
      <c r="CN99" s="189">
        <v>524.80746024977202</v>
      </c>
      <c r="CO99" s="189">
        <v>41.610235435883403</v>
      </c>
      <c r="CP99" s="189">
        <v>88.759334739148599</v>
      </c>
      <c r="CQ99" s="74"/>
      <c r="CR99" s="75"/>
      <c r="CS99" s="75"/>
      <c r="CT99" s="75"/>
      <c r="CU99" s="74"/>
      <c r="CV99" s="75"/>
      <c r="CW99" s="75"/>
      <c r="CX99" s="75"/>
      <c r="CY99" s="74"/>
      <c r="CZ99" s="75"/>
      <c r="DA99" s="75"/>
      <c r="DB99" s="75"/>
      <c r="DC99" s="74"/>
      <c r="DD99" s="75"/>
      <c r="DE99" s="75"/>
      <c r="DF99" s="75"/>
      <c r="DG99" s="74"/>
      <c r="DH99" s="75"/>
      <c r="DI99" s="75"/>
      <c r="DJ99" s="75"/>
      <c r="DK99" s="74"/>
      <c r="DL99" s="75"/>
      <c r="DM99" s="75"/>
      <c r="DN99" s="75"/>
      <c r="DO99" s="76"/>
    </row>
    <row r="100" spans="1:119" x14ac:dyDescent="0.25">
      <c r="A100" s="136">
        <v>51</v>
      </c>
      <c r="B100" s="136">
        <f t="shared" si="0"/>
        <v>33.884415613920268</v>
      </c>
      <c r="C100" s="136" t="str">
        <f t="shared" si="7"/>
        <v>212.90206232775j</v>
      </c>
      <c r="D100" s="136">
        <f t="shared" si="1"/>
        <v>0.99999997129615947</v>
      </c>
      <c r="E100" s="136" t="str">
        <f t="shared" si="2"/>
        <v>-0.000266127577909688j</v>
      </c>
      <c r="F100" s="136" t="str">
        <f t="shared" si="8"/>
        <v>0.999999971296159-0.000266127577909688j</v>
      </c>
      <c r="G100" s="136">
        <f t="shared" si="9"/>
        <v>5.8265845670542E-8</v>
      </c>
      <c r="H100" s="136">
        <f t="shared" si="10"/>
        <v>-1.5247987103966004E-2</v>
      </c>
      <c r="I100" s="136"/>
      <c r="J100" s="136">
        <f t="shared" si="3"/>
        <v>7.0726915520628681</v>
      </c>
      <c r="K100" s="136" t="str">
        <f t="shared" si="4"/>
        <v>1+0.0156268694401486j</v>
      </c>
      <c r="L100" s="136">
        <f t="shared" si="5"/>
        <v>0.99998666588374785</v>
      </c>
      <c r="M100" s="136" t="str">
        <f t="shared" si="6"/>
        <v>0.00114364295479722j</v>
      </c>
      <c r="N100" s="136" t="str">
        <f t="shared" si="11"/>
        <v>0.999986665883748+0.00114364295479722j</v>
      </c>
      <c r="O100" s="136" t="str">
        <f t="shared" si="12"/>
        <v>1.0000037639137+0.00513884977539602j</v>
      </c>
      <c r="P100" s="136" t="str">
        <f t="shared" si="13"/>
        <v>7.0727181730635+0.0363454993937636j</v>
      </c>
      <c r="Q100" s="136"/>
      <c r="R100" s="136">
        <f t="shared" si="14"/>
        <v>11.787819253438114</v>
      </c>
      <c r="S100" s="136" t="str">
        <f t="shared" si="15"/>
        <v>1+4.98567315241558E-06j</v>
      </c>
      <c r="T100" s="136" t="str">
        <f t="shared" si="16"/>
        <v>0.999998321334221+0.000405779832864704j</v>
      </c>
      <c r="U100" s="136" t="str">
        <f t="shared" si="39"/>
        <v>1.00000151603361-0.000400795447689757j</v>
      </c>
      <c r="V100" s="136" t="str">
        <f t="shared" si="40"/>
        <v>11.7878371241683-0.00472450429496767j</v>
      </c>
      <c r="W100" s="136"/>
      <c r="X100" s="136" t="str">
        <f t="shared" si="17"/>
        <v>1.66801757480721+0.00841415178641156j</v>
      </c>
      <c r="Y100" s="136">
        <f t="shared" si="41"/>
        <v>4.4441229531857402</v>
      </c>
      <c r="Z100" s="136">
        <f t="shared" si="42"/>
        <v>-179.71097948621451</v>
      </c>
      <c r="AA100" s="136"/>
      <c r="AB100" s="136" t="str">
        <f t="shared" si="18"/>
        <v>9.26673901090687-0.00371406117985898j</v>
      </c>
      <c r="AC100" s="136">
        <f t="shared" si="43"/>
        <v>19.3385393314922</v>
      </c>
      <c r="AD100" s="136">
        <f t="shared" si="44"/>
        <v>179.97703614844289</v>
      </c>
      <c r="AE100" s="136"/>
      <c r="AF100" s="136" t="str">
        <f t="shared" si="45"/>
        <v>3.47322867003438-0.0123456212243372j</v>
      </c>
      <c r="AG100" s="136">
        <f t="shared" si="46"/>
        <v>10.814722416382212</v>
      </c>
      <c r="AH100" s="136">
        <f t="shared" si="47"/>
        <v>179.79634251590556</v>
      </c>
      <c r="AI100" s="136"/>
      <c r="AJ100" s="136" t="str">
        <f t="shared" si="19"/>
        <v>99999.9429363577-75.540459203165j</v>
      </c>
      <c r="AK100" s="136" t="str">
        <f t="shared" si="20"/>
        <v>19047.6190475524-0.035629080454161j</v>
      </c>
      <c r="AL100" s="136" t="str">
        <f t="shared" si="21"/>
        <v>10000-294176257.012769j</v>
      </c>
      <c r="AM100" s="136" t="str">
        <f t="shared" si="22"/>
        <v>963.139119565778-91296079.785163j</v>
      </c>
      <c r="AN100" s="136" t="str">
        <f t="shared" si="48"/>
        <v>10963.1391195658-91296079.785163j</v>
      </c>
      <c r="AO100" s="136" t="str">
        <f t="shared" si="49"/>
        <v>19047.6177263519-4.00964146347606j</v>
      </c>
      <c r="AP100" s="136" t="str">
        <f t="shared" si="50"/>
        <v>0.160000012399715+0.000101275034793878j</v>
      </c>
      <c r="AQ100" s="136" t="str">
        <f t="shared" si="23"/>
        <v>1+0.00120864803694923j</v>
      </c>
      <c r="AR100" s="136" t="str">
        <f t="shared" si="24"/>
        <v>1+2.41247113163519E-06j</v>
      </c>
      <c r="AS100" s="136" t="str">
        <f t="shared" si="25"/>
        <v>3.78457916569728E-09j</v>
      </c>
      <c r="AT100" s="136" t="str">
        <f t="shared" si="51"/>
        <v>-9.13018798263268E-15+3.78457916569728E-09j</v>
      </c>
      <c r="AU100" s="179" t="str">
        <f t="shared" si="52"/>
        <v>318723.829783683-264230171.738465j</v>
      </c>
      <c r="AV100" s="136" t="str">
        <f t="shared" si="26"/>
        <v>7999.99997001883-0.48974418273644j</v>
      </c>
      <c r="AW100" s="136"/>
      <c r="AX100" s="136" t="str">
        <f t="shared" si="27"/>
        <v>0.499999998126177-0.0000306090114210275j</v>
      </c>
      <c r="AY100" s="136"/>
      <c r="AZ100" s="136" t="str">
        <f t="shared" si="28"/>
        <v>4.89239961597101-2642.29984886684j</v>
      </c>
      <c r="BA100" s="136" t="str">
        <f t="shared" si="29"/>
        <v>2.36532161256627-1321.15006923373j</v>
      </c>
      <c r="BB100" s="136">
        <f t="shared" si="53"/>
        <v>62.419056957858388</v>
      </c>
      <c r="BC100" s="136">
        <f t="shared" si="54"/>
        <v>90.102579414668838</v>
      </c>
      <c r="BD100" s="136" t="str">
        <f t="shared" si="30"/>
        <v>17.0119858756-12242.7616707797j</v>
      </c>
      <c r="BE100" s="136">
        <f t="shared" si="55"/>
        <v>81.757596289350573</v>
      </c>
      <c r="BF100" s="136">
        <f t="shared" si="56"/>
        <v>90.079615563111744</v>
      </c>
      <c r="BG100" s="136"/>
      <c r="BH100" s="136" t="str">
        <f t="shared" si="31"/>
        <v>-8.0951154966494-4588.6854992452j</v>
      </c>
      <c r="BI100" s="136">
        <f t="shared" si="57"/>
        <v>73.233779374240612</v>
      </c>
      <c r="BJ100" s="136">
        <f t="shared" si="58"/>
        <v>89.898921930574403</v>
      </c>
      <c r="BK100" s="136"/>
      <c r="BL100" s="136">
        <f t="shared" si="59"/>
        <v>-72.233779374240612</v>
      </c>
      <c r="BM100" s="136">
        <f t="shared" si="60"/>
        <v>-89.898921930574403</v>
      </c>
      <c r="BN100" s="136"/>
      <c r="BO100" s="189"/>
      <c r="BP100" s="189" t="str">
        <f t="shared" si="32"/>
        <v>0.00001+7.5540502309327E-09j</v>
      </c>
      <c r="BQ100" s="189" t="str">
        <f t="shared" si="33"/>
        <v>4.56508732249948E-12+3.77701959788252E-09j</v>
      </c>
      <c r="BR100" s="189" t="str">
        <f t="shared" si="34"/>
        <v>-0.000357248105738184-0.0000944592340548462j</v>
      </c>
      <c r="BS100" s="189" t="str">
        <f t="shared" si="35"/>
        <v>0.0000625000045650873+1.13310698288152E-08j</v>
      </c>
      <c r="BT100" s="189" t="str">
        <f t="shared" si="61"/>
        <v>-2.23269379153282E-08-5.90775056287487E-09j</v>
      </c>
      <c r="BU100" s="189" t="str">
        <f t="shared" si="62"/>
        <v>-4.56508732249948E-12-3.77701959788252E-09j</v>
      </c>
      <c r="BV100" s="189" t="str">
        <f t="shared" si="63"/>
        <v>-2.23315030026507E-08-9.68477016075739E-09j</v>
      </c>
      <c r="BW100" s="189" t="str">
        <f t="shared" si="36"/>
        <v>0.999999999855456-0.0000120226449322132j</v>
      </c>
      <c r="BX100" s="189" t="str">
        <f t="shared" si="64"/>
        <v>-0.00001-7.5540502309327E-09j</v>
      </c>
      <c r="BY100" s="189" t="str">
        <f t="shared" si="65"/>
        <v>377.030372647528-163.178388776741j</v>
      </c>
      <c r="BZ100" s="136">
        <f t="shared" si="66"/>
        <v>52.273186370293978</v>
      </c>
      <c r="CA100" s="136">
        <f t="shared" si="67"/>
        <v>156.59708464915829</v>
      </c>
      <c r="CB100" s="189" t="str">
        <f t="shared" si="37"/>
        <v>3493.23600799045-1513.53185488503j</v>
      </c>
      <c r="CC100" s="136" t="str">
        <f t="shared" si="38"/>
        <v>1307.4981611733-571.410532400169j</v>
      </c>
      <c r="CD100" s="136">
        <f t="shared" si="68"/>
        <v>63.087908786676152</v>
      </c>
      <c r="CE100" s="136">
        <f t="shared" si="69"/>
        <v>156.39342716506383</v>
      </c>
      <c r="CF100" s="136"/>
      <c r="CG100" s="136">
        <f t="shared" si="70"/>
        <v>-62.087908786676152</v>
      </c>
      <c r="CH100" s="136">
        <f t="shared" si="71"/>
        <v>-156.39342716506383</v>
      </c>
      <c r="CI100" s="77"/>
      <c r="CJ100" s="189"/>
      <c r="CK100" s="189"/>
      <c r="CL100" s="189"/>
      <c r="CM100" s="77"/>
      <c r="CN100" s="189">
        <v>549.54087385762398</v>
      </c>
      <c r="CO100" s="189">
        <v>41.205444099520903</v>
      </c>
      <c r="CP100" s="189">
        <v>88.473824570651402</v>
      </c>
      <c r="CQ100" s="74"/>
      <c r="CR100" s="75"/>
      <c r="CS100" s="75"/>
      <c r="CT100" s="75"/>
      <c r="CU100" s="74"/>
      <c r="CV100" s="75"/>
      <c r="CW100" s="75"/>
      <c r="CX100" s="75"/>
      <c r="CY100" s="74"/>
      <c r="CZ100" s="75"/>
      <c r="DA100" s="75"/>
      <c r="DB100" s="75"/>
      <c r="DC100" s="74"/>
      <c r="DD100" s="75"/>
      <c r="DE100" s="75"/>
      <c r="DF100" s="75"/>
      <c r="DG100" s="74"/>
      <c r="DH100" s="75"/>
      <c r="DI100" s="75"/>
      <c r="DJ100" s="75"/>
      <c r="DK100" s="74"/>
      <c r="DL100" s="75"/>
      <c r="DM100" s="75"/>
      <c r="DN100" s="75"/>
      <c r="DO100" s="76"/>
    </row>
    <row r="101" spans="1:119" x14ac:dyDescent="0.25">
      <c r="A101" s="136">
        <v>52</v>
      </c>
      <c r="B101" s="136">
        <f t="shared" si="0"/>
        <v>36.307805477010156</v>
      </c>
      <c r="C101" s="136" t="str">
        <f t="shared" si="7"/>
        <v>228.128669909085j</v>
      </c>
      <c r="D101" s="136">
        <f t="shared" si="1"/>
        <v>0.99999996704358152</v>
      </c>
      <c r="E101" s="136" t="str">
        <f t="shared" si="2"/>
        <v>-0.000285160837386356j</v>
      </c>
      <c r="F101" s="136" t="str">
        <f t="shared" si="8"/>
        <v>0.999999967043582-0.000285160837386356j</v>
      </c>
      <c r="G101" s="136">
        <f t="shared" si="9"/>
        <v>6.6898148287768514E-8</v>
      </c>
      <c r="H101" s="136">
        <f t="shared" si="10"/>
        <v>-1.6338512560248764E-2</v>
      </c>
      <c r="I101" s="136"/>
      <c r="J101" s="136">
        <f t="shared" si="3"/>
        <v>7.0726915520628681</v>
      </c>
      <c r="K101" s="136" t="str">
        <f t="shared" si="4"/>
        <v>1+0.0167444922855469j</v>
      </c>
      <c r="L101" s="136">
        <f t="shared" si="5"/>
        <v>0.99998469038613569</v>
      </c>
      <c r="M101" s="136" t="str">
        <f t="shared" si="6"/>
        <v>0.00122543550436421j</v>
      </c>
      <c r="N101" s="136" t="str">
        <f t="shared" si="11"/>
        <v>0.999984690386136+0.00122543550436421j</v>
      </c>
      <c r="O101" s="136" t="str">
        <f t="shared" si="12"/>
        <v>1.00000432155271+0.00550637786803116j</v>
      </c>
      <c r="P101" s="136" t="str">
        <f t="shared" si="13"/>
        <v>7.07272211707221+0.0389449122296899j</v>
      </c>
      <c r="Q101" s="136"/>
      <c r="R101" s="136">
        <f t="shared" si="14"/>
        <v>11.787819253438114</v>
      </c>
      <c r="S101" s="136" t="str">
        <f t="shared" si="15"/>
        <v>1+5.34224503241813E-06j</v>
      </c>
      <c r="T101" s="136" t="str">
        <f t="shared" si="16"/>
        <v>0.999998072633806+0.000434800924590619j</v>
      </c>
      <c r="U101" s="136" t="str">
        <f t="shared" si="39"/>
        <v>1.00000174063983-0.000429460264117203j</v>
      </c>
      <c r="V101" s="136" t="str">
        <f t="shared" si="40"/>
        <v>11.7878397717858-0.00506239996994738j</v>
      </c>
      <c r="W101" s="136"/>
      <c r="X101" s="136" t="str">
        <f t="shared" si="17"/>
        <v>1.66801862397527+0.00901592785712274j</v>
      </c>
      <c r="Y101" s="136">
        <f t="shared" si="41"/>
        <v>4.4441447885121743</v>
      </c>
      <c r="Z101" s="136">
        <f t="shared" si="42"/>
        <v>-179.69030946265082</v>
      </c>
      <c r="AA101" s="136"/>
      <c r="AB101" s="136" t="str">
        <f t="shared" si="18"/>
        <v>9.26674109227092-0.00397969014978522j</v>
      </c>
      <c r="AC101" s="136">
        <f t="shared" si="43"/>
        <v>19.338541385751459</v>
      </c>
      <c r="AD101" s="136">
        <f t="shared" si="44"/>
        <v>179.97539378374083</v>
      </c>
      <c r="AE101" s="136"/>
      <c r="AF101" s="136" t="str">
        <f t="shared" si="45"/>
        <v>3.47322231612874-0.0132285478319352j</v>
      </c>
      <c r="AG101" s="136">
        <f t="shared" si="46"/>
        <v>10.814714655691567</v>
      </c>
      <c r="AH101" s="136">
        <f t="shared" si="47"/>
        <v>179.78177720113695</v>
      </c>
      <c r="AI101" s="136"/>
      <c r="AJ101" s="136" t="str">
        <f t="shared" si="19"/>
        <v>99999.934482178-80.9430535196294j</v>
      </c>
      <c r="AK101" s="136" t="str">
        <f t="shared" si="20"/>
        <v>19047.6190475425-0.0381772475344777j</v>
      </c>
      <c r="AL101" s="136" t="str">
        <f t="shared" si="21"/>
        <v>10000-274541257.049527j</v>
      </c>
      <c r="AM101" s="136" t="str">
        <f t="shared" si="22"/>
        <v>963.139119487358-85202459.1085303j</v>
      </c>
      <c r="AN101" s="136" t="str">
        <f t="shared" si="48"/>
        <v>10963.1391194874-85202459.1085303j</v>
      </c>
      <c r="AO101" s="136" t="str">
        <f t="shared" si="49"/>
        <v>19047.6175306015-4.29640816584145j</v>
      </c>
      <c r="AP101" s="136" t="str">
        <f t="shared" si="50"/>
        <v>0.160000014236778+0.000108518154679242j</v>
      </c>
      <c r="AQ101" s="136" t="str">
        <f t="shared" si="23"/>
        <v>1+0.00129508970482864j</v>
      </c>
      <c r="AR101" s="136" t="str">
        <f t="shared" si="24"/>
        <v>1+2.58500939087553E-06j</v>
      </c>
      <c r="AS101" s="136" t="str">
        <f t="shared" si="25"/>
        <v>4.05524963824467E-09j</v>
      </c>
      <c r="AT101" s="136" t="str">
        <f t="shared" si="51"/>
        <v>-1.04828583972071E-14+4.05524963824467E-09j</v>
      </c>
      <c r="AU101" s="179" t="str">
        <f t="shared" si="52"/>
        <v>318723.82978341-246593944.281564j</v>
      </c>
      <c r="AV101" s="136" t="str">
        <f t="shared" si="26"/>
        <v>7999.99996557701-0.524770346138543j</v>
      </c>
      <c r="AW101" s="136"/>
      <c r="AX101" s="136" t="str">
        <f t="shared" si="27"/>
        <v>0.499999997848563-0.0000327981466336589j</v>
      </c>
      <c r="AY101" s="136"/>
      <c r="AZ101" s="136" t="str">
        <f t="shared" si="28"/>
        <v>4.89239964734357-2465.93744066274j</v>
      </c>
      <c r="BA101" s="136" t="str">
        <f t="shared" si="29"/>
        <v>2.36532163537781-1232.9688754877j</v>
      </c>
      <c r="BB101" s="136">
        <f t="shared" si="53"/>
        <v>61.819058255038051</v>
      </c>
      <c r="BC101" s="136">
        <f t="shared" si="54"/>
        <v>90.10991581648203</v>
      </c>
      <c r="BD101" s="136" t="str">
        <f t="shared" si="30"/>
        <v>17.0119891062228-11425.6127572201j</v>
      </c>
      <c r="BE101" s="136">
        <f t="shared" si="55"/>
        <v>81.157599640789471</v>
      </c>
      <c r="BF101" s="136">
        <f t="shared" si="56"/>
        <v>90.085309600222857</v>
      </c>
      <c r="BG101" s="136"/>
      <c r="BH101" s="136" t="str">
        <f t="shared" si="31"/>
        <v>-8.09509985585997-4282.40630320642j</v>
      </c>
      <c r="BI101" s="136">
        <f t="shared" si="57"/>
        <v>72.63377291072959</v>
      </c>
      <c r="BJ101" s="136">
        <f t="shared" si="58"/>
        <v>89.891693017618977</v>
      </c>
      <c r="BK101" s="136"/>
      <c r="BL101" s="136">
        <f t="shared" si="59"/>
        <v>-71.63377291072959</v>
      </c>
      <c r="BM101" s="136">
        <f t="shared" si="60"/>
        <v>-89.891693017618977</v>
      </c>
      <c r="BN101" s="136"/>
      <c r="BO101" s="189"/>
      <c r="BP101" s="189" t="str">
        <f t="shared" si="32"/>
        <v>0.00001+8.09431065517899E-09j</v>
      </c>
      <c r="BQ101" s="189" t="str">
        <f t="shared" si="33"/>
        <v>5.24142040739266E-12+4.04714853947988E-09j</v>
      </c>
      <c r="BR101" s="189" t="str">
        <f t="shared" si="34"/>
        <v>-0.000357263698676513-0.000101214874231147j</v>
      </c>
      <c r="BS101" s="189" t="str">
        <f t="shared" si="35"/>
        <v>0.0000625000052414204+1.21414591946589E-08j</v>
      </c>
      <c r="BT101" s="189" t="str">
        <f t="shared" si="61"/>
        <v>-2.23277541435859E-08-6.33026787257561E-09j</v>
      </c>
      <c r="BU101" s="189" t="str">
        <f t="shared" si="62"/>
        <v>-5.24142040739266E-12-4.04714853947988E-09j</v>
      </c>
      <c r="BV101" s="189" t="str">
        <f t="shared" si="63"/>
        <v>-2.23329955639933E-08-1.03774164120555E-08j</v>
      </c>
      <c r="BW101" s="189" t="str">
        <f t="shared" si="36"/>
        <v>0.999999999834041-0.0000128824961446076j</v>
      </c>
      <c r="BX101" s="189" t="str">
        <f t="shared" si="64"/>
        <v>-0.00001-8.09431065517899E-09j</v>
      </c>
      <c r="BY101" s="189" t="str">
        <f t="shared" si="65"/>
        <v>368.392025110242-170.823119129964j</v>
      </c>
      <c r="BZ101" s="136">
        <f t="shared" si="66"/>
        <v>52.172028046791404</v>
      </c>
      <c r="CA101" s="136">
        <f t="shared" si="67"/>
        <v>155.12287880989604</v>
      </c>
      <c r="CB101" s="189" t="str">
        <f t="shared" si="37"/>
        <v>3413.11369406942-1584.43970366512j</v>
      </c>
      <c r="CC101" s="136" t="str">
        <f t="shared" si="38"/>
        <v>1277.24766089454-598.179960997985j</v>
      </c>
      <c r="CD101" s="136">
        <f t="shared" si="68"/>
        <v>62.986742702482978</v>
      </c>
      <c r="CE101" s="136">
        <f t="shared" si="69"/>
        <v>154.9046560110329</v>
      </c>
      <c r="CF101" s="136"/>
      <c r="CG101" s="136">
        <f t="shared" si="70"/>
        <v>-61.986742702482978</v>
      </c>
      <c r="CH101" s="136">
        <f t="shared" si="71"/>
        <v>-154.9046560110329</v>
      </c>
      <c r="CI101" s="77"/>
      <c r="CJ101" s="189"/>
      <c r="CK101" s="189"/>
      <c r="CL101" s="189"/>
      <c r="CM101" s="77"/>
      <c r="CN101" s="189">
        <v>575.43993733715604</v>
      </c>
      <c r="CO101" s="189">
        <v>40.800067620247297</v>
      </c>
      <c r="CP101" s="189">
        <v>88.185759131149197</v>
      </c>
      <c r="CQ101" s="74"/>
      <c r="CR101" s="75"/>
      <c r="CS101" s="75"/>
      <c r="CT101" s="75"/>
      <c r="CU101" s="74"/>
      <c r="CV101" s="75"/>
      <c r="CW101" s="75"/>
      <c r="CX101" s="75"/>
      <c r="CY101" s="74"/>
      <c r="CZ101" s="75"/>
      <c r="DA101" s="75"/>
      <c r="DB101" s="75"/>
      <c r="DC101" s="74"/>
      <c r="DD101" s="75"/>
      <c r="DE101" s="75"/>
      <c r="DF101" s="75"/>
      <c r="DG101" s="74"/>
      <c r="DH101" s="75"/>
      <c r="DI101" s="75"/>
      <c r="DJ101" s="75"/>
      <c r="DK101" s="74"/>
      <c r="DL101" s="75"/>
      <c r="DM101" s="75"/>
      <c r="DN101" s="75"/>
      <c r="DO101" s="76"/>
    </row>
    <row r="102" spans="1:119" x14ac:dyDescent="0.25">
      <c r="A102" s="136">
        <v>53</v>
      </c>
      <c r="B102" s="136">
        <f t="shared" si="0"/>
        <v>38.904514499428053</v>
      </c>
      <c r="C102" s="136" t="str">
        <f t="shared" si="7"/>
        <v>244.444273885762j</v>
      </c>
      <c r="D102" s="136">
        <f t="shared" si="1"/>
        <v>0.99999996216096876</v>
      </c>
      <c r="E102" s="136" t="str">
        <f t="shared" si="2"/>
        <v>-0.000305555342357202j</v>
      </c>
      <c r="F102" s="136" t="str">
        <f t="shared" si="8"/>
        <v>0.999999962160969-0.000305555342357202j</v>
      </c>
      <c r="G102" s="136">
        <f t="shared" si="9"/>
        <v>7.6809349685963496E-8</v>
      </c>
      <c r="H102" s="136">
        <f t="shared" si="10"/>
        <v>-1.7507031642349177E-2</v>
      </c>
      <c r="I102" s="136"/>
      <c r="J102" s="136">
        <f t="shared" si="3"/>
        <v>7.0726915520628681</v>
      </c>
      <c r="K102" s="136" t="str">
        <f t="shared" si="4"/>
        <v>1+0.0179420467403657j</v>
      </c>
      <c r="L102" s="136">
        <f t="shared" si="5"/>
        <v>0.99998242221139799</v>
      </c>
      <c r="M102" s="136" t="str">
        <f t="shared" si="6"/>
        <v>0.00131307780024983j</v>
      </c>
      <c r="N102" s="136" t="str">
        <f t="shared" si="11"/>
        <v>0.999982422211398+0.00131307780024983j</v>
      </c>
      <c r="O102" s="136" t="str">
        <f t="shared" si="12"/>
        <v>1.00000496180846+0.00590019157401531j</v>
      </c>
      <c r="P102" s="136" t="str">
        <f t="shared" si="13"/>
        <v>7.07272664540365+0.0417302351010906j</v>
      </c>
      <c r="Q102" s="136"/>
      <c r="R102" s="136">
        <f t="shared" si="14"/>
        <v>11.787819253438114</v>
      </c>
      <c r="S102" s="136" t="str">
        <f t="shared" si="15"/>
        <v>1+5.72431868554574E-06j</v>
      </c>
      <c r="T102" s="136" t="str">
        <f t="shared" si="16"/>
        <v>0.999997787087525+0.00046589758463401j</v>
      </c>
      <c r="U102" s="136" t="str">
        <f t="shared" si="39"/>
        <v>1.00000199852238-0.000460175215382687j</v>
      </c>
      <c r="V102" s="136" t="str">
        <f t="shared" si="40"/>
        <v>11.7878428116587-0.00542446226384307j</v>
      </c>
      <c r="W102" s="136"/>
      <c r="X102" s="136" t="str">
        <f t="shared" si="17"/>
        <v>1.66801982858228+0.00966074294437935j</v>
      </c>
      <c r="Y102" s="136">
        <f t="shared" si="41"/>
        <v>4.4441698587108007</v>
      </c>
      <c r="Z102" s="136">
        <f t="shared" si="42"/>
        <v>-179.66816125373916</v>
      </c>
      <c r="AA102" s="136"/>
      <c r="AB102" s="136" t="str">
        <f t="shared" si="18"/>
        <v>9.26674348199759-0.00426431715539108j</v>
      </c>
      <c r="AC102" s="136">
        <f t="shared" si="43"/>
        <v>19.338543744357178</v>
      </c>
      <c r="AD102" s="136">
        <f t="shared" si="44"/>
        <v>179.97363395687628</v>
      </c>
      <c r="AE102" s="136"/>
      <c r="AF102" s="136" t="str">
        <f t="shared" si="45"/>
        <v>3.47321502089696-0.0141746152924693j</v>
      </c>
      <c r="AG102" s="136">
        <f t="shared" si="46"/>
        <v>10.814705745243568</v>
      </c>
      <c r="AH102" s="136">
        <f t="shared" si="47"/>
        <v>179.76617021441933</v>
      </c>
      <c r="AI102" s="136"/>
      <c r="AJ102" s="136" t="str">
        <f t="shared" si="19"/>
        <v>99999.9247754826-86.7320360523429j</v>
      </c>
      <c r="AK102" s="136" t="str">
        <f t="shared" si="20"/>
        <v>19047.6190475312-0.0409076577540033j</v>
      </c>
      <c r="AL102" s="136" t="str">
        <f t="shared" si="21"/>
        <v>10000-256216808.887683j</v>
      </c>
      <c r="AM102" s="136" t="str">
        <f t="shared" si="22"/>
        <v>963.139119397316-79515561.4048608j</v>
      </c>
      <c r="AN102" s="136" t="str">
        <f t="shared" si="48"/>
        <v>10963.1391193973-79515561.4048608j</v>
      </c>
      <c r="AO102" s="136" t="str">
        <f t="shared" si="49"/>
        <v>19047.6173058499-4.60368420755513j</v>
      </c>
      <c r="AP102" s="136" t="str">
        <f t="shared" si="50"/>
        <v>0.160000016346007+0.000116279297411062j</v>
      </c>
      <c r="AQ102" s="136" t="str">
        <f t="shared" si="23"/>
        <v>1+0.00138771362073836j</v>
      </c>
      <c r="AR102" s="136" t="str">
        <f t="shared" si="24"/>
        <v>1+2.76988746654363E-06j</v>
      </c>
      <c r="AS102" s="136" t="str">
        <f t="shared" si="25"/>
        <v>4.34527827493699E-09j</v>
      </c>
      <c r="AT102" s="136" t="str">
        <f t="shared" si="51"/>
        <v>-1.20359318323923E-14+4.34527827493699E-09j</v>
      </c>
      <c r="AU102" s="179" t="str">
        <f t="shared" si="52"/>
        <v>318723.829783093-230134859.165179j</v>
      </c>
      <c r="AV102" s="136" t="str">
        <f t="shared" si="26"/>
        <v>7999.99996047712-0.562301556345212j</v>
      </c>
      <c r="AW102" s="136"/>
      <c r="AX102" s="136" t="str">
        <f t="shared" si="27"/>
        <v>0.49999999752982-0.0000351438472715757j</v>
      </c>
      <c r="AY102" s="136"/>
      <c r="AZ102" s="136" t="str">
        <f t="shared" si="28"/>
        <v>4.89239968336407-2301.34644630631j</v>
      </c>
      <c r="BA102" s="136" t="str">
        <f t="shared" si="29"/>
        <v>2.36532166156895-1150.67338940616j</v>
      </c>
      <c r="BB102" s="136">
        <f t="shared" si="53"/>
        <v>61.219059744399217</v>
      </c>
      <c r="BC102" s="136">
        <f t="shared" si="54"/>
        <v>90.117776911123244</v>
      </c>
      <c r="BD102" s="136" t="str">
        <f t="shared" si="30"/>
        <v>17.0119928154751-10663.0052176693j</v>
      </c>
      <c r="BE102" s="136">
        <f t="shared" si="55"/>
        <v>80.557603488756357</v>
      </c>
      <c r="BF102" s="136">
        <f t="shared" si="56"/>
        <v>90.091410867999528</v>
      </c>
      <c r="BG102" s="136"/>
      <c r="BH102" s="136" t="str">
        <f t="shared" si="31"/>
        <v>-8.09508189789977-3996.56962775647j</v>
      </c>
      <c r="BI102" s="136">
        <f t="shared" si="57"/>
        <v>72.033765489642747</v>
      </c>
      <c r="BJ102" s="136">
        <f t="shared" si="58"/>
        <v>89.883947125542591</v>
      </c>
      <c r="BK102" s="136"/>
      <c r="BL102" s="136">
        <f t="shared" si="59"/>
        <v>-71.033765489642747</v>
      </c>
      <c r="BM102" s="136">
        <f t="shared" si="60"/>
        <v>-89.883947125542591</v>
      </c>
      <c r="BN102" s="136"/>
      <c r="BO102" s="189"/>
      <c r="BP102" s="189" t="str">
        <f t="shared" si="32"/>
        <v>0.00001+8.67321012961475E-09j</v>
      </c>
      <c r="BQ102" s="189" t="str">
        <f t="shared" si="33"/>
        <v>6.01795432712607E-12+4.33659671361019E-09j</v>
      </c>
      <c r="BR102" s="189" t="str">
        <f t="shared" si="34"/>
        <v>-0.00035728160175805-0.000108453668812486j</v>
      </c>
      <c r="BS102" s="189" t="str">
        <f t="shared" si="35"/>
        <v>0.0000625000060179543+1.30098068432249E-08j</v>
      </c>
      <c r="BT102" s="189" t="str">
        <f t="shared" si="61"/>
        <v>-2.23286912986998E-08-6.78300311807711E-09j</v>
      </c>
      <c r="BU102" s="189" t="str">
        <f t="shared" si="62"/>
        <v>-6.01795432712607E-12-4.33659671361019E-09j</v>
      </c>
      <c r="BV102" s="189" t="str">
        <f t="shared" si="63"/>
        <v>-2.23347092530269E-08-1.11195998316873E-08j</v>
      </c>
      <c r="BW102" s="189" t="str">
        <f t="shared" si="36"/>
        <v>0.999999999809454-0.0000138038433182567j</v>
      </c>
      <c r="BX102" s="189" t="str">
        <f t="shared" si="64"/>
        <v>-0.00001-8.67321012961475E-09j</v>
      </c>
      <c r="BY102" s="189" t="str">
        <f t="shared" si="65"/>
        <v>358.951777087574-178.326250110119j</v>
      </c>
      <c r="BZ102" s="136">
        <f t="shared" si="66"/>
        <v>52.058716188064658</v>
      </c>
      <c r="CA102" s="136">
        <f t="shared" si="67"/>
        <v>153.58194077830666</v>
      </c>
      <c r="CB102" s="189" t="str">
        <f t="shared" si="37"/>
        <v>3325.55360099013-1654.03430009801j</v>
      </c>
      <c r="CC102" s="136" t="str">
        <f t="shared" si="38"/>
        <v>1244.18899796636-624.453413851458j</v>
      </c>
      <c r="CD102" s="136">
        <f t="shared" si="68"/>
        <v>62.873421933308229</v>
      </c>
      <c r="CE102" s="136">
        <f t="shared" si="69"/>
        <v>153.34811099272599</v>
      </c>
      <c r="CF102" s="136"/>
      <c r="CG102" s="136">
        <f t="shared" si="70"/>
        <v>-61.873421933308229</v>
      </c>
      <c r="CH102" s="136">
        <f t="shared" si="71"/>
        <v>-153.34811099272599</v>
      </c>
      <c r="CI102" s="77"/>
      <c r="CJ102" s="189"/>
      <c r="CK102" s="189"/>
      <c r="CL102" s="189"/>
      <c r="CM102" s="77"/>
      <c r="CN102" s="189">
        <v>602.55958607435696</v>
      </c>
      <c r="CO102" s="189">
        <v>40.394063692606103</v>
      </c>
      <c r="CP102" s="189">
        <v>87.894632310352804</v>
      </c>
      <c r="CQ102" s="74"/>
      <c r="CR102" s="75"/>
      <c r="CS102" s="75"/>
      <c r="CT102" s="75"/>
      <c r="CU102" s="74"/>
      <c r="CV102" s="75"/>
      <c r="CW102" s="75"/>
      <c r="CX102" s="75"/>
      <c r="CY102" s="74"/>
      <c r="CZ102" s="75"/>
      <c r="DA102" s="75"/>
      <c r="DB102" s="75"/>
      <c r="DC102" s="74"/>
      <c r="DD102" s="75"/>
      <c r="DE102" s="75"/>
      <c r="DF102" s="75"/>
      <c r="DG102" s="74"/>
      <c r="DH102" s="75"/>
      <c r="DI102" s="75"/>
      <c r="DJ102" s="75"/>
      <c r="DK102" s="74"/>
      <c r="DL102" s="75"/>
      <c r="DM102" s="75"/>
      <c r="DN102" s="75"/>
      <c r="DO102" s="76"/>
    </row>
    <row r="103" spans="1:119" x14ac:dyDescent="0.25">
      <c r="A103" s="136">
        <v>54</v>
      </c>
      <c r="B103" s="136">
        <f t="shared" si="0"/>
        <v>41.686938347033546</v>
      </c>
      <c r="C103" s="136" t="str">
        <f t="shared" si="7"/>
        <v>261.926758523382j</v>
      </c>
      <c r="D103" s="136">
        <f t="shared" si="1"/>
        <v>0.99999995655497931</v>
      </c>
      <c r="E103" s="136" t="str">
        <f t="shared" si="2"/>
        <v>-0.000327408448154227j</v>
      </c>
      <c r="F103" s="136" t="str">
        <f t="shared" si="8"/>
        <v>0.999999956554979-0.000327408448154227j</v>
      </c>
      <c r="G103" s="136">
        <f t="shared" si="9"/>
        <v>8.8188930562730369E-8</v>
      </c>
      <c r="H103" s="136">
        <f t="shared" si="10"/>
        <v>-1.8759122400852708E-2</v>
      </c>
      <c r="I103" s="136"/>
      <c r="J103" s="136">
        <f t="shared" si="3"/>
        <v>7.0726915520628681</v>
      </c>
      <c r="K103" s="136" t="str">
        <f t="shared" si="4"/>
        <v>1+0.0192252494577772j</v>
      </c>
      <c r="L103" s="136">
        <f t="shared" si="5"/>
        <v>0.99997981799835867</v>
      </c>
      <c r="M103" s="136" t="str">
        <f t="shared" si="6"/>
        <v>0.00140698821224662j</v>
      </c>
      <c r="N103" s="136" t="str">
        <f t="shared" si="11"/>
        <v>0.999979817998359+0.00140698821224662j</v>
      </c>
      <c r="O103" s="136" t="str">
        <f t="shared" si="12"/>
        <v>1.00000569692107+0.00632217088190984j</v>
      </c>
      <c r="P103" s="136" t="str">
        <f t="shared" si="13"/>
        <v>7.07273184462839+0.0447147645871816j</v>
      </c>
      <c r="Q103" s="136"/>
      <c r="R103" s="136">
        <f t="shared" si="14"/>
        <v>11.787819253438114</v>
      </c>
      <c r="S103" s="136" t="str">
        <f t="shared" si="15"/>
        <v>1+6.13371798089461E-06j</v>
      </c>
      <c r="T103" s="136" t="str">
        <f t="shared" si="16"/>
        <v>0.999997459236527+0.000499218256198913j</v>
      </c>
      <c r="U103" s="136" t="str">
        <f t="shared" si="39"/>
        <v>1.0000022946113-0.000493086936547149j</v>
      </c>
      <c r="V103" s="136" t="str">
        <f t="shared" si="40"/>
        <v>11.7878463019014-0.0058124196842493j</v>
      </c>
      <c r="W103" s="136"/>
      <c r="X103" s="136" t="str">
        <f t="shared" si="17"/>
        <v>1.66802121165735+0.0103516752631671j</v>
      </c>
      <c r="Y103" s="136">
        <f t="shared" si="41"/>
        <v>4.4441986430043743</v>
      </c>
      <c r="Z103" s="136">
        <f t="shared" si="42"/>
        <v>-179.64442916840784</v>
      </c>
      <c r="AA103" s="136"/>
      <c r="AB103" s="136" t="str">
        <f t="shared" si="18"/>
        <v>9.2667462257722-0.0045693010234561j</v>
      </c>
      <c r="AC103" s="136">
        <f t="shared" si="43"/>
        <v>19.338546452399534</v>
      </c>
      <c r="AD103" s="136">
        <f t="shared" si="44"/>
        <v>179.9717482667192</v>
      </c>
      <c r="AE103" s="136"/>
      <c r="AF103" s="136" t="str">
        <f t="shared" si="45"/>
        <v>3.47320664488707-0.0151883381421952j</v>
      </c>
      <c r="AG103" s="136">
        <f t="shared" si="46"/>
        <v>10.814695514702935</v>
      </c>
      <c r="AH103" s="136">
        <f t="shared" si="47"/>
        <v>179.74944706283244</v>
      </c>
      <c r="AI103" s="136"/>
      <c r="AJ103" s="136" t="str">
        <f t="shared" si="19"/>
        <v>99999.9136307076-92.9350406552392j</v>
      </c>
      <c r="AK103" s="136" t="str">
        <f t="shared" si="20"/>
        <v>19047.6190475182-0.0438333450154374j</v>
      </c>
      <c r="AL103" s="136" t="str">
        <f t="shared" si="21"/>
        <v>10000-239115438.830912j</v>
      </c>
      <c r="AM103" s="136" t="str">
        <f t="shared" si="22"/>
        <v>963.139119293928-74208239.6649582j</v>
      </c>
      <c r="AN103" s="136" t="str">
        <f t="shared" si="48"/>
        <v>10963.1391192939-74208239.6649582j</v>
      </c>
      <c r="AO103" s="136" t="str">
        <f t="shared" si="49"/>
        <v>19047.6170478004-4.93293639864074j</v>
      </c>
      <c r="AP103" s="136" t="str">
        <f t="shared" si="50"/>
        <v>0.160000018767728+0.000124595511610636j</v>
      </c>
      <c r="AQ103" s="136" t="str">
        <f t="shared" si="23"/>
        <v>1+0.00148696193476233j</v>
      </c>
      <c r="AR103" s="136" t="str">
        <f t="shared" si="24"/>
        <v>1+2.96798789373718E-06j</v>
      </c>
      <c r="AS103" s="136" t="str">
        <f t="shared" si="25"/>
        <v>4.65604955822454E-09j</v>
      </c>
      <c r="AT103" s="136" t="str">
        <f t="shared" si="51"/>
        <v>-1.38190987214508E-14+4.65604955822454E-09j</v>
      </c>
      <c r="AU103" s="179" t="str">
        <f t="shared" si="52"/>
        <v>318723.829782731-214774347.201278j</v>
      </c>
      <c r="AV103" s="136" t="str">
        <f t="shared" si="26"/>
        <v>7999.99995462166-0.602516972548043j</v>
      </c>
      <c r="AW103" s="136"/>
      <c r="AX103" s="136" t="str">
        <f t="shared" si="27"/>
        <v>0.499999997163854-0.0000376573107842527j</v>
      </c>
      <c r="AY103" s="136"/>
      <c r="AZ103" s="136" t="str">
        <f t="shared" si="28"/>
        <v>4.89239972472115-2147.74117323369j</v>
      </c>
      <c r="BA103" s="136" t="str">
        <f t="shared" si="29"/>
        <v>2.36532169164042-1073.87076476015j</v>
      </c>
      <c r="BB103" s="136">
        <f t="shared" si="53"/>
        <v>60.619061454414336</v>
      </c>
      <c r="BC103" s="136">
        <f t="shared" si="54"/>
        <v>90.126200223906139</v>
      </c>
      <c r="BD103" s="136" t="str">
        <f t="shared" si="30"/>
        <v>17.0119970742678-9951.29866417505j</v>
      </c>
      <c r="BE103" s="136">
        <f t="shared" si="55"/>
        <v>79.957607906813863</v>
      </c>
      <c r="BF103" s="136">
        <f t="shared" si="56"/>
        <v>90.09794849062537</v>
      </c>
      <c r="BG103" s="136"/>
      <c r="BH103" s="136" t="str">
        <f t="shared" si="31"/>
        <v>-8.0950612794939-3729.81100122058j</v>
      </c>
      <c r="BI103" s="136">
        <f t="shared" si="57"/>
        <v>71.433756969117269</v>
      </c>
      <c r="BJ103" s="136">
        <f t="shared" si="58"/>
        <v>89.875647286738598</v>
      </c>
      <c r="BK103" s="136"/>
      <c r="BL103" s="136">
        <f t="shared" si="59"/>
        <v>-70.433756969117269</v>
      </c>
      <c r="BM103" s="136">
        <f t="shared" si="60"/>
        <v>-89.875647286738598</v>
      </c>
      <c r="BN103" s="136"/>
      <c r="BO103" s="189"/>
      <c r="BP103" s="189" t="str">
        <f t="shared" si="32"/>
        <v>0.00001+9.29351209226456E-09j</v>
      </c>
      <c r="BQ103" s="189" t="str">
        <f t="shared" si="33"/>
        <v>6.90953408336003E-12+4.64674577191811E-09j</v>
      </c>
      <c r="BR103" s="189" t="str">
        <f t="shared" si="34"/>
        <v>-0.000357302157236628-0.000116210171679117j</v>
      </c>
      <c r="BS103" s="189" t="str">
        <f t="shared" si="35"/>
        <v>0.0000625000069095341+1.39402578641827E-08j</v>
      </c>
      <c r="BT103" s="189" t="str">
        <f t="shared" si="61"/>
        <v>-2.2329767296321E-08-7.26811741711026E-09j</v>
      </c>
      <c r="BU103" s="189" t="str">
        <f t="shared" si="62"/>
        <v>-6.90953408336003E-12-4.64674577191811E-09j</v>
      </c>
      <c r="BV103" s="189" t="str">
        <f t="shared" si="63"/>
        <v>-2.23366768304044E-08-1.19148631890284E-08j</v>
      </c>
      <c r="BW103" s="189" t="str">
        <f t="shared" si="36"/>
        <v>0.999999999781224-0.0000147910846015697j</v>
      </c>
      <c r="BX103" s="189" t="str">
        <f t="shared" si="64"/>
        <v>-0.00001-9.29351209226456E-09j</v>
      </c>
      <c r="BY103" s="189" t="str">
        <f t="shared" si="65"/>
        <v>348.695341665857-185.592141607796j</v>
      </c>
      <c r="BZ103" s="136">
        <f t="shared" si="66"/>
        <v>51.932161366641019</v>
      </c>
      <c r="CA103" s="136">
        <f t="shared" si="67"/>
        <v>151.97598167894932</v>
      </c>
      <c r="CB103" s="189" t="str">
        <f t="shared" si="37"/>
        <v>3230.42321496383-1721.42857175857j</v>
      </c>
      <c r="CC103" s="136" t="str">
        <f t="shared" si="38"/>
        <v>1208.27214151175-649.895962228848j</v>
      </c>
      <c r="CD103" s="136">
        <f t="shared" si="68"/>
        <v>62.746856881343966</v>
      </c>
      <c r="CE103" s="136">
        <f t="shared" si="69"/>
        <v>151.72542874178183</v>
      </c>
      <c r="CF103" s="136"/>
      <c r="CG103" s="136">
        <f t="shared" si="70"/>
        <v>-61.746856881343966</v>
      </c>
      <c r="CH103" s="136">
        <f t="shared" si="71"/>
        <v>-151.72542874178183</v>
      </c>
      <c r="CI103" s="77"/>
      <c r="CJ103" s="189"/>
      <c r="CK103" s="189"/>
      <c r="CL103" s="189"/>
      <c r="CM103" s="77"/>
      <c r="CN103" s="189">
        <v>630.957344480193</v>
      </c>
      <c r="CO103" s="189">
        <v>39.987385350233303</v>
      </c>
      <c r="CP103" s="189">
        <v>87.599945570849002</v>
      </c>
      <c r="CQ103" s="74"/>
      <c r="CR103" s="75"/>
      <c r="CS103" s="75"/>
      <c r="CT103" s="75"/>
      <c r="CU103" s="74"/>
      <c r="CV103" s="75"/>
      <c r="CW103" s="75"/>
      <c r="CX103" s="75"/>
      <c r="CY103" s="74"/>
      <c r="CZ103" s="75"/>
      <c r="DA103" s="75"/>
      <c r="DB103" s="75"/>
      <c r="DC103" s="74"/>
      <c r="DD103" s="75"/>
      <c r="DE103" s="75"/>
      <c r="DF103" s="75"/>
      <c r="DG103" s="74"/>
      <c r="DH103" s="75"/>
      <c r="DI103" s="75"/>
      <c r="DJ103" s="75"/>
      <c r="DK103" s="74"/>
      <c r="DL103" s="75"/>
      <c r="DM103" s="75"/>
      <c r="DN103" s="75"/>
      <c r="DO103" s="76"/>
    </row>
    <row r="104" spans="1:119" x14ac:dyDescent="0.25">
      <c r="A104" s="136">
        <v>55</v>
      </c>
      <c r="B104" s="136">
        <f t="shared" si="0"/>
        <v>44.668359215096324</v>
      </c>
      <c r="C104" s="136" t="str">
        <f t="shared" si="7"/>
        <v>280.659578316113j</v>
      </c>
      <c r="D104" s="136">
        <f t="shared" si="1"/>
        <v>0.99999995011844212</v>
      </c>
      <c r="E104" s="136" t="str">
        <f t="shared" si="2"/>
        <v>-0.000350824472895141j</v>
      </c>
      <c r="F104" s="136" t="str">
        <f t="shared" si="8"/>
        <v>0.999999950118442-0.000350824472895141j</v>
      </c>
      <c r="G104" s="136">
        <f t="shared" si="9"/>
        <v>1.0125444125756398E-7</v>
      </c>
      <c r="H104" s="136">
        <f t="shared" si="10"/>
        <v>-2.0100761824798037E-2</v>
      </c>
      <c r="I104" s="136"/>
      <c r="J104" s="136">
        <f t="shared" si="3"/>
        <v>7.0726915520628681</v>
      </c>
      <c r="K104" s="136" t="str">
        <f t="shared" si="4"/>
        <v>1+0.0206002259420172j</v>
      </c>
      <c r="L104" s="136">
        <f t="shared" si="5"/>
        <v>0.99997682796172638</v>
      </c>
      <c r="M104" s="136" t="str">
        <f t="shared" si="6"/>
        <v>0.001507615031664j</v>
      </c>
      <c r="N104" s="136" t="str">
        <f t="shared" si="11"/>
        <v>0.999976827961726+0.001507615031664j</v>
      </c>
      <c r="O104" s="136" t="str">
        <f t="shared" si="12"/>
        <v>1.00000654094414+0.00677433024951209j</v>
      </c>
      <c r="P104" s="136" t="str">
        <f t="shared" si="13"/>
        <v>7.07273781414323+0.0479127483266081j</v>
      </c>
      <c r="Q104" s="136"/>
      <c r="R104" s="136">
        <f t="shared" si="14"/>
        <v>11.787819253438114</v>
      </c>
      <c r="S104" s="136" t="str">
        <f t="shared" si="15"/>
        <v>1+6.57239722941161E-06j</v>
      </c>
      <c r="T104" s="136" t="str">
        <f t="shared" si="16"/>
        <v>0.999997082813217+0.000534921999044188j</v>
      </c>
      <c r="U104" s="136" t="str">
        <f t="shared" si="39"/>
        <v>1.00000263456706-0.00052835255240574j</v>
      </c>
      <c r="V104" s="136" t="str">
        <f t="shared" si="40"/>
        <v>11.7878503092384-0.00622812438985155j</v>
      </c>
      <c r="W104" s="136"/>
      <c r="X104" s="136" t="str">
        <f t="shared" si="17"/>
        <v>1.66802279964154+0.0110920232020117j</v>
      </c>
      <c r="Y104" s="136">
        <f t="shared" si="41"/>
        <v>4.4442316916031182</v>
      </c>
      <c r="Z104" s="136">
        <f t="shared" si="42"/>
        <v>-179.61899996301506</v>
      </c>
      <c r="AA104" s="136"/>
      <c r="AB104" s="136" t="str">
        <f t="shared" si="18"/>
        <v>9.26674937604868-0.00489609778624168j</v>
      </c>
      <c r="AC104" s="136">
        <f t="shared" si="43"/>
        <v>19.338549561649064</v>
      </c>
      <c r="AD104" s="136">
        <f t="shared" si="44"/>
        <v>179.96972771122344</v>
      </c>
      <c r="AE104" s="136"/>
      <c r="AF104" s="136" t="str">
        <f t="shared" si="45"/>
        <v>3.47319702798964-0.0162745535052004j</v>
      </c>
      <c r="AG104" s="136">
        <f t="shared" si="46"/>
        <v>10.814683768500359</v>
      </c>
      <c r="AH104" s="136">
        <f t="shared" si="47"/>
        <v>179.73152792732463</v>
      </c>
      <c r="AI104" s="136"/>
      <c r="AJ104" s="136" t="str">
        <f t="shared" si="19"/>
        <v>99999.9008347968-99.5816774527355j</v>
      </c>
      <c r="AK104" s="136" t="str">
        <f t="shared" si="20"/>
        <v>19047.6190475032-0.0469682753971451j</v>
      </c>
      <c r="AL104" s="136" t="str">
        <f t="shared" si="21"/>
        <v>10000-223155511.675908j</v>
      </c>
      <c r="AM104" s="136" t="str">
        <f t="shared" si="22"/>
        <v>963.139119175228-69255158.825737j</v>
      </c>
      <c r="AN104" s="136" t="str">
        <f t="shared" si="48"/>
        <v>10963.1391191752-69255158.825737j</v>
      </c>
      <c r="AO104" s="136" t="str">
        <f t="shared" si="49"/>
        <v>19047.6167515202-5.28573645350899j</v>
      </c>
      <c r="AP104" s="136" t="str">
        <f t="shared" si="50"/>
        <v>0.160000021548234+0.000133506495587974j</v>
      </c>
      <c r="AQ104" s="136" t="str">
        <f t="shared" si="23"/>
        <v>1+0.0015933084192513j</v>
      </c>
      <c r="AR104" s="136" t="str">
        <f t="shared" si="24"/>
        <v>1+0.0000031802563258509j</v>
      </c>
      <c r="AS104" s="136" t="str">
        <f t="shared" si="25"/>
        <v>4.98904698778063E-09j</v>
      </c>
      <c r="AT104" s="136" t="str">
        <f t="shared" si="51"/>
        <v>-1.58664482428567E-14+4.98904698778063E-09j</v>
      </c>
      <c r="AU104" s="179" t="str">
        <f t="shared" si="52"/>
        <v>318723.829782315-200439083.357253j</v>
      </c>
      <c r="AV104" s="136" t="str">
        <f t="shared" si="26"/>
        <v>7999.9999478987-0.645608567275996j</v>
      </c>
      <c r="AW104" s="136"/>
      <c r="AX104" s="136" t="str">
        <f t="shared" si="27"/>
        <v>0.499999996743669-0.0000403505354547498j</v>
      </c>
      <c r="AY104" s="136"/>
      <c r="AZ104" s="136" t="str">
        <f t="shared" si="28"/>
        <v>4.89239977220543-2004.38837038636j</v>
      </c>
      <c r="BA104" s="136" t="str">
        <f t="shared" si="29"/>
        <v>2.36532172616708-1002.19437607718j</v>
      </c>
      <c r="BB104" s="136">
        <f t="shared" si="53"/>
        <v>60.019063417773879</v>
      </c>
      <c r="BC104" s="136">
        <f t="shared" si="54"/>
        <v>90.135225963847432</v>
      </c>
      <c r="BD104" s="136" t="str">
        <f t="shared" si="30"/>
        <v>17.0120019640178-9287.09569003917j</v>
      </c>
      <c r="BE104" s="136">
        <f t="shared" si="55"/>
        <v>79.357612979422953</v>
      </c>
      <c r="BF104" s="136">
        <f t="shared" si="56"/>
        <v>90.104953675070888</v>
      </c>
      <c r="BG104" s="136"/>
      <c r="BH104" s="136" t="str">
        <f t="shared" si="31"/>
        <v>-8.0950376065162-3480.85702301418j</v>
      </c>
      <c r="BI104" s="136">
        <f t="shared" si="57"/>
        <v>70.833747186274238</v>
      </c>
      <c r="BJ104" s="136">
        <f t="shared" si="58"/>
        <v>89.866753891172067</v>
      </c>
      <c r="BK104" s="136"/>
      <c r="BL104" s="136">
        <f t="shared" si="59"/>
        <v>-69.833747186274238</v>
      </c>
      <c r="BM104" s="136">
        <f t="shared" si="60"/>
        <v>-89.866753891172067</v>
      </c>
      <c r="BN104" s="136"/>
      <c r="BO104" s="189"/>
      <c r="BP104" s="189" t="str">
        <f t="shared" si="32"/>
        <v>0.00001+9.95817762032062E-09j</v>
      </c>
      <c r="BQ104" s="189" t="str">
        <f t="shared" si="33"/>
        <v>7.9332039819451E-12+4.97907617011961E-09j</v>
      </c>
      <c r="BR104" s="189" t="str">
        <f t="shared" si="34"/>
        <v>-0.000357325758071508-0.000124521407753508j</v>
      </c>
      <c r="BS104" s="189" t="str">
        <f t="shared" si="35"/>
        <v>0.000062500007933204+1.49372537904402E-08j</v>
      </c>
      <c r="BT104" s="189" t="str">
        <f t="shared" si="61"/>
        <v>-2.23310027063374E-08-7.78792643798215E-09j</v>
      </c>
      <c r="BU104" s="189" t="str">
        <f t="shared" si="62"/>
        <v>-7.9332039819451E-12-4.97907617011961E-09j</v>
      </c>
      <c r="BV104" s="189" t="str">
        <f t="shared" si="63"/>
        <v>-2.23389359103193E-08-1.27670026081018E-08j</v>
      </c>
      <c r="BW104" s="189" t="str">
        <f t="shared" si="36"/>
        <v>0.999999999748811-0.0000158489326954709j</v>
      </c>
      <c r="BX104" s="189" t="str">
        <f t="shared" si="64"/>
        <v>-0.00001-9.95817762032062E-09j</v>
      </c>
      <c r="BY104" s="189" t="str">
        <f t="shared" si="65"/>
        <v>337.622708108479-192.517240926317j</v>
      </c>
      <c r="BZ104" s="136">
        <f t="shared" si="66"/>
        <v>51.791264255270377</v>
      </c>
      <c r="CA104" s="136">
        <f t="shared" si="67"/>
        <v>150.30760026883405</v>
      </c>
      <c r="CB104" s="189" t="str">
        <f t="shared" si="37"/>
        <v>3127.722436467-1785.66205602632j</v>
      </c>
      <c r="CC104" s="136" t="str">
        <f t="shared" si="38"/>
        <v>1169.49705424605-674.144967849733j</v>
      </c>
      <c r="CD104" s="136">
        <f t="shared" si="68"/>
        <v>62.605948023770715</v>
      </c>
      <c r="CE104" s="136">
        <f t="shared" si="69"/>
        <v>150.03912819615857</v>
      </c>
      <c r="CF104" s="136"/>
      <c r="CG104" s="136">
        <f t="shared" si="70"/>
        <v>-61.605948023770715</v>
      </c>
      <c r="CH104" s="136">
        <f t="shared" si="71"/>
        <v>-150.03912819615857</v>
      </c>
      <c r="CI104" s="77"/>
      <c r="CJ104" s="189"/>
      <c r="CK104" s="189"/>
      <c r="CL104" s="189"/>
      <c r="CM104" s="77"/>
      <c r="CN104" s="189">
        <v>660.69344800759495</v>
      </c>
      <c r="CO104" s="189">
        <v>39.579980693639797</v>
      </c>
      <c r="CP104" s="189">
        <v>87.301208842791297</v>
      </c>
      <c r="CQ104" s="74"/>
      <c r="CR104" s="75"/>
      <c r="CS104" s="75"/>
      <c r="CT104" s="75"/>
      <c r="CU104" s="74"/>
      <c r="CV104" s="75"/>
      <c r="CW104" s="75"/>
      <c r="CX104" s="75"/>
      <c r="CY104" s="74"/>
      <c r="CZ104" s="75"/>
      <c r="DA104" s="75"/>
      <c r="DB104" s="75"/>
      <c r="DC104" s="74"/>
      <c r="DD104" s="75"/>
      <c r="DE104" s="75"/>
      <c r="DF104" s="75"/>
      <c r="DG104" s="74"/>
      <c r="DH104" s="75"/>
      <c r="DI104" s="75"/>
      <c r="DJ104" s="75"/>
      <c r="DK104" s="74"/>
      <c r="DL104" s="75"/>
      <c r="DM104" s="75"/>
      <c r="DN104" s="75"/>
      <c r="DO104" s="76"/>
    </row>
    <row r="105" spans="1:119" x14ac:dyDescent="0.25">
      <c r="A105" s="136">
        <v>56</v>
      </c>
      <c r="B105" s="136">
        <f t="shared" si="0"/>
        <v>47.863009232263856</v>
      </c>
      <c r="C105" s="136" t="str">
        <f t="shared" si="7"/>
        <v>300.732156365561j</v>
      </c>
      <c r="D105" s="136">
        <f t="shared" si="1"/>
        <v>0.99999994272830872</v>
      </c>
      <c r="E105" s="136" t="str">
        <f t="shared" si="2"/>
        <v>-0.000375915195456951j</v>
      </c>
      <c r="F105" s="136" t="str">
        <f t="shared" si="8"/>
        <v>0.999999942728309-0.000375915195456951j</v>
      </c>
      <c r="G105" s="136">
        <f t="shared" si="9"/>
        <v>1.1625566185990337E-7</v>
      </c>
      <c r="H105" s="136">
        <f t="shared" si="10"/>
        <v>-2.1538354373512345E-2</v>
      </c>
      <c r="I105" s="136"/>
      <c r="J105" s="136">
        <f t="shared" si="3"/>
        <v>7.0726915520628681</v>
      </c>
      <c r="K105" s="136" t="str">
        <f t="shared" si="4"/>
        <v>1+0.0220735397891279j</v>
      </c>
      <c r="L105" s="136">
        <f t="shared" si="5"/>
        <v>0.99997339494033877</v>
      </c>
      <c r="M105" s="136" t="str">
        <f t="shared" si="6"/>
        <v>0.00161543861129438j</v>
      </c>
      <c r="N105" s="136" t="str">
        <f t="shared" si="11"/>
        <v>0.999973394940339+0.00161543861129438j</v>
      </c>
      <c r="O105" s="136" t="str">
        <f t="shared" si="12"/>
        <v>1.00000751001343+0.00725882822417034j</v>
      </c>
      <c r="P105" s="136" t="str">
        <f t="shared" si="13"/>
        <v>7.07274466807141+0.0513394530589651j</v>
      </c>
      <c r="Q105" s="136"/>
      <c r="R105" s="136">
        <f t="shared" si="14"/>
        <v>11.787819253438114</v>
      </c>
      <c r="S105" s="136" t="str">
        <f t="shared" si="15"/>
        <v>1+7.04245051300468E-06j</v>
      </c>
      <c r="T105" s="136" t="str">
        <f t="shared" si="16"/>
        <v>0.999996650621431+0.000573179248772139j</v>
      </c>
      <c r="U105" s="136" t="str">
        <f t="shared" si="39"/>
        <v>1.00000302488876-0.000566140428281216j</v>
      </c>
      <c r="V105" s="136" t="str">
        <f t="shared" si="40"/>
        <v>11.7878549102801-0.00667356104064302j</v>
      </c>
      <c r="W105" s="136"/>
      <c r="X105" s="136" t="str">
        <f t="shared" si="17"/>
        <v>1.66802462289338+0.0118853210746447j</v>
      </c>
      <c r="Y105" s="136">
        <f t="shared" si="41"/>
        <v>4.444269636218193</v>
      </c>
      <c r="Z105" s="136">
        <f t="shared" si="42"/>
        <v>-179.59175230266339</v>
      </c>
      <c r="AA105" s="136"/>
      <c r="AB105" s="136" t="str">
        <f t="shared" si="18"/>
        <v>9.26675299305256-0.005246267638887j</v>
      </c>
      <c r="AC105" s="136">
        <f t="shared" si="43"/>
        <v>19.338553131546593</v>
      </c>
      <c r="AD105" s="136">
        <f t="shared" si="44"/>
        <v>179.96756264443269</v>
      </c>
      <c r="AE105" s="136"/>
      <c r="AF105" s="136" t="str">
        <f t="shared" si="45"/>
        <v>3.47318598637825-0.0174384440982007j</v>
      </c>
      <c r="AG105" s="136">
        <f t="shared" si="46"/>
        <v>10.814670282094689</v>
      </c>
      <c r="AH105" s="136">
        <f t="shared" si="47"/>
        <v>179.71232728214864</v>
      </c>
      <c r="AI105" s="136"/>
      <c r="AJ105" s="136" t="str">
        <f t="shared" si="19"/>
        <v>99999.8861431296-106.703674161984j</v>
      </c>
      <c r="AK105" s="136" t="str">
        <f t="shared" si="20"/>
        <v>19047.6190474861-0.0503274138217119j</v>
      </c>
      <c r="AL105" s="136" t="str">
        <f t="shared" si="21"/>
        <v>10000-208260841.018095j</v>
      </c>
      <c r="AM105" s="136" t="str">
        <f t="shared" si="22"/>
        <v>963.139119038942-64632674.8306135j</v>
      </c>
      <c r="AN105" s="136" t="str">
        <f t="shared" si="48"/>
        <v>10963.1391190389-64632674.8306135j</v>
      </c>
      <c r="AO105" s="136" t="str">
        <f t="shared" si="49"/>
        <v>19047.616411345-5.66376849345147j</v>
      </c>
      <c r="AP105" s="136" t="str">
        <f t="shared" si="50"/>
        <v>0.160000024740683+0.000143054786845013j</v>
      </c>
      <c r="AQ105" s="136" t="str">
        <f t="shared" si="23"/>
        <v>1+0.00170726073042538j</v>
      </c>
      <c r="AR105" s="136" t="str">
        <f t="shared" si="24"/>
        <v>1+3.40770604875325E-06j</v>
      </c>
      <c r="AS105" s="136" t="str">
        <f t="shared" si="25"/>
        <v>5.34586016214446E-09j</v>
      </c>
      <c r="AT105" s="136" t="str">
        <f t="shared" si="51"/>
        <v>-1.82171200103287E-14+5.34586016214446E-09j</v>
      </c>
      <c r="AU105" s="179" t="str">
        <f t="shared" si="52"/>
        <v>318723.829781838-187060636.731112j</v>
      </c>
      <c r="AV105" s="136" t="str">
        <f t="shared" si="26"/>
        <v>7999.9999401797-0.691782042795539j</v>
      </c>
      <c r="AW105" s="136"/>
      <c r="AX105" s="136" t="str">
        <f t="shared" si="27"/>
        <v>0.499999996261231-0.0000432363776747212j</v>
      </c>
      <c r="AY105" s="136"/>
      <c r="AZ105" s="136" t="str">
        <f t="shared" si="28"/>
        <v>4.89239982672469-1870.6037279596j</v>
      </c>
      <c r="BA105" s="136" t="str">
        <f t="shared" si="29"/>
        <v>2.36532176580899-935.302068515691j</v>
      </c>
      <c r="BB105" s="136">
        <f t="shared" si="53"/>
        <v>59.419065672011577</v>
      </c>
      <c r="BC105" s="136">
        <f t="shared" si="54"/>
        <v>90.144897215584763</v>
      </c>
      <c r="BD105" s="136" t="str">
        <f t="shared" si="30"/>
        <v>17.0120075782049-8667.22565193707j</v>
      </c>
      <c r="BE105" s="136">
        <f t="shared" si="55"/>
        <v>78.757618803558188</v>
      </c>
      <c r="BF105" s="136">
        <f t="shared" si="56"/>
        <v>90.112459860017466</v>
      </c>
      <c r="BG105" s="136"/>
      <c r="BH105" s="136" t="str">
        <f t="shared" si="31"/>
        <v>-8.09501042645907-3248.51928493068j</v>
      </c>
      <c r="BI105" s="136">
        <f t="shared" si="57"/>
        <v>70.23373595410628</v>
      </c>
      <c r="BJ105" s="136">
        <f t="shared" si="58"/>
        <v>89.857224497733412</v>
      </c>
      <c r="BK105" s="136"/>
      <c r="BL105" s="136">
        <f t="shared" si="59"/>
        <v>-69.23373595410628</v>
      </c>
      <c r="BM105" s="136">
        <f t="shared" si="60"/>
        <v>-89.857224497733412</v>
      </c>
      <c r="BN105" s="136"/>
      <c r="BO105" s="189"/>
      <c r="BP105" s="189" t="str">
        <f t="shared" si="32"/>
        <v>0.00001+1.06703795651586E-08j</v>
      </c>
      <c r="BQ105" s="189" t="str">
        <f t="shared" si="33"/>
        <v>9.10853345616482E-12+5.33517423193782E-09j</v>
      </c>
      <c r="BR105" s="189" t="str">
        <f t="shared" si="34"/>
        <v>-0.000357352855439342-0.000133427049675216j</v>
      </c>
      <c r="BS105" s="189" t="str">
        <f t="shared" si="35"/>
        <v>0.0000625000091085335+1.60055537970964E-08j</v>
      </c>
      <c r="BT105" s="189" t="str">
        <f t="shared" si="61"/>
        <v>-2.23324211460978E-08-8.34491145037803E-09j</v>
      </c>
      <c r="BU105" s="189" t="str">
        <f t="shared" si="62"/>
        <v>-9.10853345616482E-12-5.33517423193782E-09j</v>
      </c>
      <c r="BV105" s="189" t="str">
        <f t="shared" si="63"/>
        <v>-2.2341529679554E-08-1.36800856823159E-08j</v>
      </c>
      <c r="BW105" s="189" t="str">
        <f t="shared" si="36"/>
        <v>0.999999999711597-0.0000169824373499765j</v>
      </c>
      <c r="BX105" s="189" t="str">
        <f t="shared" si="64"/>
        <v>-0.00001-1.06703795651586E-08j</v>
      </c>
      <c r="BY105" s="189" t="str">
        <f t="shared" si="65"/>
        <v>325.750593959874-198.992438969673j</v>
      </c>
      <c r="BZ105" s="136">
        <f t="shared" si="66"/>
        <v>51.634936508414768</v>
      </c>
      <c r="CA105" s="136">
        <f t="shared" si="67"/>
        <v>148.58034343941986</v>
      </c>
      <c r="CB105" s="189" t="str">
        <f t="shared" si="37"/>
        <v>3017.60632397336-1845.72275421649j</v>
      </c>
      <c r="CC105" s="136" t="str">
        <f t="shared" si="38"/>
        <v>1127.92227947289-696.818333947425j</v>
      </c>
      <c r="CD105" s="136">
        <f t="shared" si="68"/>
        <v>62.449606790509478</v>
      </c>
      <c r="CE105" s="136">
        <f t="shared" si="69"/>
        <v>148.29267072156841</v>
      </c>
      <c r="CF105" s="136"/>
      <c r="CG105" s="136">
        <f t="shared" si="70"/>
        <v>-61.449606790509478</v>
      </c>
      <c r="CH105" s="136">
        <f t="shared" si="71"/>
        <v>-148.29267072156841</v>
      </c>
      <c r="CI105" s="77"/>
      <c r="CJ105" s="189"/>
      <c r="CK105" s="189"/>
      <c r="CL105" s="189"/>
      <c r="CM105" s="77"/>
      <c r="CN105" s="189">
        <v>691.83097091893603</v>
      </c>
      <c r="CO105" s="189">
        <v>39.171792600341</v>
      </c>
      <c r="CP105" s="189">
        <v>86.997941779546395</v>
      </c>
      <c r="CQ105" s="74"/>
      <c r="CR105" s="75"/>
      <c r="CS105" s="75"/>
      <c r="CT105" s="75"/>
      <c r="CU105" s="74"/>
      <c r="CV105" s="75"/>
      <c r="CW105" s="75"/>
      <c r="CX105" s="75"/>
      <c r="CY105" s="74"/>
      <c r="CZ105" s="75"/>
      <c r="DA105" s="75"/>
      <c r="DB105" s="75"/>
      <c r="DC105" s="74"/>
      <c r="DD105" s="75"/>
      <c r="DE105" s="75"/>
      <c r="DF105" s="75"/>
      <c r="DG105" s="74"/>
      <c r="DH105" s="75"/>
      <c r="DI105" s="75"/>
      <c r="DJ105" s="75"/>
      <c r="DK105" s="74"/>
      <c r="DL105" s="75"/>
      <c r="DM105" s="75"/>
      <c r="DN105" s="75"/>
      <c r="DO105" s="76"/>
    </row>
    <row r="106" spans="1:119" x14ac:dyDescent="0.25">
      <c r="A106" s="136">
        <v>57</v>
      </c>
      <c r="B106" s="136">
        <f t="shared" si="0"/>
        <v>51.28613839913649</v>
      </c>
      <c r="C106" s="136" t="str">
        <f t="shared" si="7"/>
        <v>322.240311251433j</v>
      </c>
      <c r="D106" s="136">
        <f t="shared" si="1"/>
        <v>0.99999993424330025</v>
      </c>
      <c r="E106" s="136" t="str">
        <f t="shared" si="2"/>
        <v>-0.000402800389064291j</v>
      </c>
      <c r="F106" s="136" t="str">
        <f t="shared" si="8"/>
        <v>0.9999999342433-0.000402800389064291j</v>
      </c>
      <c r="G106" s="136">
        <f t="shared" si="9"/>
        <v>1.3347935441404602E-7</v>
      </c>
      <c r="H106" s="136">
        <f t="shared" si="10"/>
        <v>-2.307876254903243E-2</v>
      </c>
      <c r="I106" s="136"/>
      <c r="J106" s="136">
        <f t="shared" si="3"/>
        <v>7.0726915520628681</v>
      </c>
      <c r="K106" s="136" t="str">
        <f t="shared" si="4"/>
        <v>1+0.023652224018981j</v>
      </c>
      <c r="L106" s="136">
        <f t="shared" si="5"/>
        <v>0.99996945330439979</v>
      </c>
      <c r="M106" s="136" t="str">
        <f t="shared" si="6"/>
        <v>0.00173097365842816j</v>
      </c>
      <c r="N106" s="136" t="str">
        <f t="shared" si="11"/>
        <v>0.9999694533044+0.00173097365842816j</v>
      </c>
      <c r="O106" s="136" t="str">
        <f t="shared" si="12"/>
        <v>1.00000862265535+0.00777797775186663j</v>
      </c>
      <c r="P106" s="136" t="str">
        <f t="shared" si="13"/>
        <v>7.07275253744452+0.05501123753776j</v>
      </c>
      <c r="Q106" s="136"/>
      <c r="R106" s="136">
        <f t="shared" si="14"/>
        <v>11.787819253438114</v>
      </c>
      <c r="S106" s="136" t="str">
        <f t="shared" si="15"/>
        <v>1+0.000007546121680865j</v>
      </c>
      <c r="T106" s="136" t="str">
        <f t="shared" si="16"/>
        <v>0.999996154398866+0.000614172630420935j</v>
      </c>
      <c r="U106" s="136" t="str">
        <f t="shared" si="39"/>
        <v>1.00000347303835-0.000606630974645932j</v>
      </c>
      <c r="V106" s="136" t="str">
        <f t="shared" si="40"/>
        <v>11.7878601929864-0.00715085628266325j</v>
      </c>
      <c r="W106" s="136"/>
      <c r="X106" s="136" t="str">
        <f t="shared" si="17"/>
        <v>1.66802671626929+0.01273535599937j</v>
      </c>
      <c r="Y106" s="136">
        <f t="shared" si="41"/>
        <v>4.4443132021316405</v>
      </c>
      <c r="Z106" s="136">
        <f t="shared" si="42"/>
        <v>-179.56255618432652</v>
      </c>
      <c r="AA106" s="136"/>
      <c r="AB106" s="136" t="str">
        <f t="shared" si="18"/>
        <v>9.26675714593151-0.00562148239561966j</v>
      </c>
      <c r="AC106" s="136">
        <f t="shared" si="43"/>
        <v>19.33855723033879</v>
      </c>
      <c r="AD106" s="136">
        <f t="shared" si="44"/>
        <v>179.96524273040777</v>
      </c>
      <c r="AE106" s="136"/>
      <c r="AF106" s="136" t="str">
        <f t="shared" si="45"/>
        <v>3.47317330899661-0.0186855628653194j</v>
      </c>
      <c r="AG106" s="136">
        <f t="shared" si="46"/>
        <v>10.814654797680568</v>
      </c>
      <c r="AH106" s="136">
        <f t="shared" si="47"/>
        <v>179.69175348716189</v>
      </c>
      <c r="AI106" s="136"/>
      <c r="AJ106" s="136" t="str">
        <f t="shared" si="19"/>
        <v>99999.8692748439-114.335027517964j</v>
      </c>
      <c r="AK106" s="136" t="str">
        <f t="shared" si="20"/>
        <v>19047.6190474664-0.0539267954925904j</v>
      </c>
      <c r="AL106" s="136" t="str">
        <f t="shared" si="21"/>
        <v>10000-194360325.567735j</v>
      </c>
      <c r="AM106" s="136" t="str">
        <f t="shared" si="22"/>
        <v>963.13911888247-60318721.7620932j</v>
      </c>
      <c r="AN106" s="136" t="str">
        <f t="shared" si="48"/>
        <v>10963.1391188825-60318721.7620932j</v>
      </c>
      <c r="AO106" s="136" t="str">
        <f t="shared" si="49"/>
        <v>19047.6160207714-6.06883708566269j</v>
      </c>
      <c r="AP106" s="136" t="str">
        <f t="shared" si="50"/>
        <v>0.160000028406106+0.000153285965131828j</v>
      </c>
      <c r="AQ106" s="136" t="str">
        <f t="shared" si="23"/>
        <v>1+0.00182936283172485j</v>
      </c>
      <c r="AR106" s="136" t="str">
        <f t="shared" si="24"/>
        <v>1+3.65142281781407E-06j</v>
      </c>
      <c r="AS106" s="136" t="str">
        <f t="shared" si="25"/>
        <v>5.72819236683843E-09j</v>
      </c>
      <c r="AT106" s="136" t="str">
        <f t="shared" si="51"/>
        <v>-2.09160523131022E-14+5.72819236683843E-09j</v>
      </c>
      <c r="AU106" s="179" t="str">
        <f t="shared" si="52"/>
        <v>318723.82978129-174575143.889306j</v>
      </c>
      <c r="AV106" s="136" t="str">
        <f t="shared" si="26"/>
        <v>7999.99993131711-0.741257813050939j</v>
      </c>
      <c r="AW106" s="136"/>
      <c r="AX106" s="136" t="str">
        <f t="shared" si="27"/>
        <v>0.499999995707319-0.0000463286133156837j</v>
      </c>
      <c r="AY106" s="136"/>
      <c r="AZ106" s="136" t="str">
        <f t="shared" si="28"/>
        <v>4.89239988932115-1745.74861077696j</v>
      </c>
      <c r="BA106" s="136" t="str">
        <f t="shared" si="29"/>
        <v>2.36532181132399-872.874524552641j</v>
      </c>
      <c r="BB106" s="136">
        <f t="shared" si="53"/>
        <v>58.819068260221854</v>
      </c>
      <c r="BC106" s="136">
        <f t="shared" si="54"/>
        <v>90.155260145016214</v>
      </c>
      <c r="BD106" s="136" t="str">
        <f t="shared" si="30"/>
        <v>17.0120140241567-8088.72953451467j</v>
      </c>
      <c r="BE106" s="136">
        <f t="shared" si="55"/>
        <v>78.157625490560633</v>
      </c>
      <c r="BF106" s="136">
        <f t="shared" si="56"/>
        <v>90.120502875423995</v>
      </c>
      <c r="BG106" s="136"/>
      <c r="BH106" s="136" t="str">
        <f t="shared" si="31"/>
        <v>-8.09497921978611-3031.68869814874j</v>
      </c>
      <c r="BI106" s="136">
        <f t="shared" si="57"/>
        <v>69.633723057902429</v>
      </c>
      <c r="BJ106" s="136">
        <f t="shared" si="58"/>
        <v>89.847013632178133</v>
      </c>
      <c r="BK106" s="136"/>
      <c r="BL106" s="136">
        <f t="shared" si="59"/>
        <v>-68.633723057902429</v>
      </c>
      <c r="BM106" s="136">
        <f t="shared" si="60"/>
        <v>-89.847013632178133</v>
      </c>
      <c r="BN106" s="136"/>
      <c r="BO106" s="189"/>
      <c r="BP106" s="189" t="str">
        <f t="shared" si="32"/>
        <v>0.00001+1.14335176982803E-08j</v>
      </c>
      <c r="BQ106" s="189" t="str">
        <f t="shared" si="33"/>
        <v>1.04579911581687E-11+5.71673971767983E-09j</v>
      </c>
      <c r="BR106" s="189" t="str">
        <f t="shared" si="34"/>
        <v>-0.000357383967358989-0.000142969607099385j</v>
      </c>
      <c r="BS106" s="189" t="str">
        <f t="shared" si="35"/>
        <v>0.0000625000104579912+1.71502574159601E-08j</v>
      </c>
      <c r="BT106" s="189" t="str">
        <f t="shared" si="61"/>
        <v>-2.23340497318908E-08-8.941731165923E-09j</v>
      </c>
      <c r="BU106" s="189" t="str">
        <f t="shared" si="62"/>
        <v>-1.04579911581687E-11-5.71673971767983E-09j</v>
      </c>
      <c r="BV106" s="189" t="str">
        <f t="shared" si="63"/>
        <v>-2.2344507723049E-08-1.46584708836028E-08j</v>
      </c>
      <c r="BW106" s="189" t="str">
        <f t="shared" si="36"/>
        <v>0.999999999668869-0.0000181970094697105j</v>
      </c>
      <c r="BX106" s="189" t="str">
        <f t="shared" si="64"/>
        <v>-0.00001-1.14335176982803E-08j</v>
      </c>
      <c r="BY106" s="189" t="str">
        <f t="shared" si="65"/>
        <v>313.114475963277-204.906187162027j</v>
      </c>
      <c r="BZ106" s="136">
        <f t="shared" si="66"/>
        <v>51.462124685718038</v>
      </c>
      <c r="CA106" s="136">
        <f t="shared" si="67"/>
        <v>146.79874243310408</v>
      </c>
      <c r="CB106" s="189" t="str">
        <f t="shared" si="37"/>
        <v>2900.40393110341-1900.57604164373j</v>
      </c>
      <c r="CC106" s="136" t="str">
        <f t="shared" si="38"/>
        <v>1083.6720531344-717.525420324068j</v>
      </c>
      <c r="CD106" s="136">
        <f t="shared" si="68"/>
        <v>62.276779483398563</v>
      </c>
      <c r="CE106" s="136">
        <f t="shared" si="69"/>
        <v>146.49049592026591</v>
      </c>
      <c r="CF106" s="136"/>
      <c r="CG106" s="136">
        <f t="shared" si="70"/>
        <v>-61.276779483398563</v>
      </c>
      <c r="CH106" s="136">
        <f t="shared" si="71"/>
        <v>-146.49049592026591</v>
      </c>
      <c r="CI106" s="77"/>
      <c r="CJ106" s="189"/>
      <c r="CK106" s="189"/>
      <c r="CL106" s="189"/>
      <c r="CM106" s="77"/>
      <c r="CN106" s="189">
        <v>724.43596007499002</v>
      </c>
      <c r="CO106" s="189">
        <v>38.762758419976201</v>
      </c>
      <c r="CP106" s="189">
        <v>86.689675328471594</v>
      </c>
      <c r="CQ106" s="74"/>
      <c r="CR106" s="75"/>
      <c r="CS106" s="75"/>
      <c r="CT106" s="75"/>
      <c r="CU106" s="74"/>
      <c r="CV106" s="75"/>
      <c r="CW106" s="75"/>
      <c r="CX106" s="75"/>
      <c r="CY106" s="74"/>
      <c r="CZ106" s="75"/>
      <c r="DA106" s="75"/>
      <c r="DB106" s="75"/>
      <c r="DC106" s="74"/>
      <c r="DD106" s="75"/>
      <c r="DE106" s="75"/>
      <c r="DF106" s="75"/>
      <c r="DG106" s="74"/>
      <c r="DH106" s="75"/>
      <c r="DI106" s="75"/>
      <c r="DJ106" s="75"/>
      <c r="DK106" s="74"/>
      <c r="DL106" s="75"/>
      <c r="DM106" s="75"/>
      <c r="DN106" s="75"/>
      <c r="DO106" s="76"/>
    </row>
    <row r="107" spans="1:119" x14ac:dyDescent="0.25">
      <c r="A107" s="136">
        <v>58</v>
      </c>
      <c r="B107" s="136">
        <f t="shared" si="0"/>
        <v>54.95408738576247</v>
      </c>
      <c r="C107" s="136" t="str">
        <f t="shared" si="7"/>
        <v>345.286714431686j</v>
      </c>
      <c r="D107" s="136">
        <f t="shared" si="1"/>
        <v>0.999999924501207</v>
      </c>
      <c r="E107" s="136" t="str">
        <f t="shared" si="2"/>
        <v>-0.000431608393039607j</v>
      </c>
      <c r="F107" s="136" t="str">
        <f t="shared" si="8"/>
        <v>0.999999924501207-0.000431608393039607j</v>
      </c>
      <c r="G107" s="136">
        <f t="shared" si="9"/>
        <v>1.5325480780097102E-7</v>
      </c>
      <c r="H107" s="136">
        <f t="shared" si="10"/>
        <v>-2.4729339655053372E-2</v>
      </c>
      <c r="I107" s="136"/>
      <c r="J107" s="136">
        <f t="shared" si="3"/>
        <v>7.0726915520628681</v>
      </c>
      <c r="K107" s="136" t="str">
        <f t="shared" si="4"/>
        <v>1+0.0253438146481428j</v>
      </c>
      <c r="L107" s="136">
        <f t="shared" si="5"/>
        <v>0.99996492770082179</v>
      </c>
      <c r="M107" s="136" t="str">
        <f t="shared" si="6"/>
        <v>0.00185477169186354j</v>
      </c>
      <c r="N107" s="136" t="str">
        <f t="shared" si="11"/>
        <v>0.999964927700822+0.00185477169186354j</v>
      </c>
      <c r="O107" s="136" t="str">
        <f t="shared" si="12"/>
        <v>1.00000990014118+0.00833425722449558j</v>
      </c>
      <c r="P107" s="136" t="str">
        <f t="shared" si="13"/>
        <v>7.07276157270776+0.0589456306644088j</v>
      </c>
      <c r="Q107" s="136"/>
      <c r="R107" s="136">
        <f t="shared" si="14"/>
        <v>11.787819253438114</v>
      </c>
      <c r="S107" s="136" t="str">
        <f t="shared" si="15"/>
        <v>1+8.08581506071891E-06j</v>
      </c>
      <c r="T107" s="136" t="str">
        <f t="shared" si="16"/>
        <v>0.999995584659131+0.000658097830244595j</v>
      </c>
      <c r="U107" s="136" t="str">
        <f t="shared" si="39"/>
        <v>1.00000398758336-0.00065001750945271j</v>
      </c>
      <c r="V107" s="136" t="str">
        <f t="shared" si="40"/>
        <v>11.78786625835-0.00766228891299855j</v>
      </c>
      <c r="W107" s="136"/>
      <c r="X107" s="136" t="str">
        <f t="shared" si="17"/>
        <v>1.66802911978995+0.013646185987049j</v>
      </c>
      <c r="Y107" s="136">
        <f t="shared" si="41"/>
        <v>4.4443632220527345</v>
      </c>
      <c r="Z107" s="136">
        <f t="shared" si="42"/>
        <v>-179.53127231913416</v>
      </c>
      <c r="AA107" s="136"/>
      <c r="AB107" s="136" t="str">
        <f t="shared" si="18"/>
        <v>9.26676191407861-0.00602353348073874j</v>
      </c>
      <c r="AC107" s="136">
        <f t="shared" si="43"/>
        <v>19.338561936384075</v>
      </c>
      <c r="AD107" s="136">
        <f t="shared" si="44"/>
        <v>179.96275689385408</v>
      </c>
      <c r="AE107" s="136"/>
      <c r="AF107" s="136" t="str">
        <f t="shared" si="45"/>
        <v>3.47315875352649-0.0200218593559106j</v>
      </c>
      <c r="AG107" s="136">
        <f t="shared" si="46"/>
        <v>10.814637019262602</v>
      </c>
      <c r="AH107" s="136">
        <f t="shared" si="47"/>
        <v>179.66970835106963</v>
      </c>
      <c r="AI107" s="136"/>
      <c r="AJ107" s="136" t="str">
        <f t="shared" si="19"/>
        <v>99999.8499074677-122.512165522944j</v>
      </c>
      <c r="AK107" s="136" t="str">
        <f t="shared" si="20"/>
        <v>19047.6190474438-0.0577836024398425j</v>
      </c>
      <c r="AL107" s="136" t="str">
        <f t="shared" si="21"/>
        <v>10000-181387609.740392j</v>
      </c>
      <c r="AM107" s="136" t="str">
        <f t="shared" si="22"/>
        <v>963.139118702809-56292706.5077758j</v>
      </c>
      <c r="AN107" s="136" t="str">
        <f t="shared" si="48"/>
        <v>10963.1391187028-56292706.5077758j</v>
      </c>
      <c r="AO107" s="136" t="str">
        <f t="shared" si="49"/>
        <v>19047.6155723331-6.50287585715246j</v>
      </c>
      <c r="AP107" s="136" t="str">
        <f t="shared" si="50"/>
        <v>0.160000032614573+0.000164248870025065j</v>
      </c>
      <c r="AQ107" s="136" t="str">
        <f t="shared" si="23"/>
        <v>1+0.00196019759047731j</v>
      </c>
      <c r="AR107" s="136" t="str">
        <f t="shared" si="24"/>
        <v>1+3.91257004087288E-06j</v>
      </c>
      <c r="AS107" s="136" t="str">
        <f t="shared" si="25"/>
        <v>6.13786870518208E-09j</v>
      </c>
      <c r="AT107" s="136" t="str">
        <f t="shared" si="51"/>
        <v>-2.40148412107066E-14+6.13786870518208E-09j</v>
      </c>
      <c r="AU107" s="179" t="str">
        <f t="shared" si="52"/>
        <v>318723.829780659-162923004.007861j</v>
      </c>
      <c r="AV107" s="136" t="str">
        <f t="shared" si="26"/>
        <v>7999.99992114149-0.794272055832019j</v>
      </c>
      <c r="AW107" s="136"/>
      <c r="AX107" s="136" t="str">
        <f t="shared" si="27"/>
        <v>0.499999995071343-0.0000496420034895012j</v>
      </c>
      <c r="AY107" s="136"/>
      <c r="AZ107" s="136" t="str">
        <f t="shared" si="28"/>
        <v>4.89239996119152-1629.22700969762j</v>
      </c>
      <c r="BA107" s="136" t="str">
        <f t="shared" si="29"/>
        <v>2.3653218635822-814.613739687445j</v>
      </c>
      <c r="BB107" s="136">
        <f t="shared" si="53"/>
        <v>58.219071231883717</v>
      </c>
      <c r="BC107" s="136">
        <f t="shared" si="54"/>
        <v>90.166364219641466</v>
      </c>
      <c r="BD107" s="136" t="str">
        <f t="shared" si="30"/>
        <v>17.0120214251039-7548.8458252162j</v>
      </c>
      <c r="BE107" s="136">
        <f t="shared" si="55"/>
        <v>77.557633168267799</v>
      </c>
      <c r="BF107" s="136">
        <f t="shared" si="56"/>
        <v>90.129121113495543</v>
      </c>
      <c r="BG107" s="136"/>
      <c r="BH107" s="136" t="str">
        <f t="shared" si="31"/>
        <v>-8.09494339000631-2829.33019888008j</v>
      </c>
      <c r="BI107" s="136">
        <f t="shared" si="57"/>
        <v>69.033708251146322</v>
      </c>
      <c r="BJ107" s="136">
        <f t="shared" si="58"/>
        <v>89.83607257071111</v>
      </c>
      <c r="BK107" s="136"/>
      <c r="BL107" s="136">
        <f t="shared" si="59"/>
        <v>-68.033708251146322</v>
      </c>
      <c r="BM107" s="136">
        <f t="shared" si="60"/>
        <v>-89.83607257071111</v>
      </c>
      <c r="BN107" s="136"/>
      <c r="BO107" s="189"/>
      <c r="BP107" s="189" t="str">
        <f t="shared" si="32"/>
        <v>0.00001+1.22512349404832E-08j</v>
      </c>
      <c r="BQ107" s="189" t="str">
        <f t="shared" si="33"/>
        <v>1.20073744685227E-11+6.1255939334151E-09j</v>
      </c>
      <c r="BR107" s="189" t="str">
        <f t="shared" si="34"/>
        <v>-0.000357419688594041-0.000153194629518913j</v>
      </c>
      <c r="BS107" s="189" t="str">
        <f t="shared" si="35"/>
        <v>0.0000625000120073745+1.83768288738983E-08j</v>
      </c>
      <c r="BT107" s="189" t="str">
        <f t="shared" si="61"/>
        <v>-2.23359195973085E-08-9.5812344248508E-09j</v>
      </c>
      <c r="BU107" s="189" t="str">
        <f t="shared" si="62"/>
        <v>-1.20073744685227E-11-6.1255939334151E-09j</v>
      </c>
      <c r="BV107" s="189" t="str">
        <f t="shared" si="63"/>
        <v>-2.2347926971777E-08-1.57068283582659E-08j</v>
      </c>
      <c r="BW107" s="189" t="str">
        <f t="shared" si="36"/>
        <v>0.999999999619811-0.0000194984469434298j</v>
      </c>
      <c r="BX107" s="189" t="str">
        <f t="shared" si="64"/>
        <v>-0.00001-1.22512349404832E-08j</v>
      </c>
      <c r="BY107" s="189" t="str">
        <f t="shared" si="65"/>
        <v>299.769949355955-210.148301315136j</v>
      </c>
      <c r="BZ107" s="136">
        <f t="shared" si="66"/>
        <v>51.271836483323355</v>
      </c>
      <c r="CA107" s="136">
        <f t="shared" si="67"/>
        <v>144.96831829100429</v>
      </c>
      <c r="CB107" s="189" t="str">
        <f t="shared" si="37"/>
        <v>2776.63091434815-1949.19994926188j</v>
      </c>
      <c r="CC107" s="136" t="str">
        <f t="shared" si="38"/>
        <v>1036.94106391701-735.880364016519j</v>
      </c>
      <c r="CD107" s="136">
        <f t="shared" si="68"/>
        <v>62.086473502585946</v>
      </c>
      <c r="CE107" s="136">
        <f t="shared" si="69"/>
        <v>144.63802664207392</v>
      </c>
      <c r="CF107" s="136"/>
      <c r="CG107" s="136">
        <f t="shared" si="70"/>
        <v>-61.086473502585946</v>
      </c>
      <c r="CH107" s="136">
        <f t="shared" si="71"/>
        <v>-144.63802664207392</v>
      </c>
      <c r="CI107" s="77"/>
      <c r="CJ107" s="189"/>
      <c r="CK107" s="189"/>
      <c r="CL107" s="189"/>
      <c r="CM107" s="77"/>
      <c r="CN107" s="189">
        <v>758.57757502918298</v>
      </c>
      <c r="CO107" s="189">
        <v>38.352809653516303</v>
      </c>
      <c r="CP107" s="189">
        <v>86.375953486811497</v>
      </c>
      <c r="CQ107" s="74"/>
      <c r="CR107" s="75"/>
      <c r="CS107" s="75"/>
      <c r="CT107" s="75"/>
      <c r="CU107" s="74"/>
      <c r="CV107" s="75"/>
      <c r="CW107" s="75"/>
      <c r="CX107" s="75"/>
      <c r="CY107" s="74"/>
      <c r="CZ107" s="75"/>
      <c r="DA107" s="75"/>
      <c r="DB107" s="75"/>
      <c r="DC107" s="74"/>
      <c r="DD107" s="75"/>
      <c r="DE107" s="75"/>
      <c r="DF107" s="75"/>
      <c r="DG107" s="74"/>
      <c r="DH107" s="75"/>
      <c r="DI107" s="75"/>
      <c r="DJ107" s="75"/>
      <c r="DK107" s="74"/>
      <c r="DL107" s="75"/>
      <c r="DM107" s="75"/>
      <c r="DN107" s="75"/>
      <c r="DO107" s="76"/>
    </row>
    <row r="108" spans="1:119" x14ac:dyDescent="0.25">
      <c r="A108" s="136">
        <v>59</v>
      </c>
      <c r="B108" s="136">
        <f t="shared" si="0"/>
        <v>58.884365535558949</v>
      </c>
      <c r="C108" s="136" t="str">
        <f t="shared" si="7"/>
        <v>369.981380355616j</v>
      </c>
      <c r="D108" s="136">
        <f t="shared" si="1"/>
        <v>0.99999991331578741</v>
      </c>
      <c r="E108" s="136" t="str">
        <f t="shared" si="2"/>
        <v>-0.00046247672544452j</v>
      </c>
      <c r="F108" s="136" t="str">
        <f t="shared" si="8"/>
        <v>0.999999913315787-0.00046247672544452j</v>
      </c>
      <c r="G108" s="136">
        <f t="shared" si="9"/>
        <v>1.7596006536365705E-7</v>
      </c>
      <c r="H108" s="136">
        <f t="shared" si="10"/>
        <v>-2.6497964898786759E-2</v>
      </c>
      <c r="I108" s="136"/>
      <c r="J108" s="136">
        <f t="shared" si="3"/>
        <v>7.0726915520628681</v>
      </c>
      <c r="K108" s="136" t="str">
        <f t="shared" si="4"/>
        <v>1+0.0271563866638486j</v>
      </c>
      <c r="L108" s="136">
        <f t="shared" si="5"/>
        <v>0.99995973161268437</v>
      </c>
      <c r="M108" s="136" t="str">
        <f t="shared" si="6"/>
        <v>0.00198742367464j</v>
      </c>
      <c r="N108" s="136" t="str">
        <f t="shared" si="11"/>
        <v>0.999959731612684+0.00198742367464j</v>
      </c>
      <c r="O108" s="136" t="str">
        <f t="shared" si="12"/>
        <v>1.00001136689377+0.00893032231834145j</v>
      </c>
      <c r="P108" s="136" t="str">
        <f t="shared" si="13"/>
        <v>7.07277194659641+0.0631614152181321j</v>
      </c>
      <c r="Q108" s="136"/>
      <c r="R108" s="136">
        <f t="shared" si="14"/>
        <v>11.787819253438114</v>
      </c>
      <c r="S108" s="136" t="str">
        <f t="shared" si="15"/>
        <v>1+8.66410693614134E-06j</v>
      </c>
      <c r="T108" s="136" t="str">
        <f t="shared" si="16"/>
        <v>0.999994930510392+0.000705164529842067j</v>
      </c>
      <c r="U108" s="136" t="str">
        <f t="shared" si="39"/>
        <v>1.00000457836066-0.000696507182339389j</v>
      </c>
      <c r="V108" s="136" t="str">
        <f t="shared" si="40"/>
        <v>11.7878732223261-0.00821030077413818j</v>
      </c>
      <c r="W108" s="136"/>
      <c r="X108" s="136" t="str">
        <f t="shared" si="17"/>
        <v>1.66803187940556+0.0146221593244716j</v>
      </c>
      <c r="Y108" s="136">
        <f t="shared" si="41"/>
        <v>4.4444206520260545</v>
      </c>
      <c r="Z108" s="136">
        <f t="shared" si="42"/>
        <v>-179.49775147099018</v>
      </c>
      <c r="AA108" s="136"/>
      <c r="AB108" s="136" t="str">
        <f t="shared" si="18"/>
        <v>9.26676738864942-0.00645434049296412j</v>
      </c>
      <c r="AC108" s="136">
        <f t="shared" si="43"/>
        <v>19.338567339649941</v>
      </c>
      <c r="AD108" s="136">
        <f t="shared" si="44"/>
        <v>179.96009326721202</v>
      </c>
      <c r="AE108" s="136"/>
      <c r="AF108" s="136" t="str">
        <f t="shared" si="45"/>
        <v>3.47314204175777-0.0214537079657458j</v>
      </c>
      <c r="AG108" s="136">
        <f t="shared" si="46"/>
        <v>10.814616606997511</v>
      </c>
      <c r="AH108" s="136">
        <f t="shared" si="47"/>
        <v>179.64608666355571</v>
      </c>
      <c r="AI108" s="136"/>
      <c r="AJ108" s="136" t="str">
        <f t="shared" si="19"/>
        <v>99999.8276707538-131.274121293199j</v>
      </c>
      <c r="AK108" s="136" t="str">
        <f t="shared" si="20"/>
        <v>19047.6190474178-0.0619162455403819j</v>
      </c>
      <c r="AL108" s="136" t="str">
        <f t="shared" si="21"/>
        <v>10000-169280766.901507j</v>
      </c>
      <c r="AM108" s="136" t="str">
        <f t="shared" si="22"/>
        <v>963.139118496528-52535410.4569475j</v>
      </c>
      <c r="AN108" s="136" t="str">
        <f t="shared" si="48"/>
        <v>10963.1391184965-52535410.4569475j</v>
      </c>
      <c r="AO108" s="136" t="str">
        <f t="shared" si="49"/>
        <v>19047.6150574571-6.96795672465112j</v>
      </c>
      <c r="AP108" s="136" t="str">
        <f t="shared" si="50"/>
        <v>0.160000037446539+0.000175995834067222j</v>
      </c>
      <c r="AQ108" s="136" t="str">
        <f t="shared" si="23"/>
        <v>1+0.00210038956027669j</v>
      </c>
      <c r="AR108" s="136" t="str">
        <f t="shared" si="24"/>
        <v>1+0.0000041923943318896j</v>
      </c>
      <c r="AS108" s="136" t="str">
        <f t="shared" si="25"/>
        <v>6.57684481061638E-09j</v>
      </c>
      <c r="AT108" s="136" t="str">
        <f t="shared" si="51"/>
        <v>-2.75727269057456E-14+6.57684481061638E-09j</v>
      </c>
      <c r="AU108" s="179" t="str">
        <f t="shared" si="52"/>
        <v>318723.829779937-152048594.361521j</v>
      </c>
      <c r="AV108" s="136" t="str">
        <f t="shared" si="26"/>
        <v>7999.99990945831-0.851077840191862j</v>
      </c>
      <c r="AW108" s="136"/>
      <c r="AX108" s="136" t="str">
        <f t="shared" si="27"/>
        <v>0.499999994341144-0.0000531923650119914j</v>
      </c>
      <c r="AY108" s="136"/>
      <c r="AZ108" s="136" t="str">
        <f t="shared" si="28"/>
        <v>4.89240004370974-1520.4826965035j</v>
      </c>
      <c r="BA108" s="136" t="str">
        <f t="shared" si="29"/>
        <v>2.36532192358265-760.241599885886j</v>
      </c>
      <c r="BB108" s="136">
        <f t="shared" si="53"/>
        <v>57.619074643806492</v>
      </c>
      <c r="BC108" s="136">
        <f t="shared" si="54"/>
        <v>90.178262444655218</v>
      </c>
      <c r="BD108" s="136" t="str">
        <f t="shared" si="30"/>
        <v>17.0120299225339-7044.99733191026j</v>
      </c>
      <c r="BE108" s="136">
        <f t="shared" si="55"/>
        <v>76.95764198345644</v>
      </c>
      <c r="BF108" s="136">
        <f t="shared" si="56"/>
        <v>90.13835571186722</v>
      </c>
      <c r="BG108" s="136"/>
      <c r="BH108" s="136" t="str">
        <f t="shared" si="31"/>
        <v>-8.09490225227692-2640.47780738265j</v>
      </c>
      <c r="BI108" s="136">
        <f t="shared" si="57"/>
        <v>68.433691250803989</v>
      </c>
      <c r="BJ108" s="136">
        <f t="shared" si="58"/>
        <v>89.824349108210924</v>
      </c>
      <c r="BK108" s="136"/>
      <c r="BL108" s="136">
        <f t="shared" si="59"/>
        <v>-67.433691250803989</v>
      </c>
      <c r="BM108" s="136">
        <f t="shared" si="60"/>
        <v>-89.824349108210924</v>
      </c>
      <c r="BN108" s="136"/>
      <c r="BO108" s="189"/>
      <c r="BP108" s="189" t="str">
        <f t="shared" si="32"/>
        <v>0.00001+1.31274347517293E-08j</v>
      </c>
      <c r="BQ108" s="189" t="str">
        <f t="shared" si="33"/>
        <v>1.37863026327196E-11+6.56368841925852E-09j</v>
      </c>
      <c r="BR108" s="189" t="str">
        <f t="shared" si="34"/>
        <v>-0.000357460702022308-0.000164150923574076j</v>
      </c>
      <c r="BS108" s="189" t="str">
        <f t="shared" si="35"/>
        <v>0.0000625000137863026+1.96911231709878E-08j</v>
      </c>
      <c r="BT108" s="189" t="str">
        <f t="shared" si="61"/>
        <v>-2.23380664884009E-08-1.02664737891264E-08j</v>
      </c>
      <c r="BU108" s="189" t="str">
        <f t="shared" si="62"/>
        <v>-1.37863026327196E-11-6.56368841925852E-09j</v>
      </c>
      <c r="BV108" s="189" t="str">
        <f t="shared" si="63"/>
        <v>-2.23518527910336E-08-1.68301622083849E-08j</v>
      </c>
      <c r="BW108" s="189" t="str">
        <f t="shared" si="36"/>
        <v>0.999999999563484-0.0000208929623208595j</v>
      </c>
      <c r="BX108" s="189" t="str">
        <f t="shared" si="64"/>
        <v>-0.00001-1.31274347517293E-08j</v>
      </c>
      <c r="BY108" s="189" t="str">
        <f t="shared" si="65"/>
        <v>285.793175066764-214.614288763772j</v>
      </c>
      <c r="BZ108" s="136">
        <f t="shared" si="66"/>
        <v>51.063168205162093</v>
      </c>
      <c r="CA108" s="136">
        <f t="shared" si="67"/>
        <v>143.09555109661341</v>
      </c>
      <c r="CB108" s="189" t="str">
        <f t="shared" si="37"/>
        <v>2646.99368091293-1990.62529871676j</v>
      </c>
      <c r="CC108" s="136" t="str">
        <f t="shared" si="38"/>
        <v>987.996019295403-751.517232383885j</v>
      </c>
      <c r="CD108" s="136">
        <f t="shared" si="68"/>
        <v>61.877784812159611</v>
      </c>
      <c r="CE108" s="136">
        <f t="shared" si="69"/>
        <v>142.74163776016908</v>
      </c>
      <c r="CF108" s="136"/>
      <c r="CG108" s="136">
        <f t="shared" si="70"/>
        <v>-60.877784812159611</v>
      </c>
      <c r="CH108" s="136">
        <f t="shared" si="71"/>
        <v>-142.74163776016908</v>
      </c>
      <c r="CI108" s="77"/>
      <c r="CJ108" s="189"/>
      <c r="CK108" s="189"/>
      <c r="CL108" s="189"/>
      <c r="CM108" s="77"/>
      <c r="CN108" s="189">
        <v>794.32823472428095</v>
      </c>
      <c r="CO108" s="189">
        <v>37.941871624173402</v>
      </c>
      <c r="CP108" s="189">
        <v>86.056335592059497</v>
      </c>
      <c r="CQ108" s="74"/>
      <c r="CR108" s="75"/>
      <c r="CS108" s="75"/>
      <c r="CT108" s="75"/>
      <c r="CU108" s="74"/>
      <c r="CV108" s="75"/>
      <c r="CW108" s="75"/>
      <c r="CX108" s="75"/>
      <c r="CY108" s="74"/>
      <c r="CZ108" s="75"/>
      <c r="DA108" s="75"/>
      <c r="DB108" s="75"/>
      <c r="DC108" s="74"/>
      <c r="DD108" s="75"/>
      <c r="DE108" s="75"/>
      <c r="DF108" s="75"/>
      <c r="DG108" s="74"/>
      <c r="DH108" s="75"/>
      <c r="DI108" s="75"/>
      <c r="DJ108" s="75"/>
      <c r="DK108" s="74"/>
      <c r="DL108" s="75"/>
      <c r="DM108" s="75"/>
      <c r="DN108" s="75"/>
      <c r="DO108" s="76"/>
    </row>
    <row r="109" spans="1:119" x14ac:dyDescent="0.25">
      <c r="A109" s="136">
        <v>60</v>
      </c>
      <c r="B109" s="136">
        <f t="shared" si="0"/>
        <v>63.095734448019307</v>
      </c>
      <c r="C109" s="136" t="str">
        <f t="shared" si="7"/>
        <v>396.4421916295j</v>
      </c>
      <c r="D109" s="136">
        <f t="shared" si="1"/>
        <v>0.99999990047320741</v>
      </c>
      <c r="E109" s="136" t="str">
        <f t="shared" si="2"/>
        <v>-0.000495552739536875j</v>
      </c>
      <c r="F109" s="136" t="str">
        <f t="shared" si="8"/>
        <v>0.999999900473207-0.000495552739536875j</v>
      </c>
      <c r="G109" s="136">
        <f t="shared" si="9"/>
        <v>2.0202919207694278E-7</v>
      </c>
      <c r="H109" s="136">
        <f t="shared" si="10"/>
        <v>-2.8393081003294129E-2</v>
      </c>
      <c r="I109" s="136"/>
      <c r="J109" s="136">
        <f t="shared" si="3"/>
        <v>7.0726915520628681</v>
      </c>
      <c r="K109" s="136" t="str">
        <f t="shared" si="4"/>
        <v>1+0.0290985925708109j</v>
      </c>
      <c r="L109" s="136">
        <f t="shared" si="5"/>
        <v>0.99995376570527172</v>
      </c>
      <c r="M109" s="136" t="str">
        <f t="shared" si="6"/>
        <v>0.00212956283506302j</v>
      </c>
      <c r="N109" s="136" t="str">
        <f t="shared" si="11"/>
        <v>0.999953765705272+0.00212956283506302j</v>
      </c>
      <c r="O109" s="136" t="str">
        <f t="shared" si="12"/>
        <v>1.00001305095452+0.00956901868059332j</v>
      </c>
      <c r="P109" s="136" t="str">
        <f t="shared" si="13"/>
        <v>7.07278385743865+0.0676787175837641j</v>
      </c>
      <c r="Q109" s="136"/>
      <c r="R109" s="136">
        <f t="shared" si="14"/>
        <v>11.787819253438114</v>
      </c>
      <c r="S109" s="136" t="str">
        <f t="shared" si="15"/>
        <v>1+9.28375784471843E-06j</v>
      </c>
      <c r="T109" s="136" t="str">
        <f t="shared" si="16"/>
        <v>0.999994179447147+0.00075559740709457j</v>
      </c>
      <c r="U109" s="136" t="str">
        <f t="shared" si="39"/>
        <v>1.00000525666451-0.000746321965178367j</v>
      </c>
      <c r="V109" s="136" t="str">
        <f t="shared" si="40"/>
        <v>11.7878812180492-0.00879750843039332j</v>
      </c>
      <c r="W109" s="136"/>
      <c r="X109" s="136" t="str">
        <f t="shared" si="17"/>
        <v>1.66803504787438+0.0156679353461587j</v>
      </c>
      <c r="Y109" s="136">
        <f t="shared" si="41"/>
        <v>4.4444865896931276</v>
      </c>
      <c r="Z109" s="136">
        <f t="shared" si="42"/>
        <v>-179.46183374851907</v>
      </c>
      <c r="AA109" s="136"/>
      <c r="AB109" s="136" t="str">
        <f t="shared" si="18"/>
        <v>9.26677367430457-0.00691596038458666j</v>
      </c>
      <c r="AC109" s="136">
        <f t="shared" si="43"/>
        <v>19.338573543432755</v>
      </c>
      <c r="AD109" s="136">
        <f t="shared" si="44"/>
        <v>179.95723913395608</v>
      </c>
      <c r="AE109" s="136"/>
      <c r="AF109" s="136" t="str">
        <f t="shared" si="45"/>
        <v>3.47312285427365-0.0229879381695064j</v>
      </c>
      <c r="AG109" s="136">
        <f t="shared" si="46"/>
        <v>10.814593170699567</v>
      </c>
      <c r="AH109" s="136">
        <f t="shared" si="47"/>
        <v>179.62077569410476</v>
      </c>
      <c r="AI109" s="136"/>
      <c r="AJ109" s="136" t="str">
        <f t="shared" si="19"/>
        <v>99999.8021396024-140.662719330883j</v>
      </c>
      <c r="AK109" s="136" t="str">
        <f t="shared" si="20"/>
        <v>19047.619047388-0.0663444524042467j</v>
      </c>
      <c r="AL109" s="136" t="str">
        <f t="shared" si="21"/>
        <v>10000-157982003.753045j</v>
      </c>
      <c r="AM109" s="136" t="str">
        <f t="shared" si="22"/>
        <v>963.139118259695-49028897.758507j</v>
      </c>
      <c r="AN109" s="136" t="str">
        <f t="shared" si="48"/>
        <v>10963.1391182597-49028897.758507j</v>
      </c>
      <c r="AO109" s="136" t="str">
        <f t="shared" si="49"/>
        <v>19047.6144663003-7.46629978454722j</v>
      </c>
      <c r="AP109" s="136" t="str">
        <f t="shared" si="50"/>
        <v>0.16000004299438+0.000188582932579593j</v>
      </c>
      <c r="AQ109" s="136" t="str">
        <f t="shared" si="23"/>
        <v>1+0.00225060796235598j</v>
      </c>
      <c r="AR109" s="136" t="str">
        <f t="shared" si="24"/>
        <v>1+4.49223146178839E-06j</v>
      </c>
      <c r="AS109" s="136" t="str">
        <f t="shared" si="25"/>
        <v>7.04721618212718E-09j</v>
      </c>
      <c r="AT109" s="136" t="str">
        <f t="shared" si="51"/>
        <v>-3.1657726251376E-14+7.04721618212718E-09j</v>
      </c>
      <c r="AU109" s="179" t="str">
        <f t="shared" si="52"/>
        <v>318723.829779106-141900004.802779j</v>
      </c>
      <c r="AV109" s="136" t="str">
        <f t="shared" si="26"/>
        <v>7999.99989604423-0.911946334496383j</v>
      </c>
      <c r="AW109" s="136"/>
      <c r="AX109" s="136" t="str">
        <f t="shared" si="27"/>
        <v>0.499999993502764-0.0000569966459060239j</v>
      </c>
      <c r="AY109" s="136"/>
      <c r="AZ109" s="136" t="str">
        <f t="shared" si="28"/>
        <v>4.89240013845332-1418.99656868492j</v>
      </c>
      <c r="BA109" s="136" t="str">
        <f t="shared" si="29"/>
        <v>2.36532199247238-709.498553973303j</v>
      </c>
      <c r="BB109" s="136">
        <f t="shared" si="53"/>
        <v>57.01907856121602</v>
      </c>
      <c r="BC109" s="136">
        <f t="shared" si="54"/>
        <v>90.191011615917873</v>
      </c>
      <c r="BD109" s="136" t="str">
        <f t="shared" si="30"/>
        <v>17.0120396788958-6574.77888039016j</v>
      </c>
      <c r="BE109" s="136">
        <f t="shared" si="55"/>
        <v>76.357652104648793</v>
      </c>
      <c r="BF109" s="136">
        <f t="shared" si="56"/>
        <v>90.148250749873952</v>
      </c>
      <c r="BG109" s="136"/>
      <c r="BH109" s="136" t="str">
        <f t="shared" si="31"/>
        <v>-8.09485502032059-2464.2300167545j</v>
      </c>
      <c r="BI109" s="136">
        <f t="shared" si="57"/>
        <v>67.833671731915601</v>
      </c>
      <c r="BJ109" s="136">
        <f t="shared" si="58"/>
        <v>89.811787310022638</v>
      </c>
      <c r="BK109" s="136"/>
      <c r="BL109" s="136">
        <f t="shared" si="59"/>
        <v>-66.833671731915601</v>
      </c>
      <c r="BM109" s="136">
        <f t="shared" si="60"/>
        <v>-89.811787310022638</v>
      </c>
      <c r="BN109" s="136"/>
      <c r="BO109" s="189"/>
      <c r="BP109" s="189" t="str">
        <f t="shared" si="32"/>
        <v>0.00001+1.40662997647249E-08j</v>
      </c>
      <c r="BQ109" s="189" t="str">
        <f t="shared" si="33"/>
        <v>1.58287829491636E-11+7.03311425797751E-09j</v>
      </c>
      <c r="BR109" s="189" t="str">
        <f t="shared" si="34"/>
        <v>-0.000357507791689565-0.000175890785881541j</v>
      </c>
      <c r="BS109" s="189" t="str">
        <f t="shared" si="35"/>
        <v>0.0000625000158287829+2.10994140227024E-08j</v>
      </c>
      <c r="BT109" s="189" t="str">
        <f t="shared" si="61"/>
        <v>-2.23405314469969E-08-1.10007201066466E-08j</v>
      </c>
      <c r="BU109" s="189" t="str">
        <f t="shared" si="62"/>
        <v>-1.58287829491636E-11-7.03311425797751E-09j</v>
      </c>
      <c r="BV109" s="189" t="str">
        <f t="shared" si="63"/>
        <v>-2.23563602299461E-08-1.80338343646241E-08j</v>
      </c>
      <c r="BW109" s="189" t="str">
        <f t="shared" si="36"/>
        <v>0.999999999498813-0.0000223872124689549j</v>
      </c>
      <c r="BX109" s="189" t="str">
        <f t="shared" si="64"/>
        <v>-0.00001-1.40662997647249E-08j</v>
      </c>
      <c r="BY109" s="189" t="str">
        <f t="shared" si="65"/>
        <v>271.280219769165-218.209944369587j</v>
      </c>
      <c r="BZ109" s="136">
        <f t="shared" si="66"/>
        <v>50.835332109283726</v>
      </c>
      <c r="CA109" s="136">
        <f t="shared" si="67"/>
        <v>141.18780943905961</v>
      </c>
      <c r="CB109" s="189" t="str">
        <f t="shared" si="37"/>
        <v>2512.38326758567-2023.9783312086j</v>
      </c>
      <c r="CC109" s="136" t="str">
        <f t="shared" si="38"/>
        <v>937.173334483523-764.106117738457j</v>
      </c>
      <c r="CD109" s="136">
        <f t="shared" si="68"/>
        <v>61.649925279983279</v>
      </c>
      <c r="CE109" s="136">
        <f t="shared" si="69"/>
        <v>140.80858513316431</v>
      </c>
      <c r="CF109" s="136"/>
      <c r="CG109" s="136">
        <f t="shared" si="70"/>
        <v>-60.649925279983279</v>
      </c>
      <c r="CH109" s="136">
        <f t="shared" si="71"/>
        <v>-140.80858513316431</v>
      </c>
      <c r="CI109" s="77"/>
      <c r="CJ109" s="189"/>
      <c r="CK109" s="189"/>
      <c r="CL109" s="189"/>
      <c r="CM109" s="77"/>
      <c r="CN109" s="189">
        <v>831.76377110267094</v>
      </c>
      <c r="CO109" s="189">
        <v>37.5298631399614</v>
      </c>
      <c r="CP109" s="189">
        <v>85.730398841502804</v>
      </c>
      <c r="CQ109" s="74"/>
      <c r="CR109" s="75"/>
      <c r="CS109" s="75"/>
      <c r="CT109" s="75"/>
      <c r="CU109" s="74"/>
      <c r="CV109" s="75"/>
      <c r="CW109" s="75"/>
      <c r="CX109" s="75"/>
      <c r="CY109" s="74"/>
      <c r="CZ109" s="75"/>
      <c r="DA109" s="75"/>
      <c r="DB109" s="75"/>
      <c r="DC109" s="74"/>
      <c r="DD109" s="75"/>
      <c r="DE109" s="75"/>
      <c r="DF109" s="75"/>
      <c r="DG109" s="74"/>
      <c r="DH109" s="75"/>
      <c r="DI109" s="75"/>
      <c r="DJ109" s="75"/>
      <c r="DK109" s="74"/>
      <c r="DL109" s="75"/>
      <c r="DM109" s="75"/>
      <c r="DN109" s="75"/>
      <c r="DO109" s="76"/>
    </row>
    <row r="110" spans="1:119" x14ac:dyDescent="0.25">
      <c r="A110" s="136">
        <v>61</v>
      </c>
      <c r="B110" s="136">
        <f t="shared" si="0"/>
        <v>67.60829753919819</v>
      </c>
      <c r="C110" s="136" t="str">
        <f t="shared" si="7"/>
        <v>424.795461741716j</v>
      </c>
      <c r="D110" s="136">
        <f t="shared" si="1"/>
        <v>0.99999988572795262</v>
      </c>
      <c r="E110" s="136" t="str">
        <f t="shared" si="2"/>
        <v>-0.000530994327177145j</v>
      </c>
      <c r="F110" s="136" t="str">
        <f t="shared" si="8"/>
        <v>0.999999885727953-0.000530994327177145j</v>
      </c>
      <c r="G110" s="136">
        <f t="shared" si="9"/>
        <v>2.3196056197523458E-7</v>
      </c>
      <c r="H110" s="136">
        <f t="shared" si="10"/>
        <v>-3.0423734509847065E-2</v>
      </c>
      <c r="I110" s="136"/>
      <c r="J110" s="136">
        <f t="shared" si="3"/>
        <v>7.0726915520628681</v>
      </c>
      <c r="K110" s="136" t="str">
        <f t="shared" si="4"/>
        <v>1+0.0311797036948675j</v>
      </c>
      <c r="L110" s="136">
        <f t="shared" si="5"/>
        <v>0.99994691592707041</v>
      </c>
      <c r="M110" s="136" t="str">
        <f t="shared" si="6"/>
        <v>0.00228186768948656j</v>
      </c>
      <c r="N110" s="136" t="str">
        <f t="shared" si="11"/>
        <v>0.99994691592707+0.00228186768948656j</v>
      </c>
      <c r="O110" s="136" t="str">
        <f t="shared" si="12"/>
        <v>1.00001498451951+0.0102533955248632j</v>
      </c>
      <c r="P110" s="136" t="str">
        <f t="shared" si="13"/>
        <v>7.07279753294742+0.0725191039086592j</v>
      </c>
      <c r="Q110" s="136"/>
      <c r="R110" s="136">
        <f t="shared" si="14"/>
        <v>11.787819253438114</v>
      </c>
      <c r="S110" s="136" t="str">
        <f t="shared" si="15"/>
        <v>1+9.94772575576692E-06j</v>
      </c>
      <c r="T110" s="136" t="str">
        <f t="shared" si="16"/>
        <v>0.999993317111163+0.000809637208689315j</v>
      </c>
      <c r="U110" s="136" t="str">
        <f t="shared" si="39"/>
        <v>1.00000603546253-0.000799699713772872j</v>
      </c>
      <c r="V110" s="136" t="str">
        <f t="shared" si="40"/>
        <v>11.7878903983795-0.00942671568298081j</v>
      </c>
      <c r="W110" s="136"/>
      <c r="X110" s="136" t="str">
        <f t="shared" si="17"/>
        <v>1.66803868577145+0.0167885066943924j</v>
      </c>
      <c r="Y110" s="136">
        <f t="shared" si="41"/>
        <v>4.4445622952562029</v>
      </c>
      <c r="Z110" s="136">
        <f t="shared" si="42"/>
        <v>-179.4233478471468</v>
      </c>
      <c r="AA110" s="136"/>
      <c r="AB110" s="136" t="str">
        <f t="shared" si="18"/>
        <v>9.26678089121163-0.00741059729991555j</v>
      </c>
      <c r="AC110" s="136">
        <f t="shared" si="43"/>
        <v>19.338580666333428</v>
      </c>
      <c r="AD110" s="136">
        <f t="shared" si="44"/>
        <v>179.95418086782999</v>
      </c>
      <c r="AE110" s="136"/>
      <c r="AF110" s="136" t="str">
        <f t="shared" si="45"/>
        <v>3.47310082434966-0.0246318668804487j</v>
      </c>
      <c r="AG110" s="136">
        <f t="shared" si="46"/>
        <v>10.814566262385208</v>
      </c>
      <c r="AH110" s="136">
        <f t="shared" si="47"/>
        <v>179.59365465516896</v>
      </c>
      <c r="AI110" s="136"/>
      <c r="AJ110" s="136" t="str">
        <f t="shared" si="19"/>
        <v>99999.7728259346-150.722775107786j</v>
      </c>
      <c r="AK110" s="136" t="str">
        <f t="shared" si="20"/>
        <v>19047.6190473537-0.0710893615464404j</v>
      </c>
      <c r="AL110" s="136" t="str">
        <f t="shared" si="21"/>
        <v>10000-147437384.451055j</v>
      </c>
      <c r="AM110" s="136" t="str">
        <f t="shared" si="22"/>
        <v>963.139117987769-45756429.7022758j</v>
      </c>
      <c r="AN110" s="136" t="str">
        <f t="shared" si="48"/>
        <v>10963.1391179878-45756429.7022758j</v>
      </c>
      <c r="AO110" s="136" t="str">
        <f t="shared" si="49"/>
        <v>19047.6137875616-8.00028391004469j</v>
      </c>
      <c r="AP110" s="136" t="str">
        <f t="shared" si="50"/>
        <v>0.160000049364152+0.000202070251341269j</v>
      </c>
      <c r="AQ110" s="136" t="str">
        <f t="shared" si="23"/>
        <v>1+0.00241156988018592j</v>
      </c>
      <c r="AR110" s="136" t="str">
        <f t="shared" si="24"/>
        <v>1+4.81351273490204E-06j</v>
      </c>
      <c r="AS110" s="136" t="str">
        <f t="shared" si="25"/>
        <v>7.55122818733216E-09j</v>
      </c>
      <c r="AT110" s="136" t="str">
        <f t="shared" si="51"/>
        <v>-3.63479330438746E-14+7.55122818733216E-09j</v>
      </c>
      <c r="AU110" s="179" t="str">
        <f t="shared" si="52"/>
        <v>318723.829778154-132428789.963272j</v>
      </c>
      <c r="AV110" s="136" t="str">
        <f t="shared" si="26"/>
        <v>7999.99988064281-0.977168100872323j</v>
      </c>
      <c r="AW110" s="136"/>
      <c r="AX110" s="136" t="str">
        <f t="shared" si="27"/>
        <v>0.499999992540176-0.0000610730063045202j</v>
      </c>
      <c r="AY110" s="136"/>
      <c r="AZ110" s="136" t="str">
        <f t="shared" si="28"/>
        <v>4.89240024723352-1324.28417144969j</v>
      </c>
      <c r="BA110" s="136" t="str">
        <f t="shared" si="29"/>
        <v>2.36532207156839-662.142374639509j</v>
      </c>
      <c r="BB110" s="136">
        <f t="shared" si="53"/>
        <v>56.419083059001316</v>
      </c>
      <c r="BC110" s="136">
        <f t="shared" si="54"/>
        <v>90.204672591008574</v>
      </c>
      <c r="BD110" s="136" t="str">
        <f t="shared" si="30"/>
        <v>17.0120508807078-6135.94583302025j</v>
      </c>
      <c r="BE110" s="136">
        <f t="shared" si="55"/>
        <v>75.757663725334737</v>
      </c>
      <c r="BF110" s="136">
        <f t="shared" si="56"/>
        <v>90.158853458838564</v>
      </c>
      <c r="BG110" s="136"/>
      <c r="BH110" s="136" t="str">
        <f t="shared" si="31"/>
        <v>-8.09480079140795-2299.74548949572j</v>
      </c>
      <c r="BI110" s="136">
        <f t="shared" si="57"/>
        <v>67.233649321386537</v>
      </c>
      <c r="BJ110" s="136">
        <f t="shared" si="58"/>
        <v>89.79832724617755</v>
      </c>
      <c r="BK110" s="136"/>
      <c r="BL110" s="136">
        <f t="shared" si="59"/>
        <v>-66.233649321386537</v>
      </c>
      <c r="BM110" s="136">
        <f t="shared" si="60"/>
        <v>-89.79832724617755</v>
      </c>
      <c r="BN110" s="136"/>
      <c r="BO110" s="189"/>
      <c r="BP110" s="189" t="str">
        <f t="shared" si="32"/>
        <v>0.00001+1.5072311751162E-08j</v>
      </c>
      <c r="BQ110" s="189" t="str">
        <f t="shared" si="33"/>
        <v>1.8173860828773E-11+7.53611204804562E-09j</v>
      </c>
      <c r="BR110" s="189" t="str">
        <f t="shared" si="34"/>
        <v>-0.000357561857797052-0.000188470252487555j</v>
      </c>
      <c r="BS110" s="189" t="str">
        <f t="shared" si="35"/>
        <v>0.0000625000181738608+2.26084237992076E-08j</v>
      </c>
      <c r="BT110" s="189" t="str">
        <f t="shared" si="61"/>
        <v>-2.23433615952534E-08-1.17874781157198E-08j</v>
      </c>
      <c r="BU110" s="189" t="str">
        <f t="shared" si="62"/>
        <v>-1.8173860828773E-11-7.53611204804562E-09j</v>
      </c>
      <c r="BV110" s="189" t="str">
        <f t="shared" si="63"/>
        <v>-2.23615354560822E-08-1.93235901637654E-08j</v>
      </c>
      <c r="BW110" s="189" t="str">
        <f t="shared" si="36"/>
        <v>0.99999999942456-0.0000239883303491602j</v>
      </c>
      <c r="BX110" s="189" t="str">
        <f t="shared" si="64"/>
        <v>-0.00001-1.5072311751162E-08j</v>
      </c>
      <c r="BY110" s="189" t="str">
        <f t="shared" si="65"/>
        <v>256.345176394025-220.85588489023j</v>
      </c>
      <c r="BZ110" s="136">
        <f t="shared" si="66"/>
        <v>50.587682053555234</v>
      </c>
      <c r="CA110" s="136">
        <f t="shared" si="67"/>
        <v>139.25323913110367</v>
      </c>
      <c r="CB110" s="189" t="str">
        <f t="shared" si="37"/>
        <v>2373.85790813819-2048.52276468445j</v>
      </c>
      <c r="CC110" s="136" t="str">
        <f t="shared" si="38"/>
        <v>884.872550695769-773.369016135114j</v>
      </c>
      <c r="CD110" s="136">
        <f t="shared" si="68"/>
        <v>61.402248315940462</v>
      </c>
      <c r="CE110" s="136">
        <f t="shared" si="69"/>
        <v>138.84689378627269</v>
      </c>
      <c r="CF110" s="136"/>
      <c r="CG110" s="136">
        <f t="shared" si="70"/>
        <v>-60.402248315940462</v>
      </c>
      <c r="CH110" s="136">
        <f t="shared" si="71"/>
        <v>-138.84689378627269</v>
      </c>
      <c r="CI110" s="77"/>
      <c r="CJ110" s="189"/>
      <c r="CK110" s="189"/>
      <c r="CL110" s="189"/>
      <c r="CM110" s="77"/>
      <c r="CN110" s="189">
        <v>870.96358995608</v>
      </c>
      <c r="CO110" s="189">
        <v>37.116696155735397</v>
      </c>
      <c r="CP110" s="189">
        <v>85.397741428678799</v>
      </c>
      <c r="CQ110" s="74"/>
      <c r="CR110" s="75"/>
      <c r="CS110" s="75"/>
      <c r="CT110" s="75"/>
      <c r="CU110" s="74"/>
      <c r="CV110" s="75"/>
      <c r="CW110" s="75"/>
      <c r="CX110" s="75"/>
      <c r="CY110" s="74"/>
      <c r="CZ110" s="75"/>
      <c r="DA110" s="75"/>
      <c r="DB110" s="75"/>
      <c r="DC110" s="74"/>
      <c r="DD110" s="75"/>
      <c r="DE110" s="75"/>
      <c r="DF110" s="75"/>
      <c r="DG110" s="74"/>
      <c r="DH110" s="75"/>
      <c r="DI110" s="75"/>
      <c r="DJ110" s="75"/>
      <c r="DK110" s="74"/>
      <c r="DL110" s="75"/>
      <c r="DM110" s="75"/>
      <c r="DN110" s="75"/>
      <c r="DO110" s="76"/>
    </row>
    <row r="111" spans="1:119" x14ac:dyDescent="0.25">
      <c r="A111" s="136">
        <v>62</v>
      </c>
      <c r="B111" s="136">
        <f t="shared" si="0"/>
        <v>72.443596007499011</v>
      </c>
      <c r="C111" s="136" t="str">
        <f t="shared" si="7"/>
        <v>455.176538033571j</v>
      </c>
      <c r="D111" s="136">
        <f t="shared" si="1"/>
        <v>0.99999986879813496</v>
      </c>
      <c r="E111" s="136" t="str">
        <f t="shared" si="2"/>
        <v>-0.000568970672541964j</v>
      </c>
      <c r="F111" s="136" t="str">
        <f t="shared" si="8"/>
        <v>0.999999868798135-0.000568970672541964j</v>
      </c>
      <c r="G111" s="136">
        <f t="shared" si="9"/>
        <v>2.6632636448932333E-7</v>
      </c>
      <c r="H111" s="136">
        <f t="shared" si="10"/>
        <v>-3.2599618962706085E-2</v>
      </c>
      <c r="I111" s="136"/>
      <c r="J111" s="136">
        <f t="shared" si="3"/>
        <v>7.0726915520628681</v>
      </c>
      <c r="K111" s="136" t="str">
        <f t="shared" si="4"/>
        <v>1+0.0334096544406388j</v>
      </c>
      <c r="L111" s="136">
        <f t="shared" si="5"/>
        <v>0.99993905132942207</v>
      </c>
      <c r="M111" s="136" t="str">
        <f t="shared" si="6"/>
        <v>0.00244506528128278j</v>
      </c>
      <c r="N111" s="136" t="str">
        <f t="shared" si="11"/>
        <v>0.999939051329422+0.00244506528128278j</v>
      </c>
      <c r="O111" s="136" t="str">
        <f t="shared" si="12"/>
        <v>1.00001720455514+0.0109867202011014j</v>
      </c>
      <c r="P111" s="136" t="str">
        <f t="shared" si="13"/>
        <v>7.07281323457466+0.0777056831512083j</v>
      </c>
      <c r="Q111" s="136"/>
      <c r="R111" s="136">
        <f t="shared" si="14"/>
        <v>11.787819253438114</v>
      </c>
      <c r="S111" s="136" t="str">
        <f t="shared" si="15"/>
        <v>1+0.0000106591801905136j</v>
      </c>
      <c r="T111" s="136" t="str">
        <f t="shared" si="16"/>
        <v>0.999992327016979+0.000867541899349288j</v>
      </c>
      <c r="U111" s="136" t="str">
        <f t="shared" si="39"/>
        <v>1.00000692964361-0.000856895305858087j</v>
      </c>
      <c r="V111" s="136" t="str">
        <f t="shared" si="40"/>
        <v>11.7879009388245-0.0101009269845747j</v>
      </c>
      <c r="W111" s="136"/>
      <c r="X111" s="136" t="str">
        <f t="shared" si="17"/>
        <v>1.66804286264685+0.0179892231745147j</v>
      </c>
      <c r="Y111" s="136">
        <f t="shared" si="41"/>
        <v>4.4446492155436363</v>
      </c>
      <c r="Z111" s="136">
        <f t="shared" si="42"/>
        <v>-179.38211023792891</v>
      </c>
      <c r="AA111" s="136"/>
      <c r="AB111" s="136" t="str">
        <f t="shared" si="18"/>
        <v>9.2667891773418-0.00794061312082173j</v>
      </c>
      <c r="AC111" s="136">
        <f t="shared" si="43"/>
        <v>19.338588844524065</v>
      </c>
      <c r="AD111" s="136">
        <f t="shared" si="44"/>
        <v>179.95090386772497</v>
      </c>
      <c r="AE111" s="136"/>
      <c r="AF111" s="136" t="str">
        <f t="shared" si="45"/>
        <v>3.47307553094929-0.0263933330812967j</v>
      </c>
      <c r="AG111" s="136">
        <f t="shared" si="46"/>
        <v>10.814535367712217</v>
      </c>
      <c r="AH111" s="136">
        <f t="shared" si="47"/>
        <v>179.56459412717226</v>
      </c>
      <c r="AI111" s="136"/>
      <c r="AJ111" s="136" t="str">
        <f t="shared" si="19"/>
        <v>99999.7391693618-161.502308910695j</v>
      </c>
      <c r="AK111" s="136" t="str">
        <f t="shared" si="20"/>
        <v>19047.6190473144-0.0761736232938698j</v>
      </c>
      <c r="AL111" s="136" t="str">
        <f t="shared" si="21"/>
        <v>10000-137596573.137206j</v>
      </c>
      <c r="AM111" s="136" t="str">
        <f t="shared" si="22"/>
        <v>963.139117675563-42702384.8149931j</v>
      </c>
      <c r="AN111" s="136" t="str">
        <f t="shared" si="48"/>
        <v>10963.1391176756-42702384.8149931j</v>
      </c>
      <c r="AO111" s="136" t="str">
        <f t="shared" si="49"/>
        <v>19047.6130082655-8.57245810609394j</v>
      </c>
      <c r="AP111" s="136" t="str">
        <f t="shared" si="50"/>
        <v>0.160000056677629+0.000216522173411984j</v>
      </c>
      <c r="AQ111" s="136" t="str">
        <f t="shared" si="23"/>
        <v>1+0.00258404368254875j</v>
      </c>
      <c r="AR111" s="136" t="str">
        <f t="shared" si="24"/>
        <v>1+5.15777182145459E-06j</v>
      </c>
      <c r="AS111" s="136" t="str">
        <f t="shared" si="25"/>
        <v>8.09128678098078E-09j</v>
      </c>
      <c r="AT111" s="136" t="str">
        <f t="shared" si="51"/>
        <v>-4.17330109582507E-14+8.09128678098078E-09j</v>
      </c>
      <c r="AU111" s="179" t="str">
        <f t="shared" si="52"/>
        <v>318723.82977706-123589737.994689j</v>
      </c>
      <c r="AV111" s="136" t="str">
        <f t="shared" si="26"/>
        <v>7999.99986295961-1.04705448223266j</v>
      </c>
      <c r="AW111" s="136"/>
      <c r="AX111" s="136" t="str">
        <f t="shared" si="27"/>
        <v>0.499999991434976-0.0000654409051395413j</v>
      </c>
      <c r="AY111" s="136"/>
      <c r="AZ111" s="136" t="str">
        <f t="shared" si="28"/>
        <v>4.89240037212991-1235.89338512683j</v>
      </c>
      <c r="BA111" s="136" t="str">
        <f t="shared" si="29"/>
        <v>2.36532216238276-617.947002141067j</v>
      </c>
      <c r="BB111" s="136">
        <f t="shared" si="53"/>
        <v>55.819088223146366</v>
      </c>
      <c r="BC111" s="136">
        <f t="shared" si="54"/>
        <v>90.219310579651548</v>
      </c>
      <c r="BD111" s="136" t="str">
        <f t="shared" si="30"/>
        <v>17.0120637421215-5726.40337371985j</v>
      </c>
      <c r="BE111" s="136">
        <f t="shared" si="55"/>
        <v>75.157677067670434</v>
      </c>
      <c r="BF111" s="136">
        <f t="shared" si="56"/>
        <v>90.170214447376509</v>
      </c>
      <c r="BG111" s="136"/>
      <c r="BH111" s="136" t="str">
        <f t="shared" si="31"/>
        <v>-8.09473852911431-2146.23904129529j</v>
      </c>
      <c r="BI111" s="136">
        <f t="shared" si="57"/>
        <v>66.633623590858605</v>
      </c>
      <c r="BJ111" s="136">
        <f t="shared" si="58"/>
        <v>89.78390470682379</v>
      </c>
      <c r="BK111" s="136"/>
      <c r="BL111" s="136">
        <f t="shared" si="59"/>
        <v>-65.633623590858605</v>
      </c>
      <c r="BM111" s="136">
        <f t="shared" si="60"/>
        <v>-89.78390470682379</v>
      </c>
      <c r="BN111" s="136"/>
      <c r="BO111" s="189"/>
      <c r="BP111" s="189" t="str">
        <f t="shared" si="32"/>
        <v>0.00001+1.61502730159297E-08j</v>
      </c>
      <c r="BQ111" s="189" t="str">
        <f t="shared" si="33"/>
        <v>2.08663661485194E-11+8.07508258836323E-09j</v>
      </c>
      <c r="BR111" s="189" t="str">
        <f t="shared" si="34"/>
        <v>-0.000357623933909115-0.000201949366127863j</v>
      </c>
      <c r="BS111" s="189" t="str">
        <f t="shared" si="35"/>
        <v>0.0000625000208663661+2.42253556042929E-08j</v>
      </c>
      <c r="BT111" s="189" t="str">
        <f t="shared" si="61"/>
        <v>-2.23466110364231E-08-1.26305031639124E-08j</v>
      </c>
      <c r="BU111" s="189" t="str">
        <f t="shared" si="62"/>
        <v>-2.08663661485194E-11-8.07508258836323E-09j</v>
      </c>
      <c r="BV111" s="189" t="str">
        <f t="shared" si="63"/>
        <v>-2.23674774025716E-08-2.07055857522756E-08j</v>
      </c>
      <c r="BW111" s="189" t="str">
        <f t="shared" si="36"/>
        <v>0.999999999339307-0.0000257039590673509j</v>
      </c>
      <c r="BX111" s="189" t="str">
        <f t="shared" si="64"/>
        <v>-0.00001-1.61502730159297E-08j</v>
      </c>
      <c r="BY111" s="189" t="str">
        <f t="shared" si="65"/>
        <v>241.117066922639-222.491646354234j</v>
      </c>
      <c r="BZ111" s="136">
        <f t="shared" si="66"/>
        <v>50.319735787782975</v>
      </c>
      <c r="CA111" s="136">
        <f t="shared" si="67"/>
        <v>137.30061337679359</v>
      </c>
      <c r="CB111" s="189" t="str">
        <f t="shared" si="37"/>
        <v>2232.6143061448-2063.69779782964j</v>
      </c>
      <c r="CC111" s="136" t="str">
        <f t="shared" si="38"/>
        <v>831.545489093249-779.09417585239j</v>
      </c>
      <c r="CD111" s="136">
        <f t="shared" si="68"/>
        <v>61.134271155495213</v>
      </c>
      <c r="CE111" s="136">
        <f t="shared" si="69"/>
        <v>136.86520750396585</v>
      </c>
      <c r="CF111" s="136"/>
      <c r="CG111" s="136">
        <f t="shared" si="70"/>
        <v>-60.134271155495213</v>
      </c>
      <c r="CH111" s="136">
        <f t="shared" si="71"/>
        <v>-136.86520750396585</v>
      </c>
      <c r="CI111" s="77"/>
      <c r="CJ111" s="189"/>
      <c r="CK111" s="189"/>
      <c r="CL111" s="189"/>
      <c r="CM111" s="77"/>
      <c r="CN111" s="189">
        <v>912.01083935590896</v>
      </c>
      <c r="CO111" s="189">
        <v>36.702275437812901</v>
      </c>
      <c r="CP111" s="189">
        <v>85.057986013657796</v>
      </c>
      <c r="CQ111" s="74"/>
      <c r="CR111" s="75"/>
      <c r="CS111" s="75"/>
      <c r="CT111" s="75"/>
      <c r="CU111" s="74"/>
      <c r="CV111" s="75"/>
      <c r="CW111" s="75"/>
      <c r="CX111" s="75"/>
      <c r="CY111" s="74"/>
      <c r="CZ111" s="75"/>
      <c r="DA111" s="75"/>
      <c r="DB111" s="75"/>
      <c r="DC111" s="74"/>
      <c r="DD111" s="75"/>
      <c r="DE111" s="75"/>
      <c r="DF111" s="75"/>
      <c r="DG111" s="74"/>
      <c r="DH111" s="75"/>
      <c r="DI111" s="75"/>
      <c r="DJ111" s="75"/>
      <c r="DK111" s="74"/>
      <c r="DL111" s="75"/>
      <c r="DM111" s="75"/>
      <c r="DN111" s="75"/>
      <c r="DO111" s="76"/>
    </row>
    <row r="112" spans="1:119" x14ac:dyDescent="0.25">
      <c r="A112" s="136">
        <v>63</v>
      </c>
      <c r="B112" s="136">
        <f t="shared" si="0"/>
        <v>77.624711662869217</v>
      </c>
      <c r="C112" s="136" t="str">
        <f t="shared" si="7"/>
        <v>487.730447794192j</v>
      </c>
      <c r="D112" s="136">
        <f t="shared" si="1"/>
        <v>0.99999984936010344</v>
      </c>
      <c r="E112" s="136" t="str">
        <f t="shared" si="2"/>
        <v>-0.00060966305974274j</v>
      </c>
      <c r="F112" s="136" t="str">
        <f t="shared" si="8"/>
        <v>0.999999849360103-0.00060966305974274j</v>
      </c>
      <c r="G112" s="136">
        <f t="shared" si="9"/>
        <v>3.0578358620315848E-7</v>
      </c>
      <c r="H112" s="136">
        <f t="shared" si="10"/>
        <v>-3.4931121182473067E-2</v>
      </c>
      <c r="I112" s="136"/>
      <c r="J112" s="136">
        <f t="shared" si="3"/>
        <v>7.0726915520628681</v>
      </c>
      <c r="K112" s="136" t="str">
        <f t="shared" si="4"/>
        <v>1+0.0357990897144618j</v>
      </c>
      <c r="L112" s="136">
        <f t="shared" si="5"/>
        <v>0.99993002156315047</v>
      </c>
      <c r="M112" s="136" t="str">
        <f t="shared" si="6"/>
        <v>0.00261993465146072j</v>
      </c>
      <c r="N112" s="136" t="str">
        <f t="shared" si="11"/>
        <v>0.99993002156315+0.00261993465146072j</v>
      </c>
      <c r="O112" s="136" t="str">
        <f t="shared" si="12"/>
        <v>1.00001975350499+0.011772493810074j</v>
      </c>
      <c r="P112" s="136" t="str">
        <f t="shared" si="13"/>
        <v>7.07283126251073+0.0832632175172228j</v>
      </c>
      <c r="Q112" s="136"/>
      <c r="R112" s="136">
        <f t="shared" si="14"/>
        <v>11.787819253438114</v>
      </c>
      <c r="S112" s="136" t="str">
        <f t="shared" si="15"/>
        <v>1+0.0000114215173521416j</v>
      </c>
      <c r="T112" s="136" t="str">
        <f t="shared" si="16"/>
        <v>0.999991190236757+0.000929587893255265j</v>
      </c>
      <c r="U112" s="136" t="str">
        <f t="shared" si="39"/>
        <v>1.00000795630259-0.000918181860950499j</v>
      </c>
      <c r="V112" s="136" t="str">
        <f t="shared" si="40"/>
        <v>11.787913040895-0.0108233618186699j</v>
      </c>
      <c r="W112" s="136"/>
      <c r="X112" s="136" t="str">
        <f t="shared" si="17"/>
        <v>1.66804765835558+0.0192758173203422j</v>
      </c>
      <c r="Y112" s="136">
        <f t="shared" si="41"/>
        <v>4.444749011634574</v>
      </c>
      <c r="Z112" s="136">
        <f t="shared" si="42"/>
        <v>-179.33792429953527</v>
      </c>
      <c r="AA112" s="136"/>
      <c r="AB112" s="136" t="str">
        <f t="shared" si="18"/>
        <v>9.26679869110821-0.00850853877074628j</v>
      </c>
      <c r="AC112" s="136">
        <f t="shared" si="43"/>
        <v>19.338598234351728</v>
      </c>
      <c r="AD112" s="136">
        <f t="shared" si="44"/>
        <v>179.94739248788696</v>
      </c>
      <c r="AE112" s="136"/>
      <c r="AF112" s="136" t="str">
        <f t="shared" si="45"/>
        <v>3.47304649068381-0.0282807348788996j</v>
      </c>
      <c r="AG112" s="136">
        <f t="shared" si="46"/>
        <v>10.814499896152515</v>
      </c>
      <c r="AH112" s="136">
        <f t="shared" si="47"/>
        <v>179.53345544267609</v>
      </c>
      <c r="AI112" s="136"/>
      <c r="AJ112" s="136" t="str">
        <f t="shared" si="19"/>
        <v>99999.7005264739-173.052774965468j</v>
      </c>
      <c r="AK112" s="136" t="str">
        <f t="shared" si="20"/>
        <v>19047.6190472693-0.0816215079090852j</v>
      </c>
      <c r="AL112" s="136" t="str">
        <f t="shared" si="21"/>
        <v>9999.99999999999-128412593.655225j</v>
      </c>
      <c r="AM112" s="136" t="str">
        <f t="shared" si="22"/>
        <v>963.13911731709-39852184.289555j</v>
      </c>
      <c r="AN112" s="136" t="str">
        <f t="shared" si="48"/>
        <v>10963.1391173171-39852184.289555j</v>
      </c>
      <c r="AO112" s="136" t="str">
        <f t="shared" si="49"/>
        <v>19047.6121135139-9.18555367626435j</v>
      </c>
      <c r="AP112" s="136" t="str">
        <f t="shared" si="50"/>
        <v>0.160000065074625+0.000232007686467717j</v>
      </c>
      <c r="AQ112" s="136" t="str">
        <f t="shared" si="23"/>
        <v>1+0.00276885269142827j</v>
      </c>
      <c r="AR112" s="136" t="str">
        <f t="shared" si="24"/>
        <v>1+5.52665207869915E-06j</v>
      </c>
      <c r="AS112" s="136" t="str">
        <f t="shared" si="25"/>
        <v>8.66996999003478E-09j</v>
      </c>
      <c r="AT112" s="136" t="str">
        <f t="shared" si="51"/>
        <v>-4.7915907667685E-14+8.66996999003478E-09j</v>
      </c>
      <c r="AU112" s="179" t="str">
        <f t="shared" si="52"/>
        <v>318723.829775803-115340654.745211j</v>
      </c>
      <c r="AV112" s="136" t="str">
        <f t="shared" si="26"/>
        <v>7999.99984265658-1.12193908850052j</v>
      </c>
      <c r="AW112" s="136"/>
      <c r="AX112" s="136" t="str">
        <f t="shared" si="27"/>
        <v>0.499999990166036-0.0000701211930312825j</v>
      </c>
      <c r="AY112" s="136"/>
      <c r="AZ112" s="136" t="str">
        <f t="shared" si="28"/>
        <v>4.89240051553013-1153.40226692533j</v>
      </c>
      <c r="BA112" s="136" t="str">
        <f t="shared" si="29"/>
        <v>2.36532226665158-576.70146518111j</v>
      </c>
      <c r="BB112" s="136">
        <f t="shared" si="53"/>
        <v>55.219094152373536</v>
      </c>
      <c r="BC112" s="136">
        <f t="shared" si="54"/>
        <v>90.234995454898737</v>
      </c>
      <c r="BD112" s="136" t="str">
        <f t="shared" si="30"/>
        <v>17.0120785090163-5344.19650813671j</v>
      </c>
      <c r="BE112" s="136">
        <f t="shared" si="55"/>
        <v>74.557692386725279</v>
      </c>
      <c r="BF112" s="136">
        <f t="shared" si="56"/>
        <v>90.182387942785695</v>
      </c>
      <c r="BG112" s="136"/>
      <c r="BH112" s="136" t="str">
        <f t="shared" si="31"/>
        <v>-8.09466704352936-2002.97789287139j</v>
      </c>
      <c r="BI112" s="136">
        <f t="shared" si="57"/>
        <v>66.033594048526055</v>
      </c>
      <c r="BJ112" s="136">
        <f t="shared" si="58"/>
        <v>89.768450897574823</v>
      </c>
      <c r="BK112" s="136"/>
      <c r="BL112" s="136">
        <f t="shared" si="59"/>
        <v>-65.033594048526055</v>
      </c>
      <c r="BM112" s="136">
        <f t="shared" si="60"/>
        <v>-89.768450897574823</v>
      </c>
      <c r="BN112" s="136"/>
      <c r="BO112" s="189"/>
      <c r="BP112" s="189" t="str">
        <f t="shared" si="32"/>
        <v>0.00001+1.73053293214267E-08j</v>
      </c>
      <c r="BQ112" s="189" t="str">
        <f t="shared" si="33"/>
        <v>2.3957770160514E-11+8.65259832517696E-09j</v>
      </c>
      <c r="BR112" s="189" t="str">
        <f t="shared" si="34"/>
        <v>-0.000357695206709881-0.000216392462560109j</v>
      </c>
      <c r="BS112" s="189" t="str">
        <f t="shared" si="35"/>
        <v>0.0000625000239577702+2.59579276466037E-08j</v>
      </c>
      <c r="BT112" s="189" t="str">
        <f t="shared" si="61"/>
        <v>-2.23503418890607E-08-1.3533819120583E-08j</v>
      </c>
      <c r="BU112" s="189" t="str">
        <f t="shared" si="62"/>
        <v>-2.3957770160514E-11-8.65259832517696E-09j</v>
      </c>
      <c r="BV112" s="189" t="str">
        <f t="shared" si="63"/>
        <v>-2.23742996592212E-08-2.218641744576E-08j</v>
      </c>
      <c r="BW112" s="189" t="str">
        <f t="shared" si="36"/>
        <v>0.999999999241422-0.0000275422883590078j</v>
      </c>
      <c r="BX112" s="189" t="str">
        <f t="shared" si="64"/>
        <v>-0.00001-1.73053293214267E-08j</v>
      </c>
      <c r="BY112" s="189" t="str">
        <f t="shared" si="65"/>
        <v>225.735661352-223.078969386575j</v>
      </c>
      <c r="BZ112" s="136">
        <f t="shared" si="66"/>
        <v>50.031192329589871</v>
      </c>
      <c r="CA112" s="136">
        <f t="shared" si="67"/>
        <v>135.33914994936555</v>
      </c>
      <c r="CB112" s="189" t="str">
        <f t="shared" si="37"/>
        <v>2089.9488550932-2069.14858215183j</v>
      </c>
      <c r="CC112" s="136" t="str">
        <f t="shared" si="38"/>
        <v>777.681609290474-781.147602164812j</v>
      </c>
      <c r="CD112" s="136">
        <f t="shared" si="68"/>
        <v>60.845692225742383</v>
      </c>
      <c r="CE112" s="136">
        <f t="shared" si="69"/>
        <v>134.87260539204175</v>
      </c>
      <c r="CF112" s="136"/>
      <c r="CG112" s="136">
        <f t="shared" si="70"/>
        <v>-59.845692225742383</v>
      </c>
      <c r="CH112" s="136">
        <f t="shared" si="71"/>
        <v>-134.87260539204175</v>
      </c>
      <c r="CI112" s="77"/>
      <c r="CJ112" s="189"/>
      <c r="CK112" s="189"/>
      <c r="CL112" s="189"/>
      <c r="CM112" s="77"/>
      <c r="CN112" s="189">
        <v>954.99258602143505</v>
      </c>
      <c r="CO112" s="189">
        <v>36.286498241241702</v>
      </c>
      <c r="CP112" s="189">
        <v>84.710783792704206</v>
      </c>
      <c r="CQ112" s="74"/>
      <c r="CR112" s="75"/>
      <c r="CS112" s="75"/>
      <c r="CT112" s="75"/>
      <c r="CU112" s="74"/>
      <c r="CV112" s="75"/>
      <c r="CW112" s="75"/>
      <c r="CX112" s="75"/>
      <c r="CY112" s="74"/>
      <c r="CZ112" s="75"/>
      <c r="DA112" s="75"/>
      <c r="DB112" s="75"/>
      <c r="DC112" s="74"/>
      <c r="DD112" s="75"/>
      <c r="DE112" s="75"/>
      <c r="DF112" s="75"/>
      <c r="DG112" s="74"/>
      <c r="DH112" s="75"/>
      <c r="DI112" s="75"/>
      <c r="DJ112" s="75"/>
      <c r="DK112" s="74"/>
      <c r="DL112" s="75"/>
      <c r="DM112" s="75"/>
      <c r="DN112" s="75"/>
      <c r="DO112" s="76"/>
    </row>
    <row r="113" spans="1:119" x14ac:dyDescent="0.25">
      <c r="A113" s="136">
        <v>64</v>
      </c>
      <c r="B113" s="136">
        <f t="shared" ref="B113:B176" si="72">Fstart*10^(Step*A113)</f>
        <v>83.176377110267126</v>
      </c>
      <c r="C113" s="136" t="str">
        <f t="shared" si="7"/>
        <v>522.612590563659j</v>
      </c>
      <c r="D113" s="136">
        <f t="shared" ref="D113:D176" si="73">(IMPRODUCT(C113,C113))/Wn^2 + 1</f>
        <v>0.99999982704225732</v>
      </c>
      <c r="E113" s="136" t="str">
        <f t="shared" ref="E113:E176" si="74">IMDIV(C113,Wn*Qn)</f>
        <v>-0.000653265738204574j</v>
      </c>
      <c r="F113" s="136" t="str">
        <f t="shared" si="8"/>
        <v>0.999999827042257-0.000653265738204574j</v>
      </c>
      <c r="G113" s="136">
        <f t="shared" si="9"/>
        <v>3.5108654903374889E-7</v>
      </c>
      <c r="H113" s="136">
        <f t="shared" si="10"/>
        <v>-3.7429370848915004E-2</v>
      </c>
      <c r="I113" s="136"/>
      <c r="J113" s="136">
        <f t="shared" ref="J113:J176" si="75">Vin/(Rout+DCR/1000)</f>
        <v>7.0726915520628681</v>
      </c>
      <c r="K113" s="136" t="str">
        <f t="shared" ref="K113:K176" si="76">IMSUM(1,IMPRODUCT(C113,ncap*(cap*10^-6)*(Rout+(esr/(ncap*1000)))))</f>
        <v>1+0.0383594157389789j</v>
      </c>
      <c r="L113" s="136">
        <f t="shared" ref="L113:L176" si="77">(IMPRODUCT(C113,C113))/Gdo^2 + 1</f>
        <v>0.99991965400430449</v>
      </c>
      <c r="M113" s="136" t="str">
        <f t="shared" ref="M113:M176" si="78">IMDIV(C113,Q*Gdo)</f>
        <v>0.00280731055750112j</v>
      </c>
      <c r="N113" s="136" t="str">
        <f t="shared" si="11"/>
        <v>0.999919654004304+0.00280731055750112j</v>
      </c>
      <c r="O113" s="136" t="str">
        <f t="shared" si="12"/>
        <v>1.00002268010139+0.0126144679376874j</v>
      </c>
      <c r="P113" s="136" t="str">
        <f t="shared" si="13"/>
        <v>7.07285196142437+0.0892182408166496j</v>
      </c>
      <c r="Q113" s="136"/>
      <c r="R113" s="136">
        <f t="shared" si="14"/>
        <v>11.787819253438114</v>
      </c>
      <c r="S113" s="136" t="str">
        <f t="shared" si="15"/>
        <v>1+0.000012238376337926j</v>
      </c>
      <c r="T113" s="136" t="str">
        <f t="shared" si="16"/>
        <v>0.999989885038428+0.000996071373538171j</v>
      </c>
      <c r="U113" s="136" t="str">
        <f t="shared" si="39"/>
        <v>1.00000913506711-0.000983852048004749j</v>
      </c>
      <c r="V113" s="136" t="str">
        <f t="shared" si="40"/>
        <v>11.7879269359581-0.0115974701140049j</v>
      </c>
      <c r="W113" s="136"/>
      <c r="X113" s="136" t="str">
        <f t="shared" si="17"/>
        <v>1.6680531645845+0.0206544317929158j</v>
      </c>
      <c r="Y113" s="136">
        <f t="shared" si="41"/>
        <v>4.4448635905683282</v>
      </c>
      <c r="Z113" s="136">
        <f t="shared" si="42"/>
        <v>-179.29057938959659</v>
      </c>
      <c r="AA113" s="136"/>
      <c r="AB113" s="136" t="str">
        <f t="shared" si="18"/>
        <v>9.26680961439481-0.00911708633239691j</v>
      </c>
      <c r="AC113" s="136">
        <f t="shared" si="43"/>
        <v>19.338609015327602</v>
      </c>
      <c r="AD113" s="136">
        <f t="shared" si="44"/>
        <v>179.943629963116</v>
      </c>
      <c r="AE113" s="136"/>
      <c r="AF113" s="136" t="str">
        <f t="shared" si="45"/>
        <v>3.47301314858286-0.030303069143786j</v>
      </c>
      <c r="AG113" s="136">
        <f t="shared" si="46"/>
        <v>10.81445916971016</v>
      </c>
      <c r="AH113" s="136">
        <f t="shared" si="47"/>
        <v>179.50009002685195</v>
      </c>
      <c r="AI113" s="136"/>
      <c r="AJ113" s="136" t="str">
        <f t="shared" si="19"/>
        <v>99999.656158539-185.429306929001j</v>
      </c>
      <c r="AK113" s="136" t="str">
        <f t="shared" si="20"/>
        <v>19047.6190472175-0.0874590214469508j</v>
      </c>
      <c r="AL113" s="136" t="str">
        <f t="shared" si="21"/>
        <v>10000-119841605.305236j</v>
      </c>
      <c r="AM113" s="136" t="str">
        <f t="shared" si="22"/>
        <v>963.139116905507-37192222.3915336j</v>
      </c>
      <c r="AN113" s="136" t="str">
        <f t="shared" si="48"/>
        <v>10963.1391169055-37192222.3915336j</v>
      </c>
      <c r="AO113" s="136" t="str">
        <f t="shared" si="49"/>
        <v>19047.6110862018-9.84249725959165j</v>
      </c>
      <c r="AP113" s="136" t="str">
        <f t="shared" si="50"/>
        <v>0.160000074715664+0.000248600712116105j</v>
      </c>
      <c r="AQ113" s="136" t="str">
        <f t="shared" si="23"/>
        <v>1+0.0029668791122245j</v>
      </c>
      <c r="AR113" s="136" t="str">
        <f t="shared" si="24"/>
        <v>1+5.92191439565768E-06j</v>
      </c>
      <c r="AS113" s="136" t="str">
        <f t="shared" si="25"/>
        <v>9.29004022015295E-09j</v>
      </c>
      <c r="AT113" s="136" t="str">
        <f t="shared" si="51"/>
        <v>-5.50148229159626E-14+9.29004022015295E-09j</v>
      </c>
      <c r="AU113" s="179" t="str">
        <f t="shared" si="52"/>
        <v>318723.829774362-107642162.34126j</v>
      </c>
      <c r="AV113" s="136" t="str">
        <f t="shared" si="26"/>
        <v>7999.99981934559-1.20217938912599j</v>
      </c>
      <c r="AW113" s="136"/>
      <c r="AX113" s="136" t="str">
        <f t="shared" si="27"/>
        <v>0.499999988709099-0.0000751362118203744j</v>
      </c>
      <c r="AY113" s="136"/>
      <c r="AZ113" s="136" t="str">
        <f t="shared" si="28"/>
        <v>4.89240068017563-1076.41703674556j</v>
      </c>
      <c r="BA113" s="136" t="str">
        <f t="shared" si="29"/>
        <v>2.36532238636823-538.208873815516j</v>
      </c>
      <c r="BB113" s="136">
        <f t="shared" si="53"/>
        <v>54.619100960031226</v>
      </c>
      <c r="BC113" s="136">
        <f t="shared" si="54"/>
        <v>90.251802086549603</v>
      </c>
      <c r="BD113" s="136" t="str">
        <f t="shared" si="30"/>
        <v>17.0120954637022-4987.50073127462j</v>
      </c>
      <c r="BE113" s="136">
        <f t="shared" si="55"/>
        <v>73.95770997535881</v>
      </c>
      <c r="BF113" s="136">
        <f t="shared" si="56"/>
        <v>90.195432049665584</v>
      </c>
      <c r="BG113" s="136"/>
      <c r="BH113" s="136" t="str">
        <f t="shared" si="31"/>
        <v>-8.09458496853654-1869.27817197308j</v>
      </c>
      <c r="BI113" s="136">
        <f t="shared" si="57"/>
        <v>65.43356012974138</v>
      </c>
      <c r="BJ113" s="136">
        <f t="shared" si="58"/>
        <v>89.751892113401553</v>
      </c>
      <c r="BK113" s="136"/>
      <c r="BL113" s="136">
        <f t="shared" si="59"/>
        <v>-64.43356012974138</v>
      </c>
      <c r="BM113" s="136">
        <f t="shared" si="60"/>
        <v>-89.751892113401553</v>
      </c>
      <c r="BN113" s="136"/>
      <c r="BO113" s="189"/>
      <c r="BP113" s="189" t="str">
        <f t="shared" si="32"/>
        <v>0.00001+1.85429944514031E-08j</v>
      </c>
      <c r="BQ113" s="189" t="str">
        <f t="shared" si="33"/>
        <v>2.75071693296534E-11+9.27141561525543E-09j</v>
      </c>
      <c r="BR113" s="189" t="str">
        <f t="shared" si="34"/>
        <v>-0.000357777038686403-0.000231868477323104j</v>
      </c>
      <c r="BS113" s="189" t="str">
        <f t="shared" si="35"/>
        <v>0.0000625000275071693+2.78144100666585E-08j</v>
      </c>
      <c r="BT113" s="189" t="str">
        <f t="shared" si="61"/>
        <v>-2.2354625474424E-08-1.45017375680059E-08j</v>
      </c>
      <c r="BU113" s="189" t="str">
        <f t="shared" si="62"/>
        <v>-2.75071693296534E-11-9.27141561525543E-09j</v>
      </c>
      <c r="BV113" s="189" t="str">
        <f t="shared" si="63"/>
        <v>-2.23821326437537E-08-2.37731531832613E-08j</v>
      </c>
      <c r="BW113" s="189" t="str">
        <f t="shared" si="36"/>
        <v>0.999999999129036-0.0000295120936837811j</v>
      </c>
      <c r="BX113" s="189" t="str">
        <f t="shared" si="64"/>
        <v>-0.00001-1.85429944514031E-08j</v>
      </c>
      <c r="BY113" s="189" t="str">
        <f t="shared" si="65"/>
        <v>210.346476499347-222.603949908692j</v>
      </c>
      <c r="BZ113" s="136">
        <f t="shared" si="66"/>
        <v>49.721943130235985</v>
      </c>
      <c r="CA113" s="136">
        <f t="shared" si="67"/>
        <v>133.37830407331305</v>
      </c>
      <c r="CB113" s="189" t="str">
        <f t="shared" si="37"/>
        <v>1947.21125134897-2064.74617020209j</v>
      </c>
      <c r="CC113" s="136" t="str">
        <f t="shared" si="38"/>
        <v>723.790495754543-779.480588780879j</v>
      </c>
      <c r="CD113" s="136">
        <f t="shared" si="68"/>
        <v>60.536402299946133</v>
      </c>
      <c r="CE113" s="136">
        <f t="shared" si="69"/>
        <v>132.87839410016494</v>
      </c>
      <c r="CF113" s="136"/>
      <c r="CG113" s="136">
        <f t="shared" si="70"/>
        <v>-59.536402299946133</v>
      </c>
      <c r="CH113" s="136">
        <f t="shared" si="71"/>
        <v>-132.87839410016494</v>
      </c>
      <c r="CI113" s="77"/>
      <c r="CJ113" s="189"/>
      <c r="CK113" s="189"/>
      <c r="CL113" s="189"/>
      <c r="CM113" s="77"/>
      <c r="CN113" s="189">
        <v>1000</v>
      </c>
      <c r="CO113" s="189">
        <v>35.869254005637103</v>
      </c>
      <c r="CP113" s="189">
        <v>84.355819097478502</v>
      </c>
      <c r="CQ113" s="74"/>
      <c r="CR113" s="75"/>
      <c r="CS113" s="75"/>
      <c r="CT113" s="75"/>
      <c r="CU113" s="74"/>
      <c r="CV113" s="75"/>
      <c r="CW113" s="75"/>
      <c r="CX113" s="75"/>
      <c r="CY113" s="74"/>
      <c r="CZ113" s="75"/>
      <c r="DA113" s="75"/>
      <c r="DB113" s="75"/>
      <c r="DC113" s="74"/>
      <c r="DD113" s="75"/>
      <c r="DE113" s="75"/>
      <c r="DF113" s="75"/>
      <c r="DG113" s="74"/>
      <c r="DH113" s="75"/>
      <c r="DI113" s="75"/>
      <c r="DJ113" s="75"/>
      <c r="DK113" s="74"/>
      <c r="DL113" s="75"/>
      <c r="DM113" s="75"/>
      <c r="DN113" s="75"/>
      <c r="DO113" s="76"/>
    </row>
    <row r="114" spans="1:119" x14ac:dyDescent="0.25">
      <c r="A114" s="136">
        <v>65</v>
      </c>
      <c r="B114" s="136">
        <f t="shared" si="72"/>
        <v>89.125093813374562</v>
      </c>
      <c r="C114" s="136" t="str">
        <f t="shared" ref="C114:C177" si="79">COMPLEX(0,2*PI()*B114,"j")</f>
        <v>559.989479949197j</v>
      </c>
      <c r="D114" s="136">
        <f t="shared" si="73"/>
        <v>0.99999980141794131</v>
      </c>
      <c r="E114" s="136" t="str">
        <f t="shared" si="74"/>
        <v>-0.000699986849936496j</v>
      </c>
      <c r="F114" s="136" t="str">
        <f t="shared" ref="F114:F177" si="80">IMSUM(D114,E114)</f>
        <v>0.999999801417941-0.000699986849936496j</v>
      </c>
      <c r="G114" s="136">
        <f t="shared" ref="G114:G177" si="81">20*LOG(IMABS(F114),10)</f>
        <v>4.0310131148987769E-7</v>
      </c>
      <c r="H114" s="136">
        <f t="shared" ref="H114:H177" si="82">(IMARGUMENT(F114)*(180/PI()))</f>
        <v>-4.0106293629959926E-2</v>
      </c>
      <c r="I114" s="136"/>
      <c r="J114" s="136">
        <f t="shared" si="75"/>
        <v>7.0726915520628681</v>
      </c>
      <c r="K114" s="136" t="str">
        <f t="shared" si="76"/>
        <v>1+0.0411028545019511j</v>
      </c>
      <c r="L114" s="136">
        <f t="shared" si="77"/>
        <v>0.99990775045406954</v>
      </c>
      <c r="M114" s="136" t="str">
        <f t="shared" si="78"/>
        <v>0.00300808745815979j</v>
      </c>
      <c r="N114" s="136" t="str">
        <f t="shared" ref="N114:N177" si="83">IMSUM(L114,M114)</f>
        <v>0.99990775045407+0.00300808745815979j</v>
      </c>
      <c r="O114" s="136" t="str">
        <f t="shared" si="12"/>
        <v>1.00002604029736+0.0135166625899722j</v>
      </c>
      <c r="P114" s="136" t="str">
        <f t="shared" si="13"/>
        <v>7.07287572705402+0.0955991853121806j</v>
      </c>
      <c r="Q114" s="136"/>
      <c r="R114" s="136">
        <f t="shared" si="14"/>
        <v>11.787819253438114</v>
      </c>
      <c r="S114" s="136" t="str">
        <f t="shared" si="15"/>
        <v>1+0.0000131136565108509j</v>
      </c>
      <c r="T114" s="136" t="str">
        <f t="shared" si="16"/>
        <v>0.99998838647024+0.00106730970614069j</v>
      </c>
      <c r="U114" s="136" t="str">
        <f t="shared" si="39"/>
        <v>1.00001048847288-0.00105421948728813j</v>
      </c>
      <c r="V114" s="136" t="str">
        <f t="shared" si="40"/>
        <v>11.7879428896607-0.0124269487696047j</v>
      </c>
      <c r="W114" s="136"/>
      <c r="X114" s="136" t="str">
        <f t="shared" si="17"/>
        <v>1.6680594866057+0.0221316487448457j</v>
      </c>
      <c r="Y114" s="136">
        <f t="shared" si="41"/>
        <v>4.4449951417419511</v>
      </c>
      <c r="Z114" s="136">
        <f t="shared" si="42"/>
        <v>-179.23984985140623</v>
      </c>
      <c r="AA114" s="136"/>
      <c r="AB114" s="136" t="str">
        <f t="shared" si="18"/>
        <v>9.26682215603384-0.00976916203853317j</v>
      </c>
      <c r="AC114" s="136">
        <f t="shared" si="43"/>
        <v>19.338621393558867</v>
      </c>
      <c r="AD114" s="136">
        <f t="shared" si="44"/>
        <v>179.93959832859537</v>
      </c>
      <c r="AE114" s="136"/>
      <c r="AF114" s="136" t="str">
        <f t="shared" si="45"/>
        <v>3.47297486750003-0.0324699739044926j</v>
      </c>
      <c r="AG114" s="136">
        <f t="shared" si="46"/>
        <v>10.814412409968782</v>
      </c>
      <c r="AH114" s="136">
        <f t="shared" si="47"/>
        <v>179.46433869121569</v>
      </c>
      <c r="AI114" s="136"/>
      <c r="AJ114" s="136" t="str">
        <f t="shared" si="19"/>
        <v>99999.6052173825-198.69098091537j</v>
      </c>
      <c r="AK114" s="136" t="str">
        <f t="shared" si="20"/>
        <v>19047.619047158-0.0937140298973047j</v>
      </c>
      <c r="AL114" s="136" t="str">
        <f t="shared" si="21"/>
        <v>10000-111842693.565527j</v>
      </c>
      <c r="AM114" s="136" t="str">
        <f t="shared" si="22"/>
        <v>963.139116432959-34709801.5107604j</v>
      </c>
      <c r="AN114" s="136" t="str">
        <f t="shared" si="48"/>
        <v>10963.139116433-34709801.5107604j</v>
      </c>
      <c r="AO114" s="136" t="str">
        <f t="shared" si="49"/>
        <v>19047.6099066899-10.5464247995759j</v>
      </c>
      <c r="AP114" s="136" t="str">
        <f t="shared" si="50"/>
        <v>0.160000085785059+0.000266380458763438j</v>
      </c>
      <c r="AQ114" s="136" t="str">
        <f t="shared" si="23"/>
        <v>1+0.00317906824505475j</v>
      </c>
      <c r="AR114" s="136" t="str">
        <f t="shared" si="24"/>
        <v>1+6.34544559891168E-06j</v>
      </c>
      <c r="AS114" s="136" t="str">
        <f t="shared" si="25"/>
        <v>9.95445744232769E-09j</v>
      </c>
      <c r="AT114" s="136" t="str">
        <f t="shared" si="51"/>
        <v>-6.31654681669719E-14+9.95445744232769E-09j</v>
      </c>
      <c r="AU114" s="179" t="str">
        <f t="shared" si="52"/>
        <v>318723.829772705-100457511.213038j</v>
      </c>
      <c r="AV114" s="136" t="str">
        <f t="shared" si="26"/>
        <v>7999.99979258098-1.28815841949762j</v>
      </c>
      <c r="AW114" s="136"/>
      <c r="AX114" s="136" t="str">
        <f t="shared" si="27"/>
        <v>0.499999987036311-0.0000805099012186013j</v>
      </c>
      <c r="AY114" s="136"/>
      <c r="AZ114" s="136" t="str">
        <f t="shared" si="28"/>
        <v>4.89240086921391-1004.57019742815j</v>
      </c>
      <c r="BA114" s="136" t="str">
        <f t="shared" si="29"/>
        <v>2.3653225238213-502.28547957785j</v>
      </c>
      <c r="BB114" s="136">
        <f t="shared" si="53"/>
        <v>54.019108776260019</v>
      </c>
      <c r="BC114" s="136">
        <f t="shared" si="54"/>
        <v>90.269810698394096</v>
      </c>
      <c r="BD114" s="136" t="str">
        <f t="shared" si="30"/>
        <v>17.0121149303148-4654.61331802511j</v>
      </c>
      <c r="BE114" s="136">
        <f t="shared" si="55"/>
        <v>73.357730169818879</v>
      </c>
      <c r="BF114" s="136">
        <f t="shared" si="56"/>
        <v>90.209409026989462</v>
      </c>
      <c r="BG114" s="136"/>
      <c r="BH114" s="136" t="str">
        <f t="shared" si="31"/>
        <v>-8.09449073573517-1744.5016488447j</v>
      </c>
      <c r="BI114" s="136">
        <f t="shared" si="57"/>
        <v>64.833521186228808</v>
      </c>
      <c r="BJ114" s="136">
        <f t="shared" si="58"/>
        <v>89.734149389609797</v>
      </c>
      <c r="BK114" s="136"/>
      <c r="BL114" s="136">
        <f t="shared" si="59"/>
        <v>-63.833521186228808</v>
      </c>
      <c r="BM114" s="136">
        <f t="shared" si="60"/>
        <v>-89.734149389609797</v>
      </c>
      <c r="BN114" s="136"/>
      <c r="BO114" s="189"/>
      <c r="BP114" s="189" t="str">
        <f t="shared" si="32"/>
        <v>0.00001+1.98691765315922E-08j</v>
      </c>
      <c r="BQ114" s="189" t="str">
        <f t="shared" si="33"/>
        <v>3.15824148966023E-11+9.9344878631438E-09j</v>
      </c>
      <c r="BR114" s="189" t="str">
        <f t="shared" si="34"/>
        <v>-0.000357870994171782-0.00024845127437208j</v>
      </c>
      <c r="BS114" s="189" t="str">
        <f t="shared" si="35"/>
        <v>0.0000625000315824149+2.9803664394736E-08j</v>
      </c>
      <c r="BT114" s="189" t="str">
        <f t="shared" si="61"/>
        <v>-2.23595436797668E-08-1.55388783619531E-08j</v>
      </c>
      <c r="BU114" s="189" t="str">
        <f t="shared" si="62"/>
        <v>-3.15824148966023E-11-9.9344878631438E-09j</v>
      </c>
      <c r="BV114" s="189" t="str">
        <f t="shared" si="63"/>
        <v>-2.23911260946634E-08-2.54733662250969E-08j</v>
      </c>
      <c r="BW114" s="189" t="str">
        <f t="shared" si="36"/>
        <v>0.999999999-0.0000316227781160717j</v>
      </c>
      <c r="BX114" s="189" t="str">
        <f t="shared" si="64"/>
        <v>-0.00001-1.98691765315922E-08j</v>
      </c>
      <c r="BY114" s="189" t="str">
        <f t="shared" si="65"/>
        <v>195.095323099256-221.077834337247j</v>
      </c>
      <c r="BZ114" s="136">
        <f t="shared" si="66"/>
        <v>49.39207616563489</v>
      </c>
      <c r="CA114" s="136">
        <f t="shared" si="67"/>
        <v>131.42754814783905</v>
      </c>
      <c r="CB114" s="189" t="str">
        <f t="shared" si="37"/>
        <v>1805.753917448-2050.5948912687j</v>
      </c>
      <c r="CC114" s="136" t="str">
        <f t="shared" si="38"/>
        <v>670.382762378723-774.132502464517j</v>
      </c>
      <c r="CD114" s="136">
        <f t="shared" si="68"/>
        <v>60.206488575603679</v>
      </c>
      <c r="CE114" s="136">
        <f t="shared" si="69"/>
        <v>130.89188683905473</v>
      </c>
      <c r="CF114" s="136"/>
      <c r="CG114" s="136">
        <f t="shared" si="70"/>
        <v>-59.206488575603679</v>
      </c>
      <c r="CH114" s="136">
        <f t="shared" si="71"/>
        <v>-130.89188683905473</v>
      </c>
      <c r="CI114" s="77"/>
      <c r="CJ114" s="189"/>
      <c r="CK114" s="189"/>
      <c r="CL114" s="189"/>
      <c r="CM114" s="77"/>
      <c r="CN114" s="189">
        <v>1047.12854805089</v>
      </c>
      <c r="CO114" s="189">
        <v>35.450424081981801</v>
      </c>
      <c r="CP114" s="189">
        <v>83.992814583167998</v>
      </c>
      <c r="CQ114" s="74"/>
      <c r="CR114" s="75"/>
      <c r="CS114" s="75"/>
      <c r="CT114" s="75"/>
      <c r="CU114" s="74"/>
      <c r="CV114" s="75"/>
      <c r="CW114" s="75"/>
      <c r="CX114" s="75"/>
      <c r="CY114" s="74"/>
      <c r="CZ114" s="75"/>
      <c r="DA114" s="75"/>
      <c r="DB114" s="75"/>
      <c r="DC114" s="74"/>
      <c r="DD114" s="75"/>
      <c r="DE114" s="75"/>
      <c r="DF114" s="75"/>
      <c r="DG114" s="74"/>
      <c r="DH114" s="75"/>
      <c r="DI114" s="75"/>
      <c r="DJ114" s="75"/>
      <c r="DK114" s="74"/>
      <c r="DL114" s="75"/>
      <c r="DM114" s="75"/>
      <c r="DN114" s="75"/>
      <c r="DO114" s="76"/>
    </row>
    <row r="115" spans="1:119" x14ac:dyDescent="0.25">
      <c r="A115" s="136">
        <v>66</v>
      </c>
      <c r="B115" s="136">
        <f t="shared" si="72"/>
        <v>95.499258602143655</v>
      </c>
      <c r="C115" s="136" t="str">
        <f t="shared" si="79"/>
        <v>600.039538495533j</v>
      </c>
      <c r="D115" s="136">
        <f t="shared" si="73"/>
        <v>0.99999977199729018</v>
      </c>
      <c r="E115" s="136" t="str">
        <f t="shared" si="74"/>
        <v>-0.000750049423119416j</v>
      </c>
      <c r="F115" s="136" t="str">
        <f t="shared" si="80"/>
        <v>0.99999977199729-0.000750049423119416j</v>
      </c>
      <c r="G115" s="136">
        <f t="shared" si="81"/>
        <v>4.6282225895172315E-7</v>
      </c>
      <c r="H115" s="136">
        <f t="shared" si="82"/>
        <v>-4.2974668110492539E-2</v>
      </c>
      <c r="I115" s="136"/>
      <c r="J115" s="136">
        <f t="shared" si="75"/>
        <v>7.0726915520628681</v>
      </c>
      <c r="K115" s="136" t="str">
        <f t="shared" si="76"/>
        <v>1+0.0440425020992131j</v>
      </c>
      <c r="L115" s="136">
        <f t="shared" si="77"/>
        <v>0.99989408334975849</v>
      </c>
      <c r="M115" s="136" t="str">
        <f t="shared" si="78"/>
        <v>0.00322322378326134j</v>
      </c>
      <c r="N115" s="136" t="str">
        <f t="shared" si="83"/>
        <v>0.999894083349758+0.00322322378326134j</v>
      </c>
      <c r="O115" s="136" t="str">
        <f t="shared" si="12"/>
        <v>1.00002989833661+0.0144833854154742j</v>
      </c>
      <c r="P115" s="136" t="str">
        <f t="shared" si="13"/>
        <v>7.07290301377563+0.102436517673295j</v>
      </c>
      <c r="Q115" s="136"/>
      <c r="R115" s="136">
        <f t="shared" si="14"/>
        <v>11.787819253438114</v>
      </c>
      <c r="S115" s="136" t="str">
        <f t="shared" si="15"/>
        <v>1+0.0000140515361136315j</v>
      </c>
      <c r="T115" s="136" t="str">
        <f t="shared" si="16"/>
        <v>0.999986665883748+0.00114364295479722j</v>
      </c>
      <c r="U115" s="136" t="str">
        <f t="shared" si="39"/>
        <v>1.00001204239458-0.00112962025337109j</v>
      </c>
      <c r="V115" s="136" t="str">
        <f t="shared" si="40"/>
        <v>11.7879612070088-0.0133157593717614j</v>
      </c>
      <c r="W115" s="136"/>
      <c r="X115" s="136" t="str">
        <f t="shared" si="17"/>
        <v>1.66806674528954+0.023714521292215j</v>
      </c>
      <c r="Y115" s="136">
        <f t="shared" si="41"/>
        <v>4.4451461786855155</v>
      </c>
      <c r="Z115" s="136">
        <f t="shared" si="42"/>
        <v>-179.18549395176214</v>
      </c>
      <c r="AA115" s="136"/>
      <c r="AB115" s="136" t="str">
        <f t="shared" si="18"/>
        <v>9.26683655579883-0.0104678801997662j</v>
      </c>
      <c r="AC115" s="136">
        <f t="shared" si="43"/>
        <v>19.338635605689262</v>
      </c>
      <c r="AD115" s="136">
        <f t="shared" si="44"/>
        <v>179.93527833396203</v>
      </c>
      <c r="AE115" s="136"/>
      <c r="AF115" s="136" t="str">
        <f t="shared" si="45"/>
        <v>3.47293091595265-0.0347917736752285j</v>
      </c>
      <c r="AG115" s="136">
        <f t="shared" si="46"/>
        <v>10.814358723223149</v>
      </c>
      <c r="AH115" s="136">
        <f t="shared" si="47"/>
        <v>179.42603087738087</v>
      </c>
      <c r="AI115" s="136"/>
      <c r="AJ115" s="136" t="str">
        <f t="shared" si="19"/>
        <v>99999.5467291731-212.901097304812j</v>
      </c>
      <c r="AK115" s="136" t="str">
        <f t="shared" si="20"/>
        <v>19047.6190470897-0.100416392206216j</v>
      </c>
      <c r="AL115" s="136" t="str">
        <f t="shared" si="21"/>
        <v>10000-104377674.782748j</v>
      </c>
      <c r="AM115" s="136" t="str">
        <f t="shared" si="22"/>
        <v>963.139115890396-32393071.5479387j</v>
      </c>
      <c r="AN115" s="136" t="str">
        <f t="shared" si="48"/>
        <v>10963.1391158904-32393071.5479387j</v>
      </c>
      <c r="AO115" s="136" t="str">
        <f t="shared" si="49"/>
        <v>19047.6085524294-11.3006965119423j</v>
      </c>
      <c r="AP115" s="136" t="str">
        <f t="shared" si="50"/>
        <v>0.160000098494426+0.000285431799717434j</v>
      </c>
      <c r="AQ115" s="136" t="str">
        <f t="shared" si="23"/>
        <v>1+0.003406432997244j</v>
      </c>
      <c r="AR115" s="136" t="str">
        <f t="shared" si="24"/>
        <v>1+6.79926745956886E-06j</v>
      </c>
      <c r="AS115" s="136" t="str">
        <f t="shared" si="25"/>
        <v>1.06663933226203E-08j</v>
      </c>
      <c r="AT115" s="136" t="str">
        <f t="shared" si="51"/>
        <v>-7.25236610294548E-14+1.06663933226203E-08j</v>
      </c>
      <c r="AU115" s="179" t="str">
        <f t="shared" si="52"/>
        <v>318723.829770803-93752404.6665626j</v>
      </c>
      <c r="AV115" s="136" t="str">
        <f t="shared" si="26"/>
        <v>7999.9997618511-1.38028660939405j</v>
      </c>
      <c r="AW115" s="136"/>
      <c r="AX115" s="136" t="str">
        <f t="shared" si="27"/>
        <v>0.499999985115694-0.0000862679130871281j</v>
      </c>
      <c r="AY115" s="136"/>
      <c r="AZ115" s="136" t="str">
        <f t="shared" si="28"/>
        <v>4.89240108625891-937.51878046738j</v>
      </c>
      <c r="BA115" s="136" t="str">
        <f t="shared" si="29"/>
        <v>2.36532268163855-468.759798336605j</v>
      </c>
      <c r="BB115" s="136">
        <f t="shared" si="53"/>
        <v>53.419117750480972</v>
      </c>
      <c r="BC115" s="136">
        <f t="shared" si="54"/>
        <v>90.289107250977864</v>
      </c>
      <c r="BD115" s="136" t="str">
        <f t="shared" si="30"/>
        <v>17.0121372810141-4343.945195029j</v>
      </c>
      <c r="BE115" s="136">
        <f t="shared" si="55"/>
        <v>72.757753356170241</v>
      </c>
      <c r="BF115" s="136">
        <f t="shared" si="56"/>
        <v>90.224385584939895</v>
      </c>
      <c r="BG115" s="136"/>
      <c r="BH115" s="136" t="str">
        <f t="shared" si="31"/>
        <v>-8.09438254450633-1628.05268957033j</v>
      </c>
      <c r="BI115" s="136">
        <f t="shared" si="57"/>
        <v>64.233476473704101</v>
      </c>
      <c r="BJ115" s="136">
        <f t="shared" si="58"/>
        <v>89.715138128358745</v>
      </c>
      <c r="BK115" s="136"/>
      <c r="BL115" s="136">
        <f t="shared" si="59"/>
        <v>-63.233476473704101</v>
      </c>
      <c r="BM115" s="136">
        <f t="shared" si="60"/>
        <v>-89.715138128358745</v>
      </c>
      <c r="BN115" s="136"/>
      <c r="BO115" s="189"/>
      <c r="BP115" s="189" t="str">
        <f t="shared" si="32"/>
        <v>0.00001+2.1290206232775E-08j</v>
      </c>
      <c r="BQ115" s="189" t="str">
        <f t="shared" si="33"/>
        <v>3.62614097450971E-11+1.06449795943248E-08j</v>
      </c>
      <c r="BR115" s="189" t="str">
        <f t="shared" si="34"/>
        <v>-0.000357978869245751-0.000266219998139889j</v>
      </c>
      <c r="BS115" s="189" t="str">
        <f t="shared" si="35"/>
        <v>0.0000625000362614097+3.19351858270998E-08j</v>
      </c>
      <c r="BT115" s="189" t="str">
        <f t="shared" si="61"/>
        <v>-2.23651905235664E-08-1.6650191658967E-08j</v>
      </c>
      <c r="BU115" s="189" t="str">
        <f t="shared" si="62"/>
        <v>-3.62614097450971E-11-1.06449795943248E-08j</v>
      </c>
      <c r="BV115" s="189" t="str">
        <f t="shared" si="63"/>
        <v>-2.24014519333115E-08-2.72951712532918E-08j</v>
      </c>
      <c r="BW115" s="189" t="str">
        <f t="shared" si="36"/>
        <v>0.999999998851846-0.0000338844172315961j</v>
      </c>
      <c r="BX115" s="189" t="str">
        <f t="shared" si="64"/>
        <v>-0.00001-2.1290206232775E-08j</v>
      </c>
      <c r="BY115" s="189" t="str">
        <f t="shared" si="65"/>
        <v>180.122829556436-218.536375762976j</v>
      </c>
      <c r="BZ115" s="136">
        <f t="shared" si="66"/>
        <v>49.041872629513144</v>
      </c>
      <c r="CA115" s="136">
        <f t="shared" si="67"/>
        <v>129.49615081826073</v>
      </c>
      <c r="CB115" s="189" t="str">
        <f t="shared" si="37"/>
        <v>1666.88120886672-2027.02637989317j</v>
      </c>
      <c r="CC115" s="136" t="str">
        <f t="shared" si="38"/>
        <v>617.950875310065-765.228528367153j</v>
      </c>
      <c r="CD115" s="136">
        <f t="shared" si="68"/>
        <v>59.85623135273628</v>
      </c>
      <c r="CE115" s="136">
        <f t="shared" si="69"/>
        <v>128.9221816956416</v>
      </c>
      <c r="CF115" s="136"/>
      <c r="CG115" s="136">
        <f t="shared" si="70"/>
        <v>-58.85623135273628</v>
      </c>
      <c r="CH115" s="136">
        <f t="shared" si="71"/>
        <v>-128.9221816956416</v>
      </c>
      <c r="CI115" s="77"/>
      <c r="CJ115" s="189"/>
      <c r="CK115" s="189"/>
      <c r="CL115" s="189"/>
      <c r="CM115" s="77"/>
      <c r="CN115" s="189">
        <v>1096.47819614318</v>
      </c>
      <c r="CO115" s="189">
        <v>35.0298815017387</v>
      </c>
      <c r="CP115" s="189">
        <v>83.621537135320196</v>
      </c>
      <c r="CQ115" s="74"/>
      <c r="CR115" s="75"/>
      <c r="CS115" s="75"/>
      <c r="CT115" s="75"/>
      <c r="CU115" s="74"/>
      <c r="CV115" s="75"/>
      <c r="CW115" s="75"/>
      <c r="CX115" s="75"/>
      <c r="CY115" s="74"/>
      <c r="CZ115" s="75"/>
      <c r="DA115" s="75"/>
      <c r="DB115" s="75"/>
      <c r="DC115" s="74"/>
      <c r="DD115" s="75"/>
      <c r="DE115" s="75"/>
      <c r="DF115" s="75"/>
      <c r="DG115" s="74"/>
      <c r="DH115" s="75"/>
      <c r="DI115" s="75"/>
      <c r="DJ115" s="75"/>
      <c r="DK115" s="74"/>
      <c r="DL115" s="75"/>
      <c r="DM115" s="75"/>
      <c r="DN115" s="75"/>
      <c r="DO115" s="76"/>
    </row>
    <row r="116" spans="1:119" x14ac:dyDescent="0.25">
      <c r="A116" s="136">
        <v>67</v>
      </c>
      <c r="B116" s="136">
        <f t="shared" si="72"/>
        <v>102.32929922807544</v>
      </c>
      <c r="C116" s="136" t="str">
        <f t="shared" si="79"/>
        <v>642.953949403827j</v>
      </c>
      <c r="D116" s="136">
        <f t="shared" si="73"/>
        <v>0.99999973821786303</v>
      </c>
      <c r="E116" s="136" t="str">
        <f t="shared" si="74"/>
        <v>-0.000803692436754784j</v>
      </c>
      <c r="F116" s="136" t="str">
        <f t="shared" si="80"/>
        <v>0.999999738217863-0.000803692436754784j</v>
      </c>
      <c r="G116" s="136">
        <f t="shared" si="81"/>
        <v>5.3139108933668964E-7</v>
      </c>
      <c r="H116" s="136">
        <f t="shared" si="82"/>
        <v>-4.6048186792720686E-2</v>
      </c>
      <c r="I116" s="136"/>
      <c r="J116" s="136">
        <f t="shared" si="75"/>
        <v>7.0726915520628681</v>
      </c>
      <c r="K116" s="136" t="str">
        <f t="shared" si="76"/>
        <v>1+0.0471923912502746j</v>
      </c>
      <c r="L116" s="136">
        <f t="shared" si="77"/>
        <v>0.99987839141444834</v>
      </c>
      <c r="M116" s="136" t="str">
        <f t="shared" si="78"/>
        <v>0.00345374650886552j</v>
      </c>
      <c r="N116" s="136" t="str">
        <f t="shared" si="83"/>
        <v>0.999878391414448+0.00345374650886552j</v>
      </c>
      <c r="O116" s="136" t="str">
        <f t="shared" si="12"/>
        <v>1.00003432798219+0.0155192523082148j</v>
      </c>
      <c r="P116" s="136" t="str">
        <f t="shared" si="13"/>
        <v>7.0729343432925+0.109762884694643j</v>
      </c>
      <c r="Q116" s="136"/>
      <c r="R116" s="136">
        <f t="shared" si="14"/>
        <v>11.787819253438114</v>
      </c>
      <c r="S116" s="136" t="str">
        <f t="shared" si="15"/>
        <v>1+0.0000150564922139996j</v>
      </c>
      <c r="T116" s="136" t="str">
        <f t="shared" si="16"/>
        <v>0.999984690386136+0.00122543550436421j</v>
      </c>
      <c r="U116" s="136" t="str">
        <f t="shared" si="39"/>
        <v>1.00001382654066-0.00121041448666244j</v>
      </c>
      <c r="V116" s="136" t="str">
        <f t="shared" si="40"/>
        <v>11.7879822382003-0.0142681471905199j</v>
      </c>
      <c r="W116" s="136"/>
      <c r="X116" s="136" t="str">
        <f t="shared" si="17"/>
        <v>1.66807507941628+0.025410607246493j</v>
      </c>
      <c r="Y116" s="136">
        <f t="shared" si="41"/>
        <v>4.4453195870097204</v>
      </c>
      <c r="Z116" s="136">
        <f t="shared" si="42"/>
        <v>-179.12725274552469</v>
      </c>
      <c r="AA116" s="136"/>
      <c r="AB116" s="136" t="str">
        <f t="shared" si="18"/>
        <v>9.26685308898983-0.0112165781382122j</v>
      </c>
      <c r="AC116" s="136">
        <f t="shared" si="43"/>
        <v>19.338651923423996</v>
      </c>
      <c r="AD116" s="136">
        <f t="shared" si="44"/>
        <v>179.93064935120046</v>
      </c>
      <c r="AE116" s="136"/>
      <c r="AF116" s="136" t="str">
        <f t="shared" si="45"/>
        <v>3.4728804541644-0.0372795279039774j</v>
      </c>
      <c r="AG116" s="136">
        <f t="shared" si="46"/>
        <v>10.814297083410231</v>
      </c>
      <c r="AH116" s="136">
        <f t="shared" si="47"/>
        <v>179.38498384737798</v>
      </c>
      <c r="AI116" s="136"/>
      <c r="AJ116" s="136" t="str">
        <f t="shared" si="19"/>
        <v>99999.4795758081-228.127482672298j</v>
      </c>
      <c r="AK116" s="136" t="str">
        <f t="shared" si="20"/>
        <v>19047.6190470112-0.107598102810829j</v>
      </c>
      <c r="AL116" s="136" t="str">
        <f t="shared" si="21"/>
        <v>10000-97410913.8981891j</v>
      </c>
      <c r="AM116" s="136" t="str">
        <f t="shared" si="22"/>
        <v>963.13911526745-30230973.3469371j</v>
      </c>
      <c r="AN116" s="136" t="str">
        <f t="shared" si="48"/>
        <v>10963.1391152674-30230973.3469371j</v>
      </c>
      <c r="AO116" s="136" t="str">
        <f t="shared" si="49"/>
        <v>19047.6069975305-12.1089129225295j</v>
      </c>
      <c r="AP116" s="136" t="str">
        <f t="shared" si="50"/>
        <v>0.16000011308673+0.000305845678330429j</v>
      </c>
      <c r="AQ116" s="136" t="str">
        <f t="shared" si="23"/>
        <v>1+0.00365005871854536j</v>
      </c>
      <c r="AR116" s="136" t="str">
        <f t="shared" si="24"/>
        <v>1+7.28554634440192E-06j</v>
      </c>
      <c r="AS116" s="136" t="str">
        <f t="shared" si="25"/>
        <v>1.14292463624452E-08j</v>
      </c>
      <c r="AT116" s="136" t="str">
        <f t="shared" si="51"/>
        <v>-8.32683040551816E-14+1.14292463624452E-08j</v>
      </c>
      <c r="AU116" s="179" t="str">
        <f t="shared" si="52"/>
        <v>318723.82976862-87494835.1647615j</v>
      </c>
      <c r="AV116" s="136" t="str">
        <f t="shared" si="26"/>
        <v>7999.99972656848-1.4790037422038j</v>
      </c>
      <c r="AW116" s="136"/>
      <c r="AX116" s="136" t="str">
        <f t="shared" si="27"/>
        <v>0.49999998291053-0.0000924377338877375j</v>
      </c>
      <c r="AY116" s="136"/>
      <c r="AZ116" s="136" t="str">
        <f t="shared" si="28"/>
        <v>4.89240133545991-874.94270881461j</v>
      </c>
      <c r="BA116" s="136" t="str">
        <f t="shared" si="29"/>
        <v>2.36532286283699-437.471791697491j</v>
      </c>
      <c r="BB116" s="136">
        <f t="shared" si="53"/>
        <v>52.819128054251358</v>
      </c>
      <c r="BC116" s="136">
        <f t="shared" si="54"/>
        <v>90.309783851708062</v>
      </c>
      <c r="BD116" s="136" t="str">
        <f t="shared" si="30"/>
        <v>17.0121629431006-4054.01335506652j</v>
      </c>
      <c r="BE116" s="136">
        <f t="shared" si="55"/>
        <v>72.157779977675347</v>
      </c>
      <c r="BF116" s="136">
        <f t="shared" si="56"/>
        <v>90.24043320290852</v>
      </c>
      <c r="BG116" s="136"/>
      <c r="BH116" s="136" t="str">
        <f t="shared" si="31"/>
        <v>-8.09425832765485-1519.37541275416j</v>
      </c>
      <c r="BI116" s="136">
        <f t="shared" si="57"/>
        <v>63.633425137661568</v>
      </c>
      <c r="BJ116" s="136">
        <f t="shared" si="58"/>
        <v>89.694767699086043</v>
      </c>
      <c r="BK116" s="136"/>
      <c r="BL116" s="136">
        <f t="shared" si="59"/>
        <v>-62.633425137661568</v>
      </c>
      <c r="BM116" s="136">
        <f t="shared" si="60"/>
        <v>-89.694767699086043</v>
      </c>
      <c r="BN116" s="136"/>
      <c r="BO116" s="189"/>
      <c r="BP116" s="189" t="str">
        <f t="shared" si="32"/>
        <v>0.00001+2.28128669909085E-08j</v>
      </c>
      <c r="BQ116" s="189" t="str">
        <f t="shared" si="33"/>
        <v>4.1633597346144E-11+1.14062815303793E-08j</v>
      </c>
      <c r="BR116" s="189" t="str">
        <f t="shared" si="34"/>
        <v>-0.000358102726064035-0.000285259450681667j</v>
      </c>
      <c r="BS116" s="189" t="str">
        <f t="shared" si="35"/>
        <v>0.0000625000416335974+3.42191485212878E-08j</v>
      </c>
      <c r="BT116" s="189" t="str">
        <f t="shared" si="61"/>
        <v>-2.23716739525969E-08-1.78409815143504E-08j</v>
      </c>
      <c r="BU116" s="189" t="str">
        <f t="shared" si="62"/>
        <v>-4.1633597346144E-11-1.14062815303793E-08j</v>
      </c>
      <c r="BV116" s="189" t="str">
        <f t="shared" si="63"/>
        <v>-2.2413307549943E-08-2.92472630447297E-08j</v>
      </c>
      <c r="BW116" s="189" t="str">
        <f t="shared" si="36"/>
        <v>0.999999998681743-0.000036307807204205j</v>
      </c>
      <c r="BX116" s="189" t="str">
        <f t="shared" si="64"/>
        <v>-0.00001-2.28128669909085E-08j</v>
      </c>
      <c r="BY116" s="189" t="str">
        <f t="shared" si="65"/>
        <v>165.559373853824-215.037818804525j</v>
      </c>
      <c r="BZ116" s="136">
        <f t="shared" si="66"/>
        <v>48.671796490474676</v>
      </c>
      <c r="CA116" s="136">
        <f t="shared" si="67"/>
        <v>127.59296797325914</v>
      </c>
      <c r="CB116" s="189" t="str">
        <f t="shared" si="37"/>
        <v>1531.80240651124-1994.58088509169j</v>
      </c>
      <c r="CC116" s="136" t="str">
        <f t="shared" si="38"/>
        <v>566.951405094108-752.972613129728j</v>
      </c>
      <c r="CD116" s="136">
        <f t="shared" si="68"/>
        <v>59.486093573884887</v>
      </c>
      <c r="CE116" s="136">
        <f t="shared" si="69"/>
        <v>126.97795182063714</v>
      </c>
      <c r="CF116" s="136"/>
      <c r="CG116" s="136">
        <f t="shared" si="70"/>
        <v>-58.486093573884887</v>
      </c>
      <c r="CH116" s="136">
        <f t="shared" si="71"/>
        <v>-126.97795182063714</v>
      </c>
      <c r="CI116" s="77"/>
      <c r="CJ116" s="189"/>
      <c r="CK116" s="189"/>
      <c r="CL116" s="189"/>
      <c r="CM116" s="77"/>
      <c r="CN116" s="189">
        <v>1148.1536214968801</v>
      </c>
      <c r="CO116" s="189">
        <v>34.607490799747097</v>
      </c>
      <c r="CP116" s="189">
        <v>83.241804226521893</v>
      </c>
      <c r="CQ116" s="74"/>
      <c r="CR116" s="75"/>
      <c r="CS116" s="75"/>
      <c r="CT116" s="75"/>
      <c r="CU116" s="74"/>
      <c r="CV116" s="75"/>
      <c r="CW116" s="75"/>
      <c r="CX116" s="75"/>
      <c r="CY116" s="74"/>
      <c r="CZ116" s="75"/>
      <c r="DA116" s="75"/>
      <c r="DB116" s="75"/>
      <c r="DC116" s="74"/>
      <c r="DD116" s="75"/>
      <c r="DE116" s="75"/>
      <c r="DF116" s="75"/>
      <c r="DG116" s="74"/>
      <c r="DH116" s="75"/>
      <c r="DI116" s="75"/>
      <c r="DJ116" s="75"/>
      <c r="DK116" s="74"/>
      <c r="DL116" s="75"/>
      <c r="DM116" s="75"/>
      <c r="DN116" s="75"/>
      <c r="DO116" s="76"/>
    </row>
    <row r="117" spans="1:119" x14ac:dyDescent="0.25">
      <c r="A117" s="136">
        <v>68</v>
      </c>
      <c r="B117" s="136">
        <f t="shared" si="72"/>
        <v>109.64781961431861</v>
      </c>
      <c r="C117" s="136" t="str">
        <f t="shared" si="79"/>
        <v>688.937569164964j</v>
      </c>
      <c r="D117" s="136">
        <f t="shared" si="73"/>
        <v>0.99999969943389133</v>
      </c>
      <c r="E117" s="136" t="str">
        <f t="shared" si="74"/>
        <v>-0.000861171961456205j</v>
      </c>
      <c r="F117" s="136" t="str">
        <f t="shared" si="80"/>
        <v>0.999999699433891-0.000861171961456205j</v>
      </c>
      <c r="G117" s="136">
        <f t="shared" si="81"/>
        <v>6.1011864545567585E-7</v>
      </c>
      <c r="H117" s="136">
        <f t="shared" si="82"/>
        <v>-4.9341521459325091E-2</v>
      </c>
      <c r="I117" s="136"/>
      <c r="J117" s="136">
        <f t="shared" si="75"/>
        <v>7.0726915520628681</v>
      </c>
      <c r="K117" s="136" t="str">
        <f t="shared" si="76"/>
        <v>1+0.0505675582849956j</v>
      </c>
      <c r="L117" s="136">
        <f t="shared" si="77"/>
        <v>0.99986037466209376</v>
      </c>
      <c r="M117" s="136" t="str">
        <f t="shared" si="78"/>
        <v>0.00370075605964639j</v>
      </c>
      <c r="N117" s="136" t="str">
        <f t="shared" si="83"/>
        <v>0.999860374662094+0.00370075605964639j</v>
      </c>
      <c r="O117" s="136" t="str">
        <f t="shared" si="12"/>
        <v>1.00003941392723+0.0166292094912921j</v>
      </c>
      <c r="P117" s="136" t="str">
        <f t="shared" si="13"/>
        <v>7.07297031461302+0.117613269486545j</v>
      </c>
      <c r="Q117" s="136"/>
      <c r="R117" s="136">
        <f t="shared" si="14"/>
        <v>11.787819253438114</v>
      </c>
      <c r="S117" s="136" t="str">
        <f t="shared" si="15"/>
        <v>1+0.0000161333220764603j</v>
      </c>
      <c r="T117" s="136" t="str">
        <f t="shared" si="16"/>
        <v>0.999982422211398+0.00131307780024983j</v>
      </c>
      <c r="U117" s="136" t="str">
        <f t="shared" si="39"/>
        <v>1.00001587502134-0.00129698812149449j</v>
      </c>
      <c r="V117" s="136" t="str">
        <f t="shared" si="40"/>
        <v>11.7880063853203-0.0152886615500333j</v>
      </c>
      <c r="W117" s="136"/>
      <c r="X117" s="136" t="str">
        <f t="shared" si="17"/>
        <v>1.66808464833025+0.0272280052701996j</v>
      </c>
      <c r="Y117" s="136">
        <f t="shared" si="41"/>
        <v>4.445518679432757</v>
      </c>
      <c r="Z117" s="136">
        <f t="shared" si="42"/>
        <v>-179.06484886226519</v>
      </c>
      <c r="AA117" s="136"/>
      <c r="AB117" s="136" t="str">
        <f t="shared" si="18"/>
        <v>9.26687207169688-0.0120188322011822j</v>
      </c>
      <c r="AC117" s="136">
        <f t="shared" si="43"/>
        <v>19.338670658723956</v>
      </c>
      <c r="AD117" s="136">
        <f t="shared" si="44"/>
        <v>179.92568927591137</v>
      </c>
      <c r="AE117" s="136"/>
      <c r="AF117" s="136" t="str">
        <f t="shared" si="45"/>
        <v>3.47282251804581-0.0399450827362991j</v>
      </c>
      <c r="AG117" s="136">
        <f t="shared" si="46"/>
        <v>10.81422631251449</v>
      </c>
      <c r="AH117" s="136">
        <f t="shared" si="47"/>
        <v>179.34100181686847</v>
      </c>
      <c r="AI117" s="136"/>
      <c r="AJ117" s="136" t="str">
        <f t="shared" si="19"/>
        <v>99999.40247354-244.442813266546j</v>
      </c>
      <c r="AK117" s="136" t="str">
        <f t="shared" si="20"/>
        <v>19047.6190469212-0.115293444368199j</v>
      </c>
      <c r="AL117" s="136" t="str">
        <f t="shared" si="21"/>
        <v>10000-90909154.34005j</v>
      </c>
      <c r="AM117" s="136" t="str">
        <f t="shared" si="22"/>
        <v>963.139114552218-28213185.9027364j</v>
      </c>
      <c r="AN117" s="136" t="str">
        <f t="shared" si="48"/>
        <v>10963.1391145522-28213185.9027364j</v>
      </c>
      <c r="AO117" s="136" t="str">
        <f t="shared" si="49"/>
        <v>19047.6052122684-12.9749320517578j</v>
      </c>
      <c r="AP117" s="136" t="str">
        <f t="shared" si="50"/>
        <v>0.160000129840936+0.000327719542116608j</v>
      </c>
      <c r="AQ117" s="136" t="str">
        <f t="shared" si="23"/>
        <v>1+0.00391110838217219j</v>
      </c>
      <c r="AR117" s="136" t="str">
        <f t="shared" si="24"/>
        <v>1+7.80660355722992E-06j</v>
      </c>
      <c r="AS117" s="136" t="str">
        <f t="shared" si="25"/>
        <v>1.22466581216767E-08j</v>
      </c>
      <c r="AT117" s="136" t="str">
        <f t="shared" si="51"/>
        <v>-9.560480485686E-14+1.22466581216767E-08j</v>
      </c>
      <c r="AU117" s="179" t="str">
        <f t="shared" si="52"/>
        <v>318723.829766114-81654931.5360996j</v>
      </c>
      <c r="AV117" s="136" t="str">
        <f t="shared" si="26"/>
        <v>7999.99968605861-1.58478105426513j</v>
      </c>
      <c r="AW117" s="136"/>
      <c r="AX117" s="136" t="str">
        <f t="shared" si="27"/>
        <v>0.499999980378663-0.0000990488158915706j</v>
      </c>
      <c r="AY117" s="136"/>
      <c r="AZ117" s="136" t="str">
        <f t="shared" si="28"/>
        <v>4.89240162158094-816.543268956596j</v>
      </c>
      <c r="BA117" s="136" t="str">
        <f t="shared" si="29"/>
        <v>2.36532307088063-408.272103043215j</v>
      </c>
      <c r="BB117" s="136">
        <f t="shared" si="53"/>
        <v>52.219139884544461</v>
      </c>
      <c r="BC117" s="136">
        <f t="shared" si="54"/>
        <v>90.331939194247738</v>
      </c>
      <c r="BD117" s="136" t="str">
        <f t="shared" si="30"/>
        <v>17.0121924071838-3783.43377776521j</v>
      </c>
      <c r="BE117" s="136">
        <f t="shared" si="55"/>
        <v>71.557810543268403</v>
      </c>
      <c r="BF117" s="136">
        <f t="shared" si="56"/>
        <v>90.257628470159119</v>
      </c>
      <c r="BG117" s="136"/>
      <c r="BH117" s="136" t="str">
        <f t="shared" si="31"/>
        <v>-8.09411571197655-1417.95103596416j</v>
      </c>
      <c r="BI117" s="136">
        <f t="shared" si="57"/>
        <v>63.033366197058946</v>
      </c>
      <c r="BJ117" s="136">
        <f t="shared" si="58"/>
        <v>89.672941011116222</v>
      </c>
      <c r="BK117" s="136"/>
      <c r="BL117" s="136">
        <f t="shared" si="59"/>
        <v>-62.033366197058946</v>
      </c>
      <c r="BM117" s="136">
        <f t="shared" si="60"/>
        <v>-89.672941011116222</v>
      </c>
      <c r="BN117" s="136"/>
      <c r="BO117" s="189"/>
      <c r="BP117" s="189" t="str">
        <f t="shared" si="32"/>
        <v>0.00001+2.44444273885762E-08j</v>
      </c>
      <c r="BQ117" s="189" t="str">
        <f t="shared" si="33"/>
        <v>4.78016712173181E-11+1.22220267367711E-08j</v>
      </c>
      <c r="BR117" s="189" t="str">
        <f t="shared" si="34"/>
        <v>-0.000358244932272189-0.000305660495674854j</v>
      </c>
      <c r="BS117" s="189" t="str">
        <f t="shared" si="35"/>
        <v>0.0000625000478016712+3.66664541253473E-08j</v>
      </c>
      <c r="BT117" s="189" t="str">
        <f t="shared" si="61"/>
        <v>-2.23791179051757E-08-1.91169311621357E-08j</v>
      </c>
      <c r="BU117" s="189" t="str">
        <f t="shared" si="62"/>
        <v>-4.78016712173181E-11-1.22220267367711E-08j</v>
      </c>
      <c r="BV117" s="189" t="str">
        <f t="shared" si="63"/>
        <v>-2.2426919576393E-08-3.13389578989068E-08j</v>
      </c>
      <c r="BW117" s="189" t="str">
        <f t="shared" si="36"/>
        <v>0.999999998486439-0.0000389045163425524j</v>
      </c>
      <c r="BX117" s="189" t="str">
        <f t="shared" si="64"/>
        <v>-0.00001-2.44444273885762E-08j</v>
      </c>
      <c r="BY117" s="189" t="str">
        <f t="shared" si="65"/>
        <v>151.520800846597-210.659720799332j</v>
      </c>
      <c r="BZ117" s="136">
        <f t="shared" si="66"/>
        <v>48.282477724577078</v>
      </c>
      <c r="CA117" s="136">
        <f t="shared" si="67"/>
        <v>125.72625700730426</v>
      </c>
      <c r="CB117" s="189" t="str">
        <f t="shared" si="37"/>
        <v>1401.59199381064-1953.97778638716j</v>
      </c>
      <c r="CC117" s="136" t="str">
        <f t="shared" si="38"/>
        <v>517.790029155861-737.636332963252j</v>
      </c>
      <c r="CD117" s="136">
        <f t="shared" si="68"/>
        <v>59.096704037091563</v>
      </c>
      <c r="CE117" s="136">
        <f t="shared" si="69"/>
        <v>125.06725882417265</v>
      </c>
      <c r="CF117" s="136"/>
      <c r="CG117" s="136">
        <f t="shared" si="70"/>
        <v>-58.096704037091563</v>
      </c>
      <c r="CH117" s="136">
        <f t="shared" si="71"/>
        <v>-125.06725882417265</v>
      </c>
      <c r="CI117" s="77"/>
      <c r="CJ117" s="189"/>
      <c r="CK117" s="189"/>
      <c r="CL117" s="189"/>
      <c r="CM117" s="77"/>
      <c r="CN117" s="189">
        <v>1202.26443461741</v>
      </c>
      <c r="CO117" s="189">
        <v>34.183107912797198</v>
      </c>
      <c r="CP117" s="189">
        <v>82.853491260890493</v>
      </c>
      <c r="CQ117" s="74"/>
      <c r="CR117" s="75"/>
      <c r="CS117" s="75"/>
      <c r="CT117" s="75"/>
      <c r="CU117" s="74"/>
      <c r="CV117" s="75"/>
      <c r="CW117" s="75"/>
      <c r="CX117" s="75"/>
      <c r="CY117" s="74"/>
      <c r="CZ117" s="75"/>
      <c r="DA117" s="75"/>
      <c r="DB117" s="75"/>
      <c r="DC117" s="74"/>
      <c r="DD117" s="75"/>
      <c r="DE117" s="75"/>
      <c r="DF117" s="75"/>
      <c r="DG117" s="74"/>
      <c r="DH117" s="75"/>
      <c r="DI117" s="75"/>
      <c r="DJ117" s="75"/>
      <c r="DK117" s="74"/>
      <c r="DL117" s="75"/>
      <c r="DM117" s="75"/>
      <c r="DN117" s="75"/>
      <c r="DO117" s="76"/>
    </row>
    <row r="118" spans="1:119" x14ac:dyDescent="0.25">
      <c r="A118" s="136">
        <v>69</v>
      </c>
      <c r="B118" s="136">
        <f t="shared" si="72"/>
        <v>117.48975549395293</v>
      </c>
      <c r="C118" s="136" t="str">
        <f t="shared" si="79"/>
        <v>738.209905463727j</v>
      </c>
      <c r="D118" s="136">
        <f t="shared" si="73"/>
        <v>0.99999965490393383</v>
      </c>
      <c r="E118" s="136" t="str">
        <f t="shared" si="74"/>
        <v>-0.000922762381829659j</v>
      </c>
      <c r="F118" s="136" t="str">
        <f t="shared" si="80"/>
        <v>0.999999654903934-0.000922762381829659j</v>
      </c>
      <c r="G118" s="136">
        <f t="shared" si="81"/>
        <v>7.0050999521865663E-7</v>
      </c>
      <c r="H118" s="136">
        <f t="shared" si="82"/>
        <v>-5.2870393211430763E-2</v>
      </c>
      <c r="I118" s="136"/>
      <c r="J118" s="136">
        <f t="shared" si="75"/>
        <v>7.0726915520628681</v>
      </c>
      <c r="K118" s="136" t="str">
        <f t="shared" si="76"/>
        <v>1+0.0541841149211006j</v>
      </c>
      <c r="L118" s="136">
        <f t="shared" si="77"/>
        <v>0.99983968866263018</v>
      </c>
      <c r="M118" s="136" t="str">
        <f t="shared" si="78"/>
        <v>0.00396543156188616j</v>
      </c>
      <c r="N118" s="136" t="str">
        <f t="shared" si="83"/>
        <v>0.99983968866263+0.00396543156188616j</v>
      </c>
      <c r="O118" s="136" t="str">
        <f t="shared" si="12"/>
        <v>1.00004525341487+0.0178185571886597j</v>
      </c>
      <c r="P118" s="136" t="str">
        <f t="shared" si="13"/>
        <v>7.07301161550792+0.126025158898183j</v>
      </c>
      <c r="Q118" s="136"/>
      <c r="R118" s="136">
        <f t="shared" si="14"/>
        <v>11.787819253438114</v>
      </c>
      <c r="S118" s="136" t="str">
        <f t="shared" si="15"/>
        <v>1+0.0000172871660625432j</v>
      </c>
      <c r="T118" s="136" t="str">
        <f t="shared" si="16"/>
        <v>0.999979817998359+0.00140698821224662j</v>
      </c>
      <c r="U118" s="136" t="str">
        <f t="shared" si="39"/>
        <v>1.00001822700096-0.00138975473939201j</v>
      </c>
      <c r="V118" s="136" t="str">
        <f t="shared" si="40"/>
        <v>11.788034110031-0.016382177674562j</v>
      </c>
      <c r="W118" s="136"/>
      <c r="X118" s="136" t="str">
        <f t="shared" si="17"/>
        <v>1.6680956349875+0.0291753936322615j</v>
      </c>
      <c r="Y118" s="136">
        <f t="shared" si="41"/>
        <v>4.4457472589285061</v>
      </c>
      <c r="Z118" s="136">
        <f t="shared" si="42"/>
        <v>-178.99798521019017</v>
      </c>
      <c r="AA118" s="136"/>
      <c r="AB118" s="136" t="str">
        <f t="shared" si="18"/>
        <v>9.26689386684518-0.0128784749349158j</v>
      </c>
      <c r="AC118" s="136">
        <f t="shared" si="43"/>
        <v>19.338692169771075</v>
      </c>
      <c r="AD118" s="136">
        <f t="shared" si="44"/>
        <v>179.9203744214725</v>
      </c>
      <c r="AE118" s="136"/>
      <c r="AF118" s="136" t="str">
        <f t="shared" si="45"/>
        <v>3.4727560008099-0.0428011262976628j</v>
      </c>
      <c r="AG118" s="136">
        <f t="shared" si="46"/>
        <v>10.814145058076434</v>
      </c>
      <c r="AH118" s="136">
        <f t="shared" si="47"/>
        <v>179.29387502735392</v>
      </c>
      <c r="AI118" s="136"/>
      <c r="AJ118" s="136" t="str">
        <f t="shared" si="19"/>
        <v>99999.3139484384-261.924961570765j</v>
      </c>
      <c r="AK118" s="136" t="str">
        <f t="shared" si="20"/>
        <v>19047.6190468178-0.123539151407192j</v>
      </c>
      <c r="AL118" s="136" t="str">
        <f t="shared" si="21"/>
        <v>10000-84841359.2696694j</v>
      </c>
      <c r="AM118" s="136" t="str">
        <f t="shared" si="22"/>
        <v>963.139113731015-26330077.0930163j</v>
      </c>
      <c r="AN118" s="136" t="str">
        <f t="shared" si="48"/>
        <v>10963.139113731-26330077.0930163j</v>
      </c>
      <c r="AO118" s="136" t="str">
        <f t="shared" si="49"/>
        <v>19047.6031625136-13.9028878275781j</v>
      </c>
      <c r="AP118" s="136" t="str">
        <f t="shared" si="50"/>
        <v>0.160000149077337+0.000351157807915126j</v>
      </c>
      <c r="AQ118" s="136" t="str">
        <f t="shared" si="23"/>
        <v>1+0.00419082813637411j</v>
      </c>
      <c r="AR118" s="136" t="str">
        <f t="shared" si="24"/>
        <v>1+8.36492641990841E-06j</v>
      </c>
      <c r="AS118" s="136" t="str">
        <f t="shared" si="25"/>
        <v>1.31225306020214E-08j</v>
      </c>
      <c r="AT118" s="136" t="str">
        <f t="shared" si="51"/>
        <v>-1.09769002928905E-13+1.31225306020214E-08j</v>
      </c>
      <c r="AU118" s="179" t="str">
        <f t="shared" si="52"/>
        <v>318723.829763238-76204816.3813736j</v>
      </c>
      <c r="AV118" s="136" t="str">
        <f t="shared" si="26"/>
        <v>7999.99963954706-1.69812348434709j</v>
      </c>
      <c r="AW118" s="136"/>
      <c r="AX118" s="136" t="str">
        <f t="shared" si="27"/>
        <v>0.499999977471691-0.000106132717771693j</v>
      </c>
      <c r="AY118" s="136"/>
      <c r="AZ118" s="136" t="str">
        <f t="shared" si="28"/>
        <v>4.89240195009185-762.041684974817j</v>
      </c>
      <c r="BA118" s="136" t="str">
        <f t="shared" si="29"/>
        <v>2.36532330974668-381.021344563813j</v>
      </c>
      <c r="BB118" s="136">
        <f t="shared" si="53"/>
        <v>51.619153467514323</v>
      </c>
      <c r="BC118" s="136">
        <f t="shared" si="54"/>
        <v>90.355679029283479</v>
      </c>
      <c r="BD118" s="136" t="str">
        <f t="shared" si="30"/>
        <v>17.0122262365645-3530.91482283246j</v>
      </c>
      <c r="BE118" s="136">
        <f t="shared" si="55"/>
        <v>70.957845637285402</v>
      </c>
      <c r="BF118" s="136">
        <f t="shared" si="56"/>
        <v>90.276053450755967</v>
      </c>
      <c r="BG118" s="136"/>
      <c r="BH118" s="136" t="str">
        <f t="shared" si="31"/>
        <v>-8.09395197300273-1323.29539927235j</v>
      </c>
      <c r="BI118" s="136">
        <f t="shared" si="57"/>
        <v>62.433298525590743</v>
      </c>
      <c r="BJ118" s="136">
        <f t="shared" si="58"/>
        <v>89.649554056637385</v>
      </c>
      <c r="BK118" s="136"/>
      <c r="BL118" s="136">
        <f t="shared" si="59"/>
        <v>-61.433298525590743</v>
      </c>
      <c r="BM118" s="136">
        <f t="shared" si="60"/>
        <v>-89.649554056637385</v>
      </c>
      <c r="BN118" s="136"/>
      <c r="BO118" s="189"/>
      <c r="BP118" s="189" t="str">
        <f t="shared" si="32"/>
        <v>0.00001+2.61926758523382E-08j</v>
      </c>
      <c r="BQ118" s="189" t="str">
        <f t="shared" si="33"/>
        <v>5.48835375426619E-11+1.30961079186957E-08j</v>
      </c>
      <c r="BR118" s="189" t="str">
        <f t="shared" si="34"/>
        <v>-0.00035840820625673-0.000327520491168174j</v>
      </c>
      <c r="BS118" s="189" t="str">
        <f t="shared" si="35"/>
        <v>0.0000625000548835375+3.92887837710339E-08j</v>
      </c>
      <c r="BT118" s="189" t="str">
        <f t="shared" si="61"/>
        <v>-2.23876646799978E-08-2.04841300960114E-08j</v>
      </c>
      <c r="BU118" s="189" t="str">
        <f t="shared" si="62"/>
        <v>-5.48835375426619E-11-1.30961079186957E-08j</v>
      </c>
      <c r="BV118" s="189" t="str">
        <f t="shared" si="63"/>
        <v>-2.24425482175405E-08-3.35802380147071E-08j</v>
      </c>
      <c r="BW118" s="189" t="str">
        <f t="shared" si="36"/>
        <v>0.999999998262199-0.0000416869403126289j</v>
      </c>
      <c r="BX118" s="189" t="str">
        <f t="shared" si="64"/>
        <v>-0.00001-2.61926758523382E-08j</v>
      </c>
      <c r="BY118" s="189" t="str">
        <f t="shared" si="65"/>
        <v>138.105201306439-205.494923296237j</v>
      </c>
      <c r="BZ118" s="136">
        <f t="shared" si="66"/>
        <v>47.874690478774212</v>
      </c>
      <c r="CA118" s="136">
        <f t="shared" si="67"/>
        <v>123.90352334247774</v>
      </c>
      <c r="CB118" s="189" t="str">
        <f t="shared" si="37"/>
        <v>1277.15978174714-1906.07822873513j</v>
      </c>
      <c r="CC118" s="136" t="str">
        <f t="shared" si="38"/>
        <v>470.810252414466-719.54478617646j</v>
      </c>
      <c r="CD118" s="136">
        <f t="shared" si="68"/>
        <v>58.688835536850668</v>
      </c>
      <c r="CE118" s="136">
        <f t="shared" si="69"/>
        <v>123.19739836983167</v>
      </c>
      <c r="CF118" s="136"/>
      <c r="CG118" s="136">
        <f t="shared" si="70"/>
        <v>-57.688835536850668</v>
      </c>
      <c r="CH118" s="136">
        <f t="shared" si="71"/>
        <v>-123.19739836983167</v>
      </c>
      <c r="CI118" s="77"/>
      <c r="CJ118" s="189"/>
      <c r="CK118" s="189"/>
      <c r="CL118" s="189"/>
      <c r="CM118" s="77"/>
      <c r="CN118" s="189">
        <v>1258.92541179416</v>
      </c>
      <c r="CO118" s="189">
        <v>33.756580164239402</v>
      </c>
      <c r="CP118" s="189">
        <v>82.456539316768698</v>
      </c>
      <c r="CQ118" s="74"/>
      <c r="CR118" s="75"/>
      <c r="CS118" s="75"/>
      <c r="CT118" s="75"/>
      <c r="CU118" s="74"/>
      <c r="CV118" s="75"/>
      <c r="CW118" s="75"/>
      <c r="CX118" s="75"/>
      <c r="CY118" s="74"/>
      <c r="CZ118" s="75"/>
      <c r="DA118" s="75"/>
      <c r="DB118" s="75"/>
      <c r="DC118" s="74"/>
      <c r="DD118" s="75"/>
      <c r="DE118" s="75"/>
      <c r="DF118" s="75"/>
      <c r="DG118" s="74"/>
      <c r="DH118" s="75"/>
      <c r="DI118" s="75"/>
      <c r="DJ118" s="75"/>
      <c r="DK118" s="74"/>
      <c r="DL118" s="75"/>
      <c r="DM118" s="75"/>
      <c r="DN118" s="75"/>
      <c r="DO118" s="76"/>
    </row>
    <row r="119" spans="1:119" x14ac:dyDescent="0.25">
      <c r="A119" s="136">
        <v>70</v>
      </c>
      <c r="B119" s="136">
        <f t="shared" si="72"/>
        <v>125.89254117941677</v>
      </c>
      <c r="C119" s="136" t="str">
        <f t="shared" si="79"/>
        <v>791.006165022012j</v>
      </c>
      <c r="D119" s="136">
        <f t="shared" si="73"/>
        <v>0.99999960377670194</v>
      </c>
      <c r="E119" s="136" t="str">
        <f t="shared" si="74"/>
        <v>-0.000988757706277515j</v>
      </c>
      <c r="F119" s="136" t="str">
        <f t="shared" si="80"/>
        <v>0.999999603776702-0.000988757706277515j</v>
      </c>
      <c r="G119" s="136">
        <f t="shared" si="81"/>
        <v>8.042931666339931E-7</v>
      </c>
      <c r="H119" s="136">
        <f t="shared" si="82"/>
        <v>-5.6651647515764701E-2</v>
      </c>
      <c r="I119" s="136"/>
      <c r="J119" s="136">
        <f t="shared" si="75"/>
        <v>7.0726915520628681</v>
      </c>
      <c r="K119" s="136" t="str">
        <f t="shared" si="76"/>
        <v>1+0.0580593251751723j</v>
      </c>
      <c r="L119" s="136">
        <f t="shared" si="77"/>
        <v>0.99981593795743184</v>
      </c>
      <c r="M119" s="136" t="str">
        <f t="shared" si="78"/>
        <v>0.00424903647215954j</v>
      </c>
      <c r="N119" s="136" t="str">
        <f t="shared" si="83"/>
        <v>0.999815937957432+0.00424903647215954j</v>
      </c>
      <c r="O119" s="136" t="str">
        <f t="shared" si="12"/>
        <v>1.00005195809836+0.0190929750006906j</v>
      </c>
      <c r="P119" s="136" t="str">
        <f t="shared" si="13"/>
        <v>7.0730590356662+0.135038722991132j</v>
      </c>
      <c r="Q119" s="136"/>
      <c r="R119" s="136">
        <f t="shared" si="14"/>
        <v>11.787819253438114</v>
      </c>
      <c r="S119" s="136" t="str">
        <f t="shared" si="15"/>
        <v>1+0.0000185235321688635j</v>
      </c>
      <c r="T119" s="136" t="str">
        <f t="shared" si="16"/>
        <v>0.999976827961726+0.001507615031664j</v>
      </c>
      <c r="U119" s="136" t="str">
        <f t="shared" si="39"/>
        <v>1.00002092744689-0.00148915755684454j</v>
      </c>
      <c r="V119" s="136" t="str">
        <f t="shared" si="40"/>
        <v>11.7880659423995-0.0175539201199749j</v>
      </c>
      <c r="W119" s="136"/>
      <c r="X119" s="136" t="str">
        <f t="shared" si="17"/>
        <v>1.6681082494554+0.0312620717521829j</v>
      </c>
      <c r="Y119" s="136">
        <f t="shared" si="41"/>
        <v>4.4460096911897731</v>
      </c>
      <c r="Z119" s="136">
        <f t="shared" si="42"/>
        <v>-178.92634359235555</v>
      </c>
      <c r="AA119" s="136"/>
      <c r="AB119" s="136" t="str">
        <f t="shared" si="18"/>
        <v>9.26691889113487-0.0137996135047201j</v>
      </c>
      <c r="AC119" s="136">
        <f t="shared" si="43"/>
        <v>19.338716867816469</v>
      </c>
      <c r="AD119" s="136">
        <f t="shared" si="44"/>
        <v>179.91467940557234</v>
      </c>
      <c r="AE119" s="136"/>
      <c r="AF119" s="136" t="str">
        <f t="shared" si="45"/>
        <v>3.47267963187391-0.045861247703755j</v>
      </c>
      <c r="AG119" s="136">
        <f t="shared" si="46"/>
        <v>10.81405176737378</v>
      </c>
      <c r="AH119" s="136">
        <f t="shared" si="47"/>
        <v>179.243378753244</v>
      </c>
      <c r="AI119" s="136"/>
      <c r="AJ119" s="136" t="str">
        <f t="shared" si="19"/>
        <v>99999.2123082156-280.657367583673j</v>
      </c>
      <c r="AK119" s="136" t="str">
        <f t="shared" si="20"/>
        <v>19047.6190466991-0.132374585684653j</v>
      </c>
      <c r="AL119" s="136" t="str">
        <f t="shared" si="21"/>
        <v>10000-79178563.4238815j</v>
      </c>
      <c r="AM119" s="136" t="str">
        <f t="shared" si="22"/>
        <v>963.13911278815-24572657.6981987j</v>
      </c>
      <c r="AN119" s="136" t="str">
        <f t="shared" si="48"/>
        <v>10963.1391127882-24572657.6981987j</v>
      </c>
      <c r="AO119" s="136" t="str">
        <f t="shared" si="49"/>
        <v>19047.6008090813-14.89720981464j</v>
      </c>
      <c r="AP119" s="136" t="str">
        <f t="shared" si="50"/>
        <v>0.160000171163679+0.000376272360319052j</v>
      </c>
      <c r="AQ119" s="136" t="str">
        <f t="shared" si="23"/>
        <v>1+0.00449055325305781j</v>
      </c>
      <c r="AR119" s="136" t="str">
        <f t="shared" si="24"/>
        <v>1+8.96318014582397E-06j</v>
      </c>
      <c r="AS119" s="136" t="str">
        <f t="shared" si="25"/>
        <v>1.40610448736373E-08j</v>
      </c>
      <c r="AT119" s="136" t="str">
        <f t="shared" si="51"/>
        <v>-1.26031678240926E-13+1.40610448736373E-08j</v>
      </c>
      <c r="AU119" s="179" t="str">
        <f t="shared" si="52"/>
        <v>318723.829759932-71118472.99799j</v>
      </c>
      <c r="AV119" s="136" t="str">
        <f t="shared" si="26"/>
        <v>7999.99958614466-1.81957208400907j</v>
      </c>
      <c r="AW119" s="136"/>
      <c r="AX119" s="136" t="str">
        <f t="shared" si="27"/>
        <v>0.499999974134041-0.000113723255250567j</v>
      </c>
      <c r="AY119" s="136"/>
      <c r="AZ119" s="136" t="str">
        <f t="shared" si="28"/>
        <v>4.89240232727278-711.177787779074j</v>
      </c>
      <c r="BA119" s="136" t="str">
        <f t="shared" si="29"/>
        <v>2.36532358400158-355.58943187416j</v>
      </c>
      <c r="BB119" s="136">
        <f t="shared" si="53"/>
        <v>51.019169062818548</v>
      </c>
      <c r="BC119" s="136">
        <f t="shared" si="54"/>
        <v>90.381116668898372</v>
      </c>
      <c r="BD119" s="136" t="str">
        <f t="shared" si="30"/>
        <v>17.0122650780046-3295.25106427384j</v>
      </c>
      <c r="BE119" s="136">
        <f t="shared" si="55"/>
        <v>70.357885930635007</v>
      </c>
      <c r="BF119" s="136">
        <f t="shared" si="56"/>
        <v>90.295796074470729</v>
      </c>
      <c r="BG119" s="136"/>
      <c r="BH119" s="136" t="str">
        <f t="shared" si="31"/>
        <v>-8.09376398306511-1234.95665406979j</v>
      </c>
      <c r="BI119" s="136">
        <f t="shared" si="57"/>
        <v>61.833220830192282</v>
      </c>
      <c r="BJ119" s="136">
        <f t="shared" si="58"/>
        <v>89.624495422142388</v>
      </c>
      <c r="BK119" s="136"/>
      <c r="BL119" s="136">
        <f t="shared" si="59"/>
        <v>-60.833220830192282</v>
      </c>
      <c r="BM119" s="136">
        <f t="shared" si="60"/>
        <v>-89.624495422142388</v>
      </c>
      <c r="BN119" s="136"/>
      <c r="BO119" s="189"/>
      <c r="BP119" s="189" t="str">
        <f t="shared" si="32"/>
        <v>0.00001+2.80659578316113E-08j</v>
      </c>
      <c r="BQ119" s="189" t="str">
        <f t="shared" si="33"/>
        <v>6.30145684273729E-11+1.40326959455305E-08j</v>
      </c>
      <c r="BR119" s="189" t="str">
        <f t="shared" si="34"/>
        <v>-0.000358595669097794-0.000350943753102287j</v>
      </c>
      <c r="BS119" s="189" t="str">
        <f t="shared" si="35"/>
        <v>0.0000625000630145684+4.20986537771418E-08j</v>
      </c>
      <c r="BT119" s="189" t="str">
        <f t="shared" si="61"/>
        <v>-2.23974776558063E-08-2.19491030783814E-08j</v>
      </c>
      <c r="BU119" s="189" t="str">
        <f t="shared" si="62"/>
        <v>-6.30145684273729E-11-1.40326959455305E-08j</v>
      </c>
      <c r="BV119" s="189" t="str">
        <f t="shared" si="63"/>
        <v>-2.24604922242337E-08-3.59817990239119E-08j</v>
      </c>
      <c r="BW119" s="189" t="str">
        <f t="shared" si="36"/>
        <v>0.999999998004738-0.0000446683613097694j</v>
      </c>
      <c r="BX119" s="189" t="str">
        <f t="shared" si="64"/>
        <v>-0.00001-2.80659578316113E-08j</v>
      </c>
      <c r="BY119" s="189" t="str">
        <f t="shared" si="65"/>
        <v>125.390900883655-199.647045848008j</v>
      </c>
      <c r="BZ119" s="136">
        <f t="shared" si="66"/>
        <v>47.449327707851552</v>
      </c>
      <c r="CA119" s="136">
        <f t="shared" si="67"/>
        <v>122.13140512285463</v>
      </c>
      <c r="CB119" s="189" t="str">
        <f t="shared" si="37"/>
        <v>1159.2322561051-1851.84332669738j</v>
      </c>
      <c r="CC119" s="136" t="str">
        <f t="shared" si="38"/>
        <v>426.28636489803-699.060812845396j</v>
      </c>
      <c r="CD119" s="136">
        <f t="shared" si="68"/>
        <v>58.263379475225328</v>
      </c>
      <c r="CE119" s="136">
        <f t="shared" si="69"/>
        <v>121.37478387609863</v>
      </c>
      <c r="CF119" s="136"/>
      <c r="CG119" s="136">
        <f t="shared" si="70"/>
        <v>-57.263379475225328</v>
      </c>
      <c r="CH119" s="136">
        <f t="shared" si="71"/>
        <v>-121.37478387609863</v>
      </c>
      <c r="CI119" s="77"/>
      <c r="CJ119" s="189"/>
      <c r="CK119" s="189"/>
      <c r="CL119" s="189"/>
      <c r="CM119" s="77"/>
      <c r="CN119" s="189">
        <v>1318.2567385564</v>
      </c>
      <c r="CO119" s="189">
        <v>33.327746361937898</v>
      </c>
      <c r="CP119" s="189">
        <v>82.050963811717693</v>
      </c>
      <c r="CQ119" s="74"/>
      <c r="CR119" s="75"/>
      <c r="CS119" s="75"/>
      <c r="CT119" s="75"/>
      <c r="CU119" s="74"/>
      <c r="CV119" s="75"/>
      <c r="CW119" s="75"/>
      <c r="CX119" s="75"/>
      <c r="CY119" s="74"/>
      <c r="CZ119" s="75"/>
      <c r="DA119" s="75"/>
      <c r="DB119" s="75"/>
      <c r="DC119" s="74"/>
      <c r="DD119" s="75"/>
      <c r="DE119" s="75"/>
      <c r="DF119" s="75"/>
      <c r="DG119" s="74"/>
      <c r="DH119" s="75"/>
      <c r="DI119" s="75"/>
      <c r="DJ119" s="75"/>
      <c r="DK119" s="74"/>
      <c r="DL119" s="75"/>
      <c r="DM119" s="75"/>
      <c r="DN119" s="75"/>
      <c r="DO119" s="76"/>
    </row>
    <row r="120" spans="1:119" x14ac:dyDescent="0.25">
      <c r="A120" s="136">
        <v>71</v>
      </c>
      <c r="B120" s="136">
        <f t="shared" si="72"/>
        <v>134.89628825916537</v>
      </c>
      <c r="C120" s="136" t="str">
        <f t="shared" si="79"/>
        <v>847.57837638305j</v>
      </c>
      <c r="D120" s="136">
        <f t="shared" si="73"/>
        <v>0.99999954507478539</v>
      </c>
      <c r="E120" s="136" t="str">
        <f t="shared" si="74"/>
        <v>-0.00105947297047881j</v>
      </c>
      <c r="F120" s="136" t="str">
        <f t="shared" si="80"/>
        <v>0.999999545074785-0.00105947297047881j</v>
      </c>
      <c r="G120" s="136">
        <f t="shared" si="81"/>
        <v>9.2345221069968913E-7</v>
      </c>
      <c r="H120" s="136">
        <f t="shared" si="82"/>
        <v>-6.0703334619278425E-2</v>
      </c>
      <c r="I120" s="136"/>
      <c r="J120" s="136">
        <f t="shared" si="75"/>
        <v>7.0726915520628681</v>
      </c>
      <c r="K120" s="136" t="str">
        <f t="shared" si="76"/>
        <v>1+0.062211687774265j</v>
      </c>
      <c r="L120" s="136">
        <f t="shared" si="77"/>
        <v>0.9997886684992453</v>
      </c>
      <c r="M120" s="136" t="str">
        <f t="shared" si="78"/>
        <v>0.00455292460857764j</v>
      </c>
      <c r="N120" s="136" t="str">
        <f t="shared" si="83"/>
        <v>0.999788668499245+0.00455292460857764j</v>
      </c>
      <c r="O120" s="136" t="str">
        <f t="shared" si="12"/>
        <v>1.00005965617698+0.0204585491078614j</v>
      </c>
      <c r="P120" s="136" t="str">
        <f t="shared" si="13"/>
        <v>7.07311348180182+0.144697007442635j</v>
      </c>
      <c r="Q120" s="136"/>
      <c r="R120" s="136">
        <f t="shared" si="14"/>
        <v>11.787819253438114</v>
      </c>
      <c r="S120" s="136" t="str">
        <f t="shared" si="15"/>
        <v>1+0.000019848322320127j</v>
      </c>
      <c r="T120" s="136" t="str">
        <f t="shared" si="16"/>
        <v>0.999973394940339+0.00161543861129438j</v>
      </c>
      <c r="U120" s="136" t="str">
        <f t="shared" si="39"/>
        <v>1.00002402798948-0.0015956715576532j</v>
      </c>
      <c r="V120" s="136" t="str">
        <f t="shared" si="40"/>
        <v>11.7881024910351-0.018809487909468j</v>
      </c>
      <c r="W120" s="136"/>
      <c r="X120" s="136" t="str">
        <f t="shared" si="17"/>
        <v>1.66812273293106+0.0334980047364078j</v>
      </c>
      <c r="Y120" s="136">
        <f t="shared" si="41"/>
        <v>4.4463109877726188</v>
      </c>
      <c r="Z120" s="136">
        <f t="shared" si="42"/>
        <v>-178.84958323004221</v>
      </c>
      <c r="AA120" s="136"/>
      <c r="AB120" s="136" t="str">
        <f t="shared" si="18"/>
        <v>9.26694762301025-0.0147866494548419j</v>
      </c>
      <c r="AC120" s="136">
        <f t="shared" si="43"/>
        <v>19.338745225044082</v>
      </c>
      <c r="AD120" s="136">
        <f t="shared" si="44"/>
        <v>179.90857702855843</v>
      </c>
      <c r="AE120" s="136"/>
      <c r="AF120" s="136" t="str">
        <f t="shared" si="45"/>
        <v>3.4725919526493-0.0491400000135179j</v>
      </c>
      <c r="AG120" s="136">
        <f t="shared" si="46"/>
        <v>10.813944657786696</v>
      </c>
      <c r="AH120" s="136">
        <f t="shared" si="47"/>
        <v>179.18927223940437</v>
      </c>
      <c r="AI120" s="136"/>
      <c r="AJ120" s="136" t="str">
        <f t="shared" si="19"/>
        <v>99999.0956098806-300.729436573653j</v>
      </c>
      <c r="AK120" s="136" t="str">
        <f t="shared" si="20"/>
        <v>19047.6190465628-0.14184192408292j</v>
      </c>
      <c r="AL120" s="136" t="str">
        <f t="shared" si="21"/>
        <v>10000-73893734.8462651j</v>
      </c>
      <c r="AM120" s="136" t="str">
        <f t="shared" si="22"/>
        <v>963.139111705587-22932538.4904554j</v>
      </c>
      <c r="AN120" s="136" t="str">
        <f t="shared" si="48"/>
        <v>10963.1391117056-22932538.4904554j</v>
      </c>
      <c r="AO120" s="136" t="str">
        <f t="shared" si="49"/>
        <v>19047.5981069807-15.962644353656j</v>
      </c>
      <c r="AP120" s="136" t="str">
        <f t="shared" si="50"/>
        <v>0.160000196522193+0.000403183085748773j</v>
      </c>
      <c r="AQ120" s="136" t="str">
        <f t="shared" si="23"/>
        <v>1+0.00481171450184898j</v>
      </c>
      <c r="AR120" s="136" t="str">
        <f t="shared" si="24"/>
        <v>1+9.60422056257281E-06j</v>
      </c>
      <c r="AS120" s="136" t="str">
        <f t="shared" si="25"/>
        <v>1.50666810339146E-08j</v>
      </c>
      <c r="AT120" s="136" t="str">
        <f t="shared" si="51"/>
        <v>-1.44703727795648E-13+1.50666810339146E-08j</v>
      </c>
      <c r="AU120" s="179" t="str">
        <f t="shared" si="52"/>
        <v>318723.82975614-66371621.1864816j</v>
      </c>
      <c r="AV120" s="136" t="str">
        <f t="shared" si="26"/>
        <v>7999.99952483049-1.94970660034406j</v>
      </c>
      <c r="AW120" s="136"/>
      <c r="AX120" s="136" t="str">
        <f t="shared" si="27"/>
        <v>0.499999970301906-0.000121856662521504j</v>
      </c>
      <c r="AY120" s="136"/>
      <c r="AZ120" s="136" t="str">
        <f t="shared" si="28"/>
        <v>4.89240276033444-663.708773162796j</v>
      </c>
      <c r="BA120" s="136" t="str">
        <f t="shared" si="29"/>
        <v>2.36532389888832-331.854963042385j</v>
      </c>
      <c r="BB120" s="136">
        <f t="shared" si="53"/>
        <v>50.419186968581869</v>
      </c>
      <c r="BC120" s="136">
        <f t="shared" si="54"/>
        <v>90.408373526939044</v>
      </c>
      <c r="BD120" s="136" t="str">
        <f t="shared" si="30"/>
        <v>17.0123096740952-3075.31753616513j</v>
      </c>
      <c r="BE120" s="136">
        <f t="shared" si="55"/>
        <v>69.757932193625976</v>
      </c>
      <c r="BF120" s="136">
        <f t="shared" si="56"/>
        <v>90.316950555497471</v>
      </c>
      <c r="BG120" s="136"/>
      <c r="BH120" s="136" t="str">
        <f t="shared" si="31"/>
        <v>-8.09354815170016-1152.51310612414j</v>
      </c>
      <c r="BI120" s="136">
        <f t="shared" si="57"/>
        <v>61.233131626368561</v>
      </c>
      <c r="BJ120" s="136">
        <f t="shared" si="58"/>
        <v>89.597645766343419</v>
      </c>
      <c r="BK120" s="136"/>
      <c r="BL120" s="136">
        <f t="shared" si="59"/>
        <v>-60.233131626368561</v>
      </c>
      <c r="BM120" s="136">
        <f t="shared" si="60"/>
        <v>-89.597645766343419</v>
      </c>
      <c r="BN120" s="136"/>
      <c r="BO120" s="189"/>
      <c r="BP120" s="189" t="str">
        <f t="shared" si="32"/>
        <v>0.00001+3.00732156365561E-08j</v>
      </c>
      <c r="BQ120" s="189" t="str">
        <f t="shared" si="33"/>
        <v>7.23501888031002E-11+1.50362596898254E-08j</v>
      </c>
      <c r="BR120" s="189" t="str">
        <f t="shared" si="34"/>
        <v>-0.000358810904215237-0.000376042051761854j</v>
      </c>
      <c r="BS120" s="189" t="str">
        <f t="shared" si="35"/>
        <v>0.0000625000723501888+4.51094753263815E-08j</v>
      </c>
      <c r="BT120" s="189" t="str">
        <f t="shared" si="61"/>
        <v>-2.24087444138333E-08-2.35188412134599E-08j</v>
      </c>
      <c r="BU120" s="189" t="str">
        <f t="shared" si="62"/>
        <v>-7.23501888031002E-11-1.50362596898254E-08j</v>
      </c>
      <c r="BV120" s="189" t="str">
        <f t="shared" si="63"/>
        <v>-2.24810946026364E-08-3.85551009032853E-08j</v>
      </c>
      <c r="BW120" s="189" t="str">
        <f t="shared" si="36"/>
        <v>0.999999997709132-0.000047863011462598j</v>
      </c>
      <c r="BX120" s="189" t="str">
        <f t="shared" si="64"/>
        <v>-0.00001-3.00732156365561E-08j</v>
      </c>
      <c r="BY120" s="189" t="str">
        <f t="shared" si="65"/>
        <v>113.435674286911-193.225879766619j</v>
      </c>
      <c r="BZ120" s="136">
        <f t="shared" si="66"/>
        <v>47.007373936678249</v>
      </c>
      <c r="CA120" s="136">
        <f t="shared" si="67"/>
        <v>120.41559863197978</v>
      </c>
      <c r="CB120" s="189" t="str">
        <f t="shared" si="37"/>
        <v>1048.34528884794-1792.29144075869j</v>
      </c>
      <c r="CC120" s="136" t="str">
        <f t="shared" si="38"/>
        <v>384.420689937729-676.568864157135j</v>
      </c>
      <c r="CD120" s="136">
        <f t="shared" si="68"/>
        <v>57.821318594464941</v>
      </c>
      <c r="CE120" s="136">
        <f t="shared" si="69"/>
        <v>119.60487087138402</v>
      </c>
      <c r="CF120" s="136"/>
      <c r="CG120" s="136">
        <f t="shared" si="70"/>
        <v>-56.821318594464941</v>
      </c>
      <c r="CH120" s="136">
        <f t="shared" si="71"/>
        <v>-119.60487087138402</v>
      </c>
      <c r="CI120" s="77"/>
      <c r="CJ120" s="189"/>
      <c r="CK120" s="189"/>
      <c r="CL120" s="189"/>
      <c r="CM120" s="77"/>
      <c r="CN120" s="189">
        <v>1380.38426460288</v>
      </c>
      <c r="CO120" s="189">
        <v>32.896437024920502</v>
      </c>
      <c r="CP120" s="189">
        <v>81.636863648475099</v>
      </c>
      <c r="CQ120" s="74"/>
      <c r="CR120" s="75"/>
      <c r="CS120" s="75"/>
      <c r="CT120" s="75"/>
      <c r="CU120" s="74"/>
      <c r="CV120" s="75"/>
      <c r="CW120" s="75"/>
      <c r="CX120" s="75"/>
      <c r="CY120" s="74"/>
      <c r="CZ120" s="75"/>
      <c r="DA120" s="75"/>
      <c r="DB120" s="75"/>
      <c r="DC120" s="74"/>
      <c r="DD120" s="75"/>
      <c r="DE120" s="75"/>
      <c r="DF120" s="75"/>
      <c r="DG120" s="74"/>
      <c r="DH120" s="75"/>
      <c r="DI120" s="75"/>
      <c r="DJ120" s="75"/>
      <c r="DK120" s="74"/>
      <c r="DL120" s="75"/>
      <c r="DM120" s="75"/>
      <c r="DN120" s="75"/>
      <c r="DO120" s="76"/>
    </row>
    <row r="121" spans="1:119" x14ac:dyDescent="0.25">
      <c r="A121" s="136">
        <v>72</v>
      </c>
      <c r="B121" s="136">
        <f t="shared" si="72"/>
        <v>144.54397707459285</v>
      </c>
      <c r="C121" s="136" t="str">
        <f t="shared" si="79"/>
        <v>908.196592996385j</v>
      </c>
      <c r="D121" s="136">
        <f t="shared" si="73"/>
        <v>0.99999947767596731</v>
      </c>
      <c r="E121" s="136" t="str">
        <f t="shared" si="74"/>
        <v>-0.00113524574124548j</v>
      </c>
      <c r="F121" s="136" t="str">
        <f t="shared" si="80"/>
        <v>0.999999477675967-0.00113524574124548j</v>
      </c>
      <c r="G121" s="136">
        <f t="shared" si="81"/>
        <v>1.060265137992851E-6</v>
      </c>
      <c r="H121" s="136">
        <f t="shared" si="82"/>
        <v>-6.5044795715148415E-2</v>
      </c>
      <c r="I121" s="136"/>
      <c r="J121" s="136">
        <f t="shared" si="75"/>
        <v>7.0726915520628681</v>
      </c>
      <c r="K121" s="136" t="str">
        <f t="shared" si="76"/>
        <v>1+0.0666610244615393j</v>
      </c>
      <c r="L121" s="136">
        <f t="shared" si="77"/>
        <v>0.99975735897207207</v>
      </c>
      <c r="M121" s="136" t="str">
        <f t="shared" si="78"/>
        <v>0.00487854661338232j</v>
      </c>
      <c r="N121" s="136" t="str">
        <f t="shared" si="83"/>
        <v>0.999757358972072+0.00487854661338232j</v>
      </c>
      <c r="O121" s="136" t="str">
        <f t="shared" si="12"/>
        <v>1.00006849484872+0.0219218014363694j</v>
      </c>
      <c r="P121" s="136" t="str">
        <f t="shared" si="13"/>
        <v>7.07317599500077+0.15504613982501j</v>
      </c>
      <c r="Q121" s="136"/>
      <c r="R121" s="136">
        <f t="shared" si="14"/>
        <v>11.787819253438114</v>
      </c>
      <c r="S121" s="136" t="str">
        <f t="shared" si="15"/>
        <v>1+0.0000212678605425946j</v>
      </c>
      <c r="T121" s="136" t="str">
        <f t="shared" si="16"/>
        <v>0.9999694533044+0.00173097365842816j</v>
      </c>
      <c r="U121" s="136" t="str">
        <f t="shared" si="39"/>
        <v>1.00002758790955-0.00170980578074701j</v>
      </c>
      <c r="V121" s="136" t="str">
        <f t="shared" si="40"/>
        <v>11.7881444547295-0.0201548815019294j</v>
      </c>
      <c r="W121" s="136"/>
      <c r="X121" s="136" t="str">
        <f t="shared" si="17"/>
        <v>1.66813936235567+0.0358938711257157j</v>
      </c>
      <c r="Y121" s="136">
        <f t="shared" si="41"/>
        <v>4.4466569014875503</v>
      </c>
      <c r="Z121" s="136">
        <f t="shared" si="42"/>
        <v>-178.76733918805775</v>
      </c>
      <c r="AA121" s="136"/>
      <c r="AB121" s="136" t="str">
        <f t="shared" si="18"/>
        <v>9.26698061181047-0.0158442999090312j</v>
      </c>
      <c r="AC121" s="136">
        <f t="shared" si="43"/>
        <v>19.33877778359987</v>
      </c>
      <c r="AD121" s="136">
        <f t="shared" si="44"/>
        <v>179.90203814299801</v>
      </c>
      <c r="AE121" s="136"/>
      <c r="AF121" s="136" t="str">
        <f t="shared" si="45"/>
        <v>3.4724912887632-0.0526529673431432j</v>
      </c>
      <c r="AG121" s="136">
        <f t="shared" si="46"/>
        <v>10.81382168278401</v>
      </c>
      <c r="AH121" s="136">
        <f t="shared" si="47"/>
        <v>179.13129756455461</v>
      </c>
      <c r="AI121" s="136"/>
      <c r="AJ121" s="136" t="str">
        <f t="shared" si="19"/>
        <v>99998.9616226004-322.236965180869j</v>
      </c>
      <c r="AK121" s="136" t="str">
        <f t="shared" si="20"/>
        <v>19047.6190464063-0.151986359945648j</v>
      </c>
      <c r="AL121" s="136" t="str">
        <f t="shared" si="21"/>
        <v>10000-68961645.8472291j</v>
      </c>
      <c r="AM121" s="136" t="str">
        <f t="shared" si="22"/>
        <v>963.139110462654-21401890.1868387j</v>
      </c>
      <c r="AN121" s="136" t="str">
        <f t="shared" si="48"/>
        <v>10963.1391104627-21401890.1868387j</v>
      </c>
      <c r="AO121" s="136" t="str">
        <f t="shared" si="49"/>
        <v>19047.5950045553-17.104277211636j</v>
      </c>
      <c r="AP121" s="136" t="str">
        <f t="shared" si="50"/>
        <v>0.160000225637659+0.000432018444718442j</v>
      </c>
      <c r="AQ121" s="136" t="str">
        <f t="shared" si="23"/>
        <v>1+0.00515584498002293j</v>
      </c>
      <c r="AR121" s="136" t="str">
        <f t="shared" si="24"/>
        <v>1+0.0000102911077445567j</v>
      </c>
      <c r="AS121" s="136" t="str">
        <f t="shared" si="25"/>
        <v>1.61442395936968E-08j</v>
      </c>
      <c r="AT121" s="136" t="str">
        <f t="shared" si="51"/>
        <v>-1.66142109112672E-13+1.61442395936968E-08j</v>
      </c>
      <c r="AU121" s="179" t="str">
        <f t="shared" si="52"/>
        <v>318723.829751784-61941601.3463948j</v>
      </c>
      <c r="AV121" s="136" t="str">
        <f t="shared" si="26"/>
        <v>7999.99945443241-2.08914824343384j</v>
      </c>
      <c r="AW121" s="136"/>
      <c r="AX121" s="136" t="str">
        <f t="shared" si="27"/>
        <v>0.499999965902026-0.000130571765214615j</v>
      </c>
      <c r="AY121" s="136"/>
      <c r="AZ121" s="136" t="str">
        <f t="shared" si="28"/>
        <v>4.89240325755572-619.408042751358j</v>
      </c>
      <c r="BA121" s="136" t="str">
        <f t="shared" si="29"/>
        <v>2.36532426042665-309.704639064849j</v>
      </c>
      <c r="BB121" s="136">
        <f t="shared" si="53"/>
        <v>49.819207527093738</v>
      </c>
      <c r="BC121" s="136">
        <f t="shared" si="54"/>
        <v>90.437579697932748</v>
      </c>
      <c r="BD121" s="136" t="str">
        <f t="shared" si="30"/>
        <v>17.012360877457-2870.06436250868j</v>
      </c>
      <c r="BE121" s="136">
        <f t="shared" si="55"/>
        <v>69.157985310693604</v>
      </c>
      <c r="BF121" s="136">
        <f t="shared" si="56"/>
        <v>90.339617840930742</v>
      </c>
      <c r="BG121" s="136"/>
      <c r="BH121" s="136" t="str">
        <f t="shared" si="31"/>
        <v>-8.09330035726963-1075.57120258328j</v>
      </c>
      <c r="BI121" s="136">
        <f t="shared" si="57"/>
        <v>60.633029209877748</v>
      </c>
      <c r="BJ121" s="136">
        <f t="shared" si="58"/>
        <v>89.568877262487376</v>
      </c>
      <c r="BK121" s="136"/>
      <c r="BL121" s="136">
        <f t="shared" si="59"/>
        <v>-59.633029209877748</v>
      </c>
      <c r="BM121" s="136">
        <f t="shared" si="60"/>
        <v>-89.568877262487376</v>
      </c>
      <c r="BN121" s="136"/>
      <c r="BO121" s="189"/>
      <c r="BP121" s="189" t="str">
        <f t="shared" si="32"/>
        <v>0.00001+3.22240311251433E-08j</v>
      </c>
      <c r="BQ121" s="189" t="str">
        <f t="shared" si="33"/>
        <v>8.30688463590029E-11+1.61115872724772E-08j</v>
      </c>
      <c r="BR121" s="189" t="str">
        <f t="shared" si="34"/>
        <v>-0.000359058025847006-0.000402935143463852j</v>
      </c>
      <c r="BS121" s="189" t="str">
        <f t="shared" si="35"/>
        <v>0.0000625000830688464+4.83356183976205E-08j</v>
      </c>
      <c r="BT121" s="189" t="str">
        <f t="shared" si="61"/>
        <v>-2.24216803226404E-08-2.52008352295682E-08j</v>
      </c>
      <c r="BU121" s="189" t="str">
        <f t="shared" si="62"/>
        <v>-8.30688463590029E-11-1.61115872724772E-08j</v>
      </c>
      <c r="BV121" s="189" t="str">
        <f t="shared" si="63"/>
        <v>-2.25047491689994E-08-4.13124225020454E-08j</v>
      </c>
      <c r="BW121" s="189" t="str">
        <f t="shared" si="36"/>
        <v>0.999999997369732-0.000051286140771576j</v>
      </c>
      <c r="BX121" s="189" t="str">
        <f t="shared" si="64"/>
        <v>-0.00001-3.22240311251433E-08j</v>
      </c>
      <c r="BY121" s="189" t="str">
        <f t="shared" si="65"/>
        <v>102.277083084352-186.343018868286j</v>
      </c>
      <c r="BZ121" s="136">
        <f t="shared" si="66"/>
        <v>46.549877738825245</v>
      </c>
      <c r="CA121" s="136">
        <f t="shared" si="67"/>
        <v>118.76082378418531</v>
      </c>
      <c r="CB121" s="189" t="str">
        <f t="shared" si="37"/>
        <v>944.847271298315-1728.45765177685j</v>
      </c>
      <c r="CC121" s="136" t="str">
        <f t="shared" si="38"/>
        <v>345.344767163428-652.459701657553j</v>
      </c>
      <c r="CD121" s="136">
        <f t="shared" si="68"/>
        <v>57.363699421609269</v>
      </c>
      <c r="CE121" s="136">
        <f t="shared" si="69"/>
        <v>117.89212134873991</v>
      </c>
      <c r="CF121" s="136"/>
      <c r="CG121" s="136">
        <f t="shared" si="70"/>
        <v>-56.363699421609269</v>
      </c>
      <c r="CH121" s="136">
        <f t="shared" si="71"/>
        <v>-117.89212134873991</v>
      </c>
      <c r="CI121" s="77"/>
      <c r="CJ121" s="189"/>
      <c r="CK121" s="189"/>
      <c r="CL121" s="189"/>
      <c r="CM121" s="77"/>
      <c r="CN121" s="189">
        <v>1445.43977074592</v>
      </c>
      <c r="CO121" s="189">
        <v>32.462474769146603</v>
      </c>
      <c r="CP121" s="189">
        <v>81.214431101534501</v>
      </c>
      <c r="CQ121" s="74"/>
      <c r="CR121" s="75"/>
      <c r="CS121" s="75"/>
      <c r="CT121" s="75"/>
      <c r="CU121" s="74"/>
      <c r="CV121" s="75"/>
      <c r="CW121" s="75"/>
      <c r="CX121" s="75"/>
      <c r="CY121" s="74"/>
      <c r="CZ121" s="75"/>
      <c r="DA121" s="75"/>
      <c r="DB121" s="75"/>
      <c r="DC121" s="74"/>
      <c r="DD121" s="75"/>
      <c r="DE121" s="75"/>
      <c r="DF121" s="75"/>
      <c r="DG121" s="74"/>
      <c r="DH121" s="75"/>
      <c r="DI121" s="75"/>
      <c r="DJ121" s="75"/>
      <c r="DK121" s="74"/>
      <c r="DL121" s="75"/>
      <c r="DM121" s="75"/>
      <c r="DN121" s="75"/>
      <c r="DO121" s="76"/>
    </row>
    <row r="122" spans="1:119" x14ac:dyDescent="0.25">
      <c r="A122" s="136">
        <v>73</v>
      </c>
      <c r="B122" s="136">
        <f t="shared" si="72"/>
        <v>154.8816618912482</v>
      </c>
      <c r="C122" s="136" t="str">
        <f t="shared" si="79"/>
        <v>973.150182346647j</v>
      </c>
      <c r="D122" s="136">
        <f t="shared" si="73"/>
        <v>0.99999940029177026</v>
      </c>
      <c r="E122" s="136" t="str">
        <f t="shared" si="74"/>
        <v>-0.00121643772793331j</v>
      </c>
      <c r="F122" s="136" t="str">
        <f t="shared" si="80"/>
        <v>0.99999940029177-0.00121643772793331j</v>
      </c>
      <c r="G122" s="136">
        <f t="shared" si="81"/>
        <v>1.2173474386982922E-6</v>
      </c>
      <c r="H122" s="136">
        <f t="shared" si="82"/>
        <v>-6.969675527152755E-2</v>
      </c>
      <c r="I122" s="136"/>
      <c r="J122" s="136">
        <f t="shared" si="75"/>
        <v>7.0726915520628681</v>
      </c>
      <c r="K122" s="136" t="str">
        <f t="shared" si="76"/>
        <v>1+0.0714285746174557j</v>
      </c>
      <c r="L122" s="136">
        <f t="shared" si="77"/>
        <v>0.99972141082506083</v>
      </c>
      <c r="M122" s="136" t="str">
        <f t="shared" si="78"/>
        <v>0.00522745687774069j</v>
      </c>
      <c r="N122" s="136" t="str">
        <f t="shared" si="83"/>
        <v>0.999721410825061+0.00522745687774069j</v>
      </c>
      <c r="O122" s="136" t="str">
        <f t="shared" si="12"/>
        <v>1.0000786431268+0.023489720929754j</v>
      </c>
      <c r="P122" s="136" t="str">
        <f t="shared" si="13"/>
        <v>7.07324777064141+0.166135550780185j</v>
      </c>
      <c r="Q122" s="136"/>
      <c r="R122" s="136">
        <f t="shared" si="14"/>
        <v>11.787819253438114</v>
      </c>
      <c r="S122" s="136" t="str">
        <f t="shared" si="15"/>
        <v>1+0.0000227889231524913j</v>
      </c>
      <c r="T122" s="136" t="str">
        <f t="shared" si="16"/>
        <v>0.999964927700822+0.00185477169186354j</v>
      </c>
      <c r="U122" s="136" t="str">
        <f t="shared" si="39"/>
        <v>1.00003167527217-0.00183210577527109j</v>
      </c>
      <c r="V122" s="136" t="str">
        <f t="shared" si="40"/>
        <v>11.7881926358213-0.0215965317320757j</v>
      </c>
      <c r="W122" s="136"/>
      <c r="X122" s="136" t="str">
        <f t="shared" si="17"/>
        <v>1.66815845571334+0.0384611140892393j</v>
      </c>
      <c r="Y122" s="136">
        <f t="shared" si="41"/>
        <v>4.4470540358298578</v>
      </c>
      <c r="Z122" s="136">
        <f t="shared" si="42"/>
        <v>-178.67922069667804</v>
      </c>
      <c r="AA122" s="136"/>
      <c r="AB122" s="136" t="str">
        <f t="shared" si="18"/>
        <v>9.2670184882757-0.0169776203211693j</v>
      </c>
      <c r="AC122" s="136">
        <f t="shared" si="43"/>
        <v>19.338815165958124</v>
      </c>
      <c r="AD122" s="136">
        <f t="shared" si="44"/>
        <v>179.8950315138031</v>
      </c>
      <c r="AE122" s="136"/>
      <c r="AF122" s="136" t="str">
        <f t="shared" si="45"/>
        <v>3.47237571818759-0.0564168363602086j</v>
      </c>
      <c r="AG122" s="136">
        <f t="shared" si="46"/>
        <v>10.81368049288319</v>
      </c>
      <c r="AH122" s="136">
        <f t="shared" si="47"/>
        <v>179.06917842563649</v>
      </c>
      <c r="AI122" s="136"/>
      <c r="AJ122" s="136" t="str">
        <f t="shared" si="19"/>
        <v>99998.8077850623-345.282597871899j</v>
      </c>
      <c r="AK122" s="136" t="str">
        <f t="shared" si="20"/>
        <v>19047.6190462266-0.162856318813017j</v>
      </c>
      <c r="AL122" s="136" t="str">
        <f t="shared" si="21"/>
        <v>10000-64358752.5769654j</v>
      </c>
      <c r="AM122" s="136" t="str">
        <f t="shared" si="22"/>
        <v>963.139109035569-19973406.0753697j</v>
      </c>
      <c r="AN122" s="136" t="str">
        <f t="shared" si="48"/>
        <v>10963.1391090356-19973406.0753697j</v>
      </c>
      <c r="AO122" s="136" t="str">
        <f t="shared" si="49"/>
        <v>19047.5914424965-18.3275578508141j</v>
      </c>
      <c r="AP122" s="136" t="str">
        <f t="shared" si="50"/>
        <v>0.160000259066685+0.000462916085026294j</v>
      </c>
      <c r="AQ122" s="136" t="str">
        <f t="shared" si="23"/>
        <v>1+0.00552458743090698j</v>
      </c>
      <c r="AR122" s="136" t="str">
        <f t="shared" si="24"/>
        <v>1+0.0000110271206205728j</v>
      </c>
      <c r="AS122" s="136" t="str">
        <f t="shared" si="25"/>
        <v>1.72988643930275E-08j</v>
      </c>
      <c r="AT122" s="136" t="str">
        <f t="shared" si="51"/>
        <v>-1.90756664260846E-13+1.72988643930275E-08j</v>
      </c>
      <c r="AU122" s="179" t="str">
        <f t="shared" si="52"/>
        <v>318723.829746782-57807266.3082876j</v>
      </c>
      <c r="AV122" s="136" t="str">
        <f t="shared" si="26"/>
        <v>7999.99937360461-2.23856265172533j</v>
      </c>
      <c r="AW122" s="136"/>
      <c r="AX122" s="136" t="str">
        <f t="shared" si="27"/>
        <v>0.499999960850288-0.000139910165732833j</v>
      </c>
      <c r="AY122" s="136"/>
      <c r="AZ122" s="136" t="str">
        <f t="shared" si="28"/>
        <v>4.89240382844208-578.064122310741j</v>
      </c>
      <c r="BA122" s="136" t="str">
        <f t="shared" si="29"/>
        <v>2.36532467552814-289.032723021357j</v>
      </c>
      <c r="BB122" s="136">
        <f t="shared" si="53"/>
        <v>49.219231131350945</v>
      </c>
      <c r="BC122" s="136">
        <f t="shared" si="54"/>
        <v>90.468874577289711</v>
      </c>
      <c r="BD122" s="136" t="str">
        <f t="shared" si="30"/>
        <v>17.0124196670437-2678.51174553986j</v>
      </c>
      <c r="BE122" s="136">
        <f t="shared" si="55"/>
        <v>68.558046297309062</v>
      </c>
      <c r="BF122" s="136">
        <f t="shared" si="56"/>
        <v>90.363906091092815</v>
      </c>
      <c r="BG122" s="136"/>
      <c r="BH122" s="136" t="str">
        <f t="shared" si="31"/>
        <v>-8.09301586850754-1003.76365331616j</v>
      </c>
      <c r="BI122" s="136">
        <f t="shared" si="57"/>
        <v>60.03291162423416</v>
      </c>
      <c r="BJ122" s="136">
        <f t="shared" si="58"/>
        <v>89.538053002926205</v>
      </c>
      <c r="BK122" s="136"/>
      <c r="BL122" s="136">
        <f t="shared" si="59"/>
        <v>-59.03291162423416</v>
      </c>
      <c r="BM122" s="136">
        <f t="shared" si="60"/>
        <v>-89.538053002926205</v>
      </c>
      <c r="BN122" s="136"/>
      <c r="BO122" s="189"/>
      <c r="BP122" s="189" t="str">
        <f t="shared" si="32"/>
        <v>0.00001+3.45286714431686E-08j</v>
      </c>
      <c r="BQ122" s="189" t="str">
        <f t="shared" si="33"/>
        <v>9.53754211708718E-11+1.72638088117313E-08j</v>
      </c>
      <c r="BR122" s="189" t="str">
        <f t="shared" si="34"/>
        <v>-0.000359341757666744-0.000431751339939991j</v>
      </c>
      <c r="BS122" s="189" t="str">
        <f t="shared" si="35"/>
        <v>0.0000625000953754212+5.17924802548999E-08j</v>
      </c>
      <c r="BT122" s="189" t="str">
        <f t="shared" si="61"/>
        <v>-2.24365326537941E-08-2.70031111256041E-08j</v>
      </c>
      <c r="BU122" s="189" t="str">
        <f t="shared" si="62"/>
        <v>-9.53754211708718E-11-1.72638088117313E-08j</v>
      </c>
      <c r="BV122" s="189" t="str">
        <f t="shared" si="63"/>
        <v>-2.2531908074965E-08-4.42669199373354E-08j</v>
      </c>
      <c r="BW122" s="189" t="str">
        <f t="shared" si="36"/>
        <v>0.999999996980048-0.0000549540899064625j</v>
      </c>
      <c r="BX122" s="189" t="str">
        <f t="shared" si="64"/>
        <v>-0.00001-3.45286714431686E-08j</v>
      </c>
      <c r="BY122" s="189" t="str">
        <f t="shared" si="65"/>
        <v>91.9337491178054-179.107990671288j</v>
      </c>
      <c r="BZ122" s="136">
        <f t="shared" si="66"/>
        <v>46.077925323935247</v>
      </c>
      <c r="CA122" s="136">
        <f t="shared" si="67"/>
        <v>117.17082635888961</v>
      </c>
      <c r="CB122" s="189" t="str">
        <f t="shared" si="37"/>
        <v>848.910925309098-1661.35787723596j</v>
      </c>
      <c r="CC122" s="136" t="str">
        <f t="shared" si="38"/>
        <v>309.123811918109-627.116849020309j</v>
      </c>
      <c r="CD122" s="136">
        <f t="shared" si="68"/>
        <v>56.891605816818426</v>
      </c>
      <c r="CE122" s="136">
        <f t="shared" si="69"/>
        <v>116.24000478452609</v>
      </c>
      <c r="CF122" s="136"/>
      <c r="CG122" s="136">
        <f t="shared" si="70"/>
        <v>-55.891605816818426</v>
      </c>
      <c r="CH122" s="136">
        <f t="shared" si="71"/>
        <v>-116.24000478452609</v>
      </c>
      <c r="CI122" s="77"/>
      <c r="CJ122" s="189"/>
      <c r="CK122" s="189"/>
      <c r="CL122" s="189"/>
      <c r="CM122" s="77"/>
      <c r="CN122" s="189">
        <v>1513.5612484362</v>
      </c>
      <c r="CO122" s="189">
        <v>32.025674871615003</v>
      </c>
      <c r="CP122" s="189">
        <v>80.783962199542501</v>
      </c>
      <c r="CQ122" s="74"/>
      <c r="CR122" s="75"/>
      <c r="CS122" s="75"/>
      <c r="CT122" s="75"/>
      <c r="CU122" s="74"/>
      <c r="CV122" s="75"/>
      <c r="CW122" s="75"/>
      <c r="CX122" s="75"/>
      <c r="CY122" s="74"/>
      <c r="CZ122" s="75"/>
      <c r="DA122" s="75"/>
      <c r="DB122" s="75"/>
      <c r="DC122" s="74"/>
      <c r="DD122" s="75"/>
      <c r="DE122" s="75"/>
      <c r="DF122" s="75"/>
      <c r="DG122" s="74"/>
      <c r="DH122" s="75"/>
      <c r="DI122" s="75"/>
      <c r="DJ122" s="75"/>
      <c r="DK122" s="74"/>
      <c r="DL122" s="75"/>
      <c r="DM122" s="75"/>
      <c r="DN122" s="75"/>
      <c r="DO122" s="76"/>
    </row>
    <row r="123" spans="1:119" x14ac:dyDescent="0.25">
      <c r="A123" s="136">
        <v>74</v>
      </c>
      <c r="B123" s="136">
        <f t="shared" si="72"/>
        <v>165.95869074375608</v>
      </c>
      <c r="C123" s="136" t="str">
        <f t="shared" si="79"/>
        <v>1042.74920727993j</v>
      </c>
      <c r="D123" s="136">
        <f t="shared" si="73"/>
        <v>0.99999931144282417</v>
      </c>
      <c r="E123" s="136" t="str">
        <f t="shared" si="74"/>
        <v>-0.00130343650909991j</v>
      </c>
      <c r="F123" s="136" t="str">
        <f t="shared" si="80"/>
        <v>0.999999311442824-0.00130343650909991j</v>
      </c>
      <c r="G123" s="136">
        <f t="shared" si="81"/>
        <v>1.3977021060392987E-6</v>
      </c>
      <c r="H123" s="136">
        <f t="shared" si="82"/>
        <v>-7.4681419963856341E-2</v>
      </c>
      <c r="I123" s="136"/>
      <c r="J123" s="136">
        <f t="shared" si="75"/>
        <v>7.0726915520628681</v>
      </c>
      <c r="K123" s="136" t="str">
        <f t="shared" si="76"/>
        <v>1+0.0765370966482087j</v>
      </c>
      <c r="L123" s="136">
        <f t="shared" si="77"/>
        <v>0.99968013682988377</v>
      </c>
      <c r="M123" s="136" t="str">
        <f t="shared" si="78"/>
        <v>0.00560132096179626j</v>
      </c>
      <c r="N123" s="136" t="str">
        <f t="shared" si="83"/>
        <v>0.999680136829884+0.00560132096179626j</v>
      </c>
      <c r="O123" s="136" t="str">
        <f t="shared" si="12"/>
        <v>1.00009029507396+0.0251697970817785j</v>
      </c>
      <c r="P123" s="136" t="str">
        <f t="shared" si="13"/>
        <v>7.07333018126966+0.178018211187431j</v>
      </c>
      <c r="Q123" s="136"/>
      <c r="R123" s="136">
        <f t="shared" si="14"/>
        <v>11.787819253438114</v>
      </c>
      <c r="S123" s="136" t="str">
        <f t="shared" si="15"/>
        <v>1+0.0000244187711034707j</v>
      </c>
      <c r="T123" s="136" t="str">
        <f t="shared" si="16"/>
        <v>0.999959731612684+0.00198742367464j</v>
      </c>
      <c r="U123" s="136" t="str">
        <f t="shared" si="39"/>
        <v>1.00003636822863-0.00196315623575077j</v>
      </c>
      <c r="V123" s="136" t="str">
        <f t="shared" si="40"/>
        <v>11.7882479555438-0.02314133087329j</v>
      </c>
      <c r="W123" s="136"/>
      <c r="X123" s="136" t="str">
        <f t="shared" si="17"/>
        <v>1.66818037811585+0.0412119963189266j</v>
      </c>
      <c r="Y123" s="136">
        <f t="shared" si="41"/>
        <v>4.4475099704980261</v>
      </c>
      <c r="Z123" s="136">
        <f t="shared" si="42"/>
        <v>-178.58480936495738</v>
      </c>
      <c r="AA123" s="136"/>
      <c r="AB123" s="136" t="str">
        <f t="shared" si="18"/>
        <v>9.26706197661247-0.0181920288946095j</v>
      </c>
      <c r="AC123" s="136">
        <f t="shared" si="43"/>
        <v>19.338858086825631</v>
      </c>
      <c r="AD123" s="136">
        <f t="shared" si="44"/>
        <v>179.88752366822018</v>
      </c>
      <c r="AE123" s="136"/>
      <c r="AF123" s="136" t="str">
        <f t="shared" si="45"/>
        <v>3.47224303467882-0.0604494723749178j</v>
      </c>
      <c r="AG123" s="136">
        <f t="shared" si="46"/>
        <v>10.813518390847348</v>
      </c>
      <c r="AH123" s="136">
        <f t="shared" si="47"/>
        <v>179.00261883801818</v>
      </c>
      <c r="AI123" s="136"/>
      <c r="AJ123" s="136" t="str">
        <f t="shared" si="19"/>
        <v>99998.6311565195-369.976315889612j</v>
      </c>
      <c r="AK123" s="136" t="str">
        <f t="shared" si="20"/>
        <v>19047.6190460203-0.174503689586188j</v>
      </c>
      <c r="AL123" s="136" t="str">
        <f t="shared" si="21"/>
        <v>10000-60063082.6363826j</v>
      </c>
      <c r="AM123" s="136" t="str">
        <f t="shared" si="22"/>
        <v>963.139107397052-18640267.1356736j</v>
      </c>
      <c r="AN123" s="136" t="str">
        <f t="shared" si="48"/>
        <v>10963.1391073971-18640267.1356736j</v>
      </c>
      <c r="AO123" s="136" t="str">
        <f t="shared" si="49"/>
        <v>19047.5873527083-19.6383254317483j</v>
      </c>
      <c r="AP123" s="136" t="str">
        <f t="shared" si="50"/>
        <v>0.160000297448338+0.000496023498794519j</v>
      </c>
      <c r="AQ123" s="136" t="str">
        <f t="shared" si="23"/>
        <v>1+0.00591970208568986j</v>
      </c>
      <c r="AR123" s="136" t="str">
        <f t="shared" si="24"/>
        <v>1+0.0000118157726261275j</v>
      </c>
      <c r="AS123" s="136" t="str">
        <f t="shared" si="25"/>
        <v>1.85360671558164E-08j</v>
      </c>
      <c r="AT123" s="136" t="str">
        <f t="shared" si="51"/>
        <v>-2.19017954895756E-13+1.85360671558164E-08j</v>
      </c>
      <c r="AU123" s="179" t="str">
        <f t="shared" si="52"/>
        <v>318723.82974104-53948880.3854734j</v>
      </c>
      <c r="AV123" s="136" t="str">
        <f t="shared" si="26"/>
        <v>7999.99928080187-2.39866306948226j</v>
      </c>
      <c r="AW123" s="136"/>
      <c r="AX123" s="136" t="str">
        <f t="shared" si="27"/>
        <v>0.499999955050117-0.000149916441842641j</v>
      </c>
      <c r="AY123" s="136"/>
      <c r="AZ123" s="136" t="str">
        <f t="shared" si="28"/>
        <v>4.89240448390729-539.479652252856j</v>
      </c>
      <c r="BA123" s="136" t="str">
        <f t="shared" si="29"/>
        <v>2.36532515212838-269.740535328753j</v>
      </c>
      <c r="BB123" s="136">
        <f t="shared" si="53"/>
        <v>48.619258232568619</v>
      </c>
      <c r="BC123" s="136">
        <f t="shared" si="54"/>
        <v>90.502407525715952</v>
      </c>
      <c r="BD123" s="136" t="str">
        <f t="shared" si="30"/>
        <v>17.0124871668659-2499.74528855969j</v>
      </c>
      <c r="BE123" s="136">
        <f t="shared" si="55"/>
        <v>67.95811631939425</v>
      </c>
      <c r="BF123" s="136">
        <f t="shared" si="56"/>
        <v>90.389931193936135</v>
      </c>
      <c r="BG123" s="136"/>
      <c r="BH123" s="136" t="str">
        <f t="shared" si="31"/>
        <v>-8.09268925452258-936.74767762324j</v>
      </c>
      <c r="BI123" s="136">
        <f t="shared" si="57"/>
        <v>59.432776623415968</v>
      </c>
      <c r="BJ123" s="136">
        <f t="shared" si="58"/>
        <v>89.505026363734146</v>
      </c>
      <c r="BK123" s="136"/>
      <c r="BL123" s="136">
        <f t="shared" si="59"/>
        <v>-58.432776623415968</v>
      </c>
      <c r="BM123" s="136">
        <f t="shared" si="60"/>
        <v>-89.505026363734146</v>
      </c>
      <c r="BN123" s="136"/>
      <c r="BO123" s="189"/>
      <c r="BP123" s="189" t="str">
        <f t="shared" si="32"/>
        <v>0.00001+3.69981380355616E-08j</v>
      </c>
      <c r="BQ123" s="189" t="str">
        <f t="shared" si="33"/>
        <v>1.09505140073185E-10+1.84984207799747E-08j</v>
      </c>
      <c r="BR123" s="189" t="str">
        <f t="shared" si="34"/>
        <v>-0.00035966752304095-0.000462628118032842j</v>
      </c>
      <c r="BS123" s="189" t="str">
        <f t="shared" si="35"/>
        <v>0.0000625001095051401+5.54965588155363E-08j</v>
      </c>
      <c r="BT123" s="189" t="str">
        <f t="shared" si="61"/>
        <v>-2.24535853069397E-08-2.8934268347056E-08j</v>
      </c>
      <c r="BU123" s="189" t="str">
        <f t="shared" si="62"/>
        <v>-1.09505140073185E-10-1.84984207799747E-08j</v>
      </c>
      <c r="BV123" s="189" t="str">
        <f t="shared" si="63"/>
        <v>-2.25630904470129E-08-4.74326891270307E-08j</v>
      </c>
      <c r="BW123" s="189" t="str">
        <f t="shared" si="36"/>
        <v>0.999999996532631-0.0000588843682101918j</v>
      </c>
      <c r="BX123" s="189" t="str">
        <f t="shared" si="64"/>
        <v>-0.00001-3.69981380355616E-08j</v>
      </c>
      <c r="BY123" s="189" t="str">
        <f t="shared" si="65"/>
        <v>82.4073261105268-171.62506156057j</v>
      </c>
      <c r="BZ123" s="136">
        <f t="shared" si="66"/>
        <v>45.592616335957466</v>
      </c>
      <c r="CA123" s="136">
        <f t="shared" si="67"/>
        <v>115.64841170306505</v>
      </c>
      <c r="CB123" s="189" t="str">
        <f t="shared" si="37"/>
        <v>760.551590314218-1591.95923867946j</v>
      </c>
      <c r="CC123" s="136" t="str">
        <f t="shared" si="38"/>
        <v>275.763619676134-600.905403963222j</v>
      </c>
      <c r="CD123" s="136">
        <f t="shared" si="68"/>
        <v>56.406134726804815</v>
      </c>
      <c r="CE123" s="136">
        <f t="shared" si="69"/>
        <v>114.65103054108326</v>
      </c>
      <c r="CF123" s="136"/>
      <c r="CG123" s="136">
        <f t="shared" si="70"/>
        <v>-55.406134726804815</v>
      </c>
      <c r="CH123" s="136">
        <f t="shared" si="71"/>
        <v>-114.65103054108326</v>
      </c>
      <c r="CI123" s="77"/>
      <c r="CJ123" s="189"/>
      <c r="CK123" s="189"/>
      <c r="CL123" s="189"/>
      <c r="CM123" s="77"/>
      <c r="CN123" s="189">
        <v>1584.8931924611099</v>
      </c>
      <c r="CO123" s="189">
        <v>31.585846044965301</v>
      </c>
      <c r="CP123" s="189">
        <v>80.345867602943002</v>
      </c>
      <c r="CQ123" s="74"/>
      <c r="CR123" s="75"/>
      <c r="CS123" s="75"/>
      <c r="CT123" s="75"/>
      <c r="CU123" s="74"/>
      <c r="CV123" s="75"/>
      <c r="CW123" s="75"/>
      <c r="CX123" s="75"/>
      <c r="CY123" s="74"/>
      <c r="CZ123" s="75"/>
      <c r="DA123" s="75"/>
      <c r="DB123" s="75"/>
      <c r="DC123" s="74"/>
      <c r="DD123" s="75"/>
      <c r="DE123" s="75"/>
      <c r="DF123" s="75"/>
      <c r="DG123" s="74"/>
      <c r="DH123" s="75"/>
      <c r="DI123" s="75"/>
      <c r="DJ123" s="75"/>
      <c r="DK123" s="74"/>
      <c r="DL123" s="75"/>
      <c r="DM123" s="75"/>
      <c r="DN123" s="75"/>
      <c r="DO123" s="76"/>
    </row>
    <row r="124" spans="1:119" x14ac:dyDescent="0.25">
      <c r="A124" s="136">
        <v>75</v>
      </c>
      <c r="B124" s="136">
        <f t="shared" si="72"/>
        <v>177.82794100389242</v>
      </c>
      <c r="C124" s="136" t="str">
        <f t="shared" si="79"/>
        <v>1117.32590612166j</v>
      </c>
      <c r="D124" s="136">
        <f t="shared" si="73"/>
        <v>0.99999920943058496</v>
      </c>
      <c r="E124" s="136" t="str">
        <f t="shared" si="74"/>
        <v>-0.00139665738265207j</v>
      </c>
      <c r="F124" s="136" t="str">
        <f t="shared" si="80"/>
        <v>0.999999209430585-0.00139665738265207j</v>
      </c>
      <c r="G124" s="136">
        <f t="shared" si="81"/>
        <v>1.604777048356094E-6</v>
      </c>
      <c r="H124" s="136">
        <f t="shared" si="82"/>
        <v>-8.0022584683078074E-2</v>
      </c>
      <c r="I124" s="136"/>
      <c r="J124" s="136">
        <f t="shared" si="75"/>
        <v>7.0726915520628681</v>
      </c>
      <c r="K124" s="136" t="str">
        <f t="shared" si="76"/>
        <v>1+0.0820109766253924j</v>
      </c>
      <c r="L124" s="136">
        <f t="shared" si="77"/>
        <v>0.99963274794284762</v>
      </c>
      <c r="M124" s="136" t="str">
        <f t="shared" si="78"/>
        <v>0.00600192354539679j</v>
      </c>
      <c r="N124" s="136" t="str">
        <f t="shared" si="83"/>
        <v>0.999632747942848+0.00600192354539679j</v>
      </c>
      <c r="O124" s="136" t="str">
        <f t="shared" si="12"/>
        <v>1.0001036735167+0.026970055897993j</v>
      </c>
      <c r="P124" s="136" t="str">
        <f t="shared" si="13"/>
        <v>7.0734248028686+0.190750886508398j</v>
      </c>
      <c r="Q124" s="136"/>
      <c r="R124" s="136">
        <f t="shared" si="14"/>
        <v>11.787819253438114</v>
      </c>
      <c r="S124" s="136" t="str">
        <f t="shared" si="15"/>
        <v>1+0.000026165184647547j</v>
      </c>
      <c r="T124" s="136" t="str">
        <f t="shared" si="16"/>
        <v>0.999953765705272+0.00212956283506302j</v>
      </c>
      <c r="U124" s="136" t="str">
        <f t="shared" si="39"/>
        <v>1.00004175651136-0.00210358383124503j</v>
      </c>
      <c r="V124" s="136" t="str">
        <f t="shared" si="40"/>
        <v>11.7883114716467-0.0247966659871713j</v>
      </c>
      <c r="W124" s="136"/>
      <c r="X124" s="136" t="str">
        <f t="shared" si="17"/>
        <v>1.66820554879021+0.0441596588981032j</v>
      </c>
      <c r="Y124" s="136">
        <f t="shared" si="41"/>
        <v>4.4480334053452157</v>
      </c>
      <c r="Z124" s="136">
        <f t="shared" si="42"/>
        <v>-178.48365728024305</v>
      </c>
      <c r="AA124" s="136"/>
      <c r="AB124" s="136" t="str">
        <f t="shared" si="18"/>
        <v>9.26711190834654-0.0194933327991636j</v>
      </c>
      <c r="AC124" s="136">
        <f t="shared" si="43"/>
        <v>19.338907366808805</v>
      </c>
      <c r="AD124" s="136">
        <f t="shared" si="44"/>
        <v>179.87947873492911</v>
      </c>
      <c r="AE124" s="136"/>
      <c r="AF124" s="136" t="str">
        <f t="shared" si="45"/>
        <v>3.47209070584148-0.0647700002388332j</v>
      </c>
      <c r="AG124" s="136">
        <f t="shared" si="46"/>
        <v>10.813332280268675</v>
      </c>
      <c r="AH124" s="136">
        <f t="shared" si="47"/>
        <v>178.93130174615416</v>
      </c>
      <c r="AI124" s="136"/>
      <c r="AJ124" s="136" t="str">
        <f t="shared" si="19"/>
        <v>99998.4283605879-396.43596098777j</v>
      </c>
      <c r="AK124" s="136" t="str">
        <f t="shared" si="20"/>
        <v>19047.6190457835-0.186984072224466j</v>
      </c>
      <c r="AL124" s="136" t="str">
        <f t="shared" si="21"/>
        <v>10000-56054130.1895291j</v>
      </c>
      <c r="AM124" s="136" t="str">
        <f t="shared" si="22"/>
        <v>963.139105515786-17396109.4876629j</v>
      </c>
      <c r="AN124" s="136" t="str">
        <f t="shared" si="48"/>
        <v>10963.1391055158-17396109.4876629j</v>
      </c>
      <c r="AO124" s="136" t="str">
        <f t="shared" si="49"/>
        <v>19047.5826570067-21.0428366742755j</v>
      </c>
      <c r="AP124" s="136" t="str">
        <f t="shared" si="50"/>
        <v>0.16000034151637+0.000531498726493768j</v>
      </c>
      <c r="AQ124" s="136" t="str">
        <f t="shared" si="23"/>
        <v>1+0.006343075066072j</v>
      </c>
      <c r="AR124" s="136" t="str">
        <f t="shared" si="24"/>
        <v>1+0.0000126608284751936j</v>
      </c>
      <c r="AS124" s="136" t="str">
        <f t="shared" si="25"/>
        <v>1.98617538006379E-08j</v>
      </c>
      <c r="AT124" s="136" t="str">
        <f t="shared" si="51"/>
        <v>-2.51466258086401E-13+1.98617538006379E-08j</v>
      </c>
      <c r="AU124" s="179" t="str">
        <f t="shared" si="52"/>
        <v>318723.829734449-50348025.1636274j</v>
      </c>
      <c r="AV124" s="136" t="str">
        <f t="shared" si="26"/>
        <v>7999.99917425007-2.57021375147812j</v>
      </c>
      <c r="AW124" s="136"/>
      <c r="AX124" s="136" t="str">
        <f t="shared" si="27"/>
        <v>0.499999948390629-0.000160638359467383j</v>
      </c>
      <c r="AY124" s="136"/>
      <c r="AZ124" s="136" t="str">
        <f t="shared" si="28"/>
        <v>4.89240523648201-503.470445518615j</v>
      </c>
      <c r="BA124" s="136" t="str">
        <f t="shared" si="29"/>
        <v>2.36532569933863-251.735982683466j</v>
      </c>
      <c r="BB124" s="136">
        <f t="shared" si="53"/>
        <v>48.019289348803724</v>
      </c>
      <c r="BC124" s="136">
        <f t="shared" si="54"/>
        <v>90.538338580964833</v>
      </c>
      <c r="BD124" s="136" t="str">
        <f t="shared" si="30"/>
        <v>17.0125646674858-2332.9116309663j</v>
      </c>
      <c r="BE124" s="136">
        <f t="shared" si="55"/>
        <v>67.358196715612522</v>
      </c>
      <c r="BF124" s="136">
        <f t="shared" si="56"/>
        <v>90.417817315893956</v>
      </c>
      <c r="BG124" s="136"/>
      <c r="BH124" s="136" t="str">
        <f t="shared" si="31"/>
        <v>-8.09231428156933-874.203367947246j</v>
      </c>
      <c r="BI124" s="136">
        <f t="shared" si="57"/>
        <v>58.832621629072406</v>
      </c>
      <c r="BJ124" s="136">
        <f t="shared" si="58"/>
        <v>89.469640327119009</v>
      </c>
      <c r="BK124" s="136"/>
      <c r="BL124" s="136">
        <f t="shared" si="59"/>
        <v>-57.832621629072406</v>
      </c>
      <c r="BM124" s="136">
        <f t="shared" si="60"/>
        <v>-89.469640327119009</v>
      </c>
      <c r="BN124" s="136"/>
      <c r="BO124" s="189"/>
      <c r="BP124" s="189" t="str">
        <f t="shared" si="32"/>
        <v>0.00001+3.964421916295E-08j</v>
      </c>
      <c r="BQ124" s="189" t="str">
        <f t="shared" si="33"/>
        <v>1.25728070424416E-10+1.98213120788864E-08j</v>
      </c>
      <c r="BR124" s="189" t="str">
        <f t="shared" si="34"/>
        <v>-0.000360041548647569-0.000495712772494847j</v>
      </c>
      <c r="BS124" s="189" t="str">
        <f t="shared" si="35"/>
        <v>0.0000625001257280704+5.94655312418364E-08j</v>
      </c>
      <c r="BT124" s="189" t="str">
        <f t="shared" si="61"/>
        <v>-2.24731642344425E-08-3.10035206678978E-08j</v>
      </c>
      <c r="BU124" s="189" t="str">
        <f t="shared" si="62"/>
        <v>-1.25728070424416E-10-1.98213120788864E-08j</v>
      </c>
      <c r="BV124" s="189" t="str">
        <f t="shared" si="63"/>
        <v>-2.25988923048669E-08-5.08248327467842E-08j</v>
      </c>
      <c r="BW124" s="189" t="str">
        <f t="shared" si="36"/>
        <v>0.999999996018928-0.0000630957372815276j</v>
      </c>
      <c r="BX124" s="189" t="str">
        <f t="shared" si="64"/>
        <v>-0.00001-3.964421916295E-08j</v>
      </c>
      <c r="BY124" s="189" t="str">
        <f t="shared" si="65"/>
        <v>73.6849185863736-163.990798818153j</v>
      </c>
      <c r="BZ124" s="136">
        <f t="shared" si="66"/>
        <v>45.095042632298679</v>
      </c>
      <c r="CA124" s="136">
        <f t="shared" si="67"/>
        <v>114.19550349456875</v>
      </c>
      <c r="CB124" s="189" t="str">
        <f t="shared" si="37"/>
        <v>679.649659279965-1521.15744922725j</v>
      </c>
      <c r="CC124" s="136" t="str">
        <f t="shared" si="38"/>
        <v>245.219036905816-574.163500614467j</v>
      </c>
      <c r="CD124" s="136">
        <f t="shared" si="68"/>
        <v>55.908374912567361</v>
      </c>
      <c r="CE124" s="136">
        <f t="shared" si="69"/>
        <v>113.12680524072293</v>
      </c>
      <c r="CF124" s="136"/>
      <c r="CG124" s="136">
        <f t="shared" si="70"/>
        <v>-54.908374912567361</v>
      </c>
      <c r="CH124" s="136">
        <f t="shared" si="71"/>
        <v>-113.12680524072293</v>
      </c>
      <c r="CI124" s="77"/>
      <c r="CJ124" s="189"/>
      <c r="CK124" s="189"/>
      <c r="CL124" s="189"/>
      <c r="CM124" s="77"/>
      <c r="CN124" s="189">
        <v>1659.5869074375601</v>
      </c>
      <c r="CO124" s="189">
        <v>31.142791443073399</v>
      </c>
      <c r="CP124" s="189">
        <v>79.900683718970498</v>
      </c>
      <c r="CQ124" s="74"/>
      <c r="CR124" s="75"/>
      <c r="CS124" s="75"/>
      <c r="CT124" s="75"/>
      <c r="CU124" s="74"/>
      <c r="CV124" s="75"/>
      <c r="CW124" s="75"/>
      <c r="CX124" s="75"/>
      <c r="CY124" s="74"/>
      <c r="CZ124" s="75"/>
      <c r="DA124" s="75"/>
      <c r="DB124" s="75"/>
      <c r="DC124" s="74"/>
      <c r="DD124" s="75"/>
      <c r="DE124" s="75"/>
      <c r="DF124" s="75"/>
      <c r="DG124" s="74"/>
      <c r="DH124" s="75"/>
      <c r="DI124" s="75"/>
      <c r="DJ124" s="75"/>
      <c r="DK124" s="74"/>
      <c r="DL124" s="75"/>
      <c r="DM124" s="75"/>
      <c r="DN124" s="75"/>
      <c r="DO124" s="76"/>
    </row>
    <row r="125" spans="1:119" x14ac:dyDescent="0.25">
      <c r="A125" s="136">
        <v>76</v>
      </c>
      <c r="B125" s="136">
        <f t="shared" si="72"/>
        <v>190.54607179632481</v>
      </c>
      <c r="C125" s="136" t="str">
        <f t="shared" si="79"/>
        <v>1197.23627865145j</v>
      </c>
      <c r="D125" s="136">
        <f t="shared" si="73"/>
        <v>0.99999909230486306</v>
      </c>
      <c r="E125" s="136" t="str">
        <f t="shared" si="74"/>
        <v>-0.00149654534831431j</v>
      </c>
      <c r="F125" s="136" t="str">
        <f t="shared" si="80"/>
        <v>0.999999092304863-0.00149654534831431j</v>
      </c>
      <c r="G125" s="136">
        <f t="shared" si="81"/>
        <v>1.8425309910846237E-6</v>
      </c>
      <c r="H125" s="136">
        <f t="shared" si="82"/>
        <v>-8.5745746125893585E-2</v>
      </c>
      <c r="I125" s="136"/>
      <c r="J125" s="136">
        <f t="shared" si="75"/>
        <v>7.0726915520628681</v>
      </c>
      <c r="K125" s="136" t="str">
        <f t="shared" si="76"/>
        <v>1+0.0878763446954973j</v>
      </c>
      <c r="L125" s="136">
        <f t="shared" si="77"/>
        <v>0.99957833822057829</v>
      </c>
      <c r="M125" s="136" t="str">
        <f t="shared" si="78"/>
        <v>0.00643117694745275j</v>
      </c>
      <c r="N125" s="136" t="str">
        <f t="shared" si="83"/>
        <v>0.999578338220578+0.00643117694745275j</v>
      </c>
      <c r="O125" s="136" t="str">
        <f t="shared" si="12"/>
        <v>1.0001190343108+0.0288990984666838j</v>
      </c>
      <c r="P125" s="136" t="str">
        <f t="shared" si="13"/>
        <v>7.07353344502727+0.204394409587548j</v>
      </c>
      <c r="Q125" s="136"/>
      <c r="R125" s="136">
        <f t="shared" si="14"/>
        <v>11.787819253438114</v>
      </c>
      <c r="S125" s="136" t="str">
        <f t="shared" si="15"/>
        <v>1+0.0000280365004749533j</v>
      </c>
      <c r="T125" s="136" t="str">
        <f t="shared" si="16"/>
        <v>0.99994691592707+0.00228186768948656j</v>
      </c>
      <c r="U125" s="136" t="str">
        <f t="shared" si="39"/>
        <v>1.00004794315071-0.0022540602436365j</v>
      </c>
      <c r="V125" s="136" t="str">
        <f t="shared" si="40"/>
        <v>11.7883843986331-0.0265704547383477j</v>
      </c>
      <c r="W125" s="136"/>
      <c r="X125" s="136" t="str">
        <f t="shared" si="17"/>
        <v>1.66823444910334+0.0473181844394323j</v>
      </c>
      <c r="Y125" s="136">
        <f t="shared" si="41"/>
        <v>4.4486343254437051</v>
      </c>
      <c r="Z125" s="136">
        <f t="shared" si="42"/>
        <v>-178.375284988955</v>
      </c>
      <c r="AA125" s="136"/>
      <c r="AB125" s="136" t="str">
        <f t="shared" si="18"/>
        <v>9.2671692382318-0.0208877563260999j</v>
      </c>
      <c r="AC125" s="136">
        <f t="shared" si="43"/>
        <v>19.338963948108379</v>
      </c>
      <c r="AD125" s="136">
        <f t="shared" si="44"/>
        <v>179.87085827143588</v>
      </c>
      <c r="AE125" s="136"/>
      <c r="AF125" s="136" t="str">
        <f t="shared" si="45"/>
        <v>3.47191582503412-0.0693988902494964j</v>
      </c>
      <c r="AG125" s="136">
        <f t="shared" si="46"/>
        <v>10.813118606568452</v>
      </c>
      <c r="AH125" s="136">
        <f t="shared" si="47"/>
        <v>178.85488753908041</v>
      </c>
      <c r="AI125" s="136"/>
      <c r="AJ125" s="136" t="str">
        <f t="shared" si="19"/>
        <v>99998.1955207189-424.787796395622j</v>
      </c>
      <c r="AK125" s="136" t="str">
        <f t="shared" si="20"/>
        <v>19047.6190455115-0.200357043157597j</v>
      </c>
      <c r="AL125" s="136" t="str">
        <f t="shared" si="21"/>
        <v>10000-52312758.0768125j</v>
      </c>
      <c r="AM125" s="136" t="str">
        <f t="shared" si="22"/>
        <v>963.139103355803-16234994.0128809j</v>
      </c>
      <c r="AN125" s="136" t="str">
        <f t="shared" si="48"/>
        <v>10963.1391033558-16234994.0128809j</v>
      </c>
      <c r="AO125" s="136" t="str">
        <f t="shared" si="49"/>
        <v>19047.5772656244-22.5477957087573j</v>
      </c>
      <c r="AP125" s="136" t="str">
        <f t="shared" si="50"/>
        <v>0.160000392113232+0.000569511111310906j</v>
      </c>
      <c r="AQ125" s="136" t="str">
        <f t="shared" si="23"/>
        <v>1+0.00679672738786746j</v>
      </c>
      <c r="AR125" s="136" t="str">
        <f t="shared" si="24"/>
        <v>1+0.000013566322131472j</v>
      </c>
      <c r="AS125" s="136" t="str">
        <f t="shared" si="25"/>
        <v>2.128225263326E-08j</v>
      </c>
      <c r="AT125" s="136" t="str">
        <f t="shared" si="51"/>
        <v>-2.88721894906173E-13+2.128225263326E-08j</v>
      </c>
      <c r="AU125" s="179" t="str">
        <f t="shared" si="52"/>
        <v>318723.829726879-46987511.578532j</v>
      </c>
      <c r="AV125" s="136" t="str">
        <f t="shared" si="26"/>
        <v>7999.99905191225-2.75403361118066j</v>
      </c>
      <c r="AW125" s="136"/>
      <c r="AX125" s="136" t="str">
        <f t="shared" si="27"/>
        <v>0.499999940744516-0.000172127100698791j</v>
      </c>
      <c r="AY125" s="136"/>
      <c r="AZ125" s="136" t="str">
        <f t="shared" si="28"/>
        <v>4.89240610055329-469.864608341464j</v>
      </c>
      <c r="BA125" s="136" t="str">
        <f t="shared" si="29"/>
        <v>2.36532632761996-234.933118444355j</v>
      </c>
      <c r="BB125" s="136">
        <f t="shared" si="53"/>
        <v>47.41932507485528</v>
      </c>
      <c r="BC125" s="136">
        <f t="shared" si="54"/>
        <v>90.576839220271708</v>
      </c>
      <c r="BD125" s="136" t="str">
        <f t="shared" si="30"/>
        <v>17.012653650703-2177.21437464936j</v>
      </c>
      <c r="BE125" s="136">
        <f t="shared" si="55"/>
        <v>66.758289022963652</v>
      </c>
      <c r="BF125" s="136">
        <f t="shared" si="56"/>
        <v>90.447697491707572</v>
      </c>
      <c r="BG125" s="136"/>
      <c r="BH125" s="136" t="str">
        <f t="shared" si="31"/>
        <v>-8.09188379465818-815.832162773787j</v>
      </c>
      <c r="BI125" s="136">
        <f t="shared" si="57"/>
        <v>58.232443681423746</v>
      </c>
      <c r="BJ125" s="136">
        <f t="shared" si="58"/>
        <v>89.431726759352131</v>
      </c>
      <c r="BK125" s="136"/>
      <c r="BL125" s="136">
        <f t="shared" si="59"/>
        <v>-57.232443681423746</v>
      </c>
      <c r="BM125" s="136">
        <f t="shared" si="60"/>
        <v>-89.431726759352131</v>
      </c>
      <c r="BN125" s="136"/>
      <c r="BO125" s="189"/>
      <c r="BP125" s="189" t="str">
        <f t="shared" si="32"/>
        <v>0.00001+4.24795461741716E-08j</v>
      </c>
      <c r="BQ125" s="189" t="str">
        <f t="shared" si="33"/>
        <v>1.44354278934534E-10+2.12387919504046E-08j</v>
      </c>
      <c r="BR125" s="189" t="str">
        <f t="shared" si="34"/>
        <v>-0.000360470983432237-0.000531163114857357j</v>
      </c>
      <c r="BS125" s="189" t="str">
        <f t="shared" si="35"/>
        <v>0.0000625001443542789+6.37183381245762E-08j</v>
      </c>
      <c r="BT125" s="189" t="str">
        <f t="shared" si="61"/>
        <v>-2.24956436690919E-08-3.32207399662597E-08j</v>
      </c>
      <c r="BU125" s="189" t="str">
        <f t="shared" si="62"/>
        <v>-1.44354278934534E-10-2.12387919504046E-08j</v>
      </c>
      <c r="BV125" s="189" t="str">
        <f t="shared" si="63"/>
        <v>-2.26399979480264E-08-5.44595319166643E-08j</v>
      </c>
      <c r="BW125" s="189" t="str">
        <f t="shared" si="36"/>
        <v>0.999999995429118-0.000067608300535481j</v>
      </c>
      <c r="BX125" s="189" t="str">
        <f t="shared" si="64"/>
        <v>-0.00001-4.24795461741716E-08j</v>
      </c>
      <c r="BY125" s="189" t="str">
        <f t="shared" si="65"/>
        <v>65.7417131283272-156.292393202365j</v>
      </c>
      <c r="BZ125" s="136">
        <f t="shared" si="66"/>
        <v>44.586270484478597</v>
      </c>
      <c r="CA125" s="136">
        <f t="shared" si="67"/>
        <v>112.81322078697004</v>
      </c>
      <c r="CB125" s="189" t="str">
        <f t="shared" si="37"/>
        <v>605.974984146659-1449.76125533887j</v>
      </c>
      <c r="CC125" s="136" t="str">
        <f t="shared" si="38"/>
        <v>217.40317553241-547.196435225953j</v>
      </c>
      <c r="CD125" s="136">
        <f t="shared" si="68"/>
        <v>55.399389091047048</v>
      </c>
      <c r="CE125" s="136">
        <f t="shared" si="69"/>
        <v>111.66810832605039</v>
      </c>
      <c r="CF125" s="136"/>
      <c r="CG125" s="136">
        <f t="shared" si="70"/>
        <v>-54.399389091047048</v>
      </c>
      <c r="CH125" s="136">
        <f t="shared" si="71"/>
        <v>-111.66810832605039</v>
      </c>
      <c r="CI125" s="77"/>
      <c r="CJ125" s="189"/>
      <c r="CK125" s="189"/>
      <c r="CL125" s="189"/>
      <c r="CM125" s="77"/>
      <c r="CN125" s="189">
        <v>1737.8008287493701</v>
      </c>
      <c r="CO125" s="189">
        <v>30.696309930035401</v>
      </c>
      <c r="CP125" s="189">
        <v>79.449084021998104</v>
      </c>
      <c r="CQ125" s="74"/>
      <c r="CR125" s="75"/>
      <c r="CS125" s="75"/>
      <c r="CT125" s="75"/>
      <c r="CU125" s="74"/>
      <c r="CV125" s="75"/>
      <c r="CW125" s="75"/>
      <c r="CX125" s="75"/>
      <c r="CY125" s="74"/>
      <c r="CZ125" s="75"/>
      <c r="DA125" s="75"/>
      <c r="DB125" s="75"/>
      <c r="DC125" s="74"/>
      <c r="DD125" s="75"/>
      <c r="DE125" s="75"/>
      <c r="DF125" s="75"/>
      <c r="DG125" s="74"/>
      <c r="DH125" s="75"/>
      <c r="DI125" s="75"/>
      <c r="DJ125" s="75"/>
      <c r="DK125" s="74"/>
      <c r="DL125" s="75"/>
      <c r="DM125" s="75"/>
      <c r="DN125" s="75"/>
      <c r="DO125" s="76"/>
    </row>
    <row r="126" spans="1:119" x14ac:dyDescent="0.25">
      <c r="A126" s="136">
        <v>77</v>
      </c>
      <c r="B126" s="136">
        <f t="shared" si="72"/>
        <v>204.17379446695315</v>
      </c>
      <c r="C126" s="136" t="str">
        <f t="shared" si="79"/>
        <v>1282.86178550586j</v>
      </c>
      <c r="D126" s="136">
        <f t="shared" si="73"/>
        <v>0.99999895782654136</v>
      </c>
      <c r="E126" s="136" t="str">
        <f t="shared" si="74"/>
        <v>-0.00160357723188233j</v>
      </c>
      <c r="F126" s="136" t="str">
        <f t="shared" si="80"/>
        <v>0.999998957826541-0.00160357723188233j</v>
      </c>
      <c r="G126" s="136">
        <f t="shared" si="81"/>
        <v>2.1155091723940784E-6</v>
      </c>
      <c r="H126" s="136">
        <f t="shared" si="82"/>
        <v>-9.1878224509423317E-2</v>
      </c>
      <c r="I126" s="136"/>
      <c r="J126" s="136">
        <f t="shared" si="75"/>
        <v>7.0726915520628681</v>
      </c>
      <c r="K126" s="136" t="str">
        <f t="shared" si="76"/>
        <v>1+0.0941611998149398j</v>
      </c>
      <c r="L126" s="136">
        <f t="shared" si="77"/>
        <v>0.99951586750091015</v>
      </c>
      <c r="M126" s="136" t="str">
        <f t="shared" si="78"/>
        <v>0.00689113025459469j</v>
      </c>
      <c r="N126" s="136" t="str">
        <f t="shared" si="83"/>
        <v>0.99951586750091+0.00689113025459469j</v>
      </c>
      <c r="O126" s="136" t="str">
        <f t="shared" si="12"/>
        <v>1.00013667124003+0.0309661423344603j</v>
      </c>
      <c r="P126" s="136" t="str">
        <f t="shared" si="13"/>
        <v>7.07365818558764+0.219013973288914j</v>
      </c>
      <c r="Q126" s="136"/>
      <c r="R126" s="136">
        <f t="shared" si="14"/>
        <v>11.787819253438114</v>
      </c>
      <c r="S126" s="136" t="str">
        <f t="shared" si="15"/>
        <v>1+0.0000300416515102157j</v>
      </c>
      <c r="T126" s="136" t="str">
        <f t="shared" si="16"/>
        <v>0.999939051329422+0.00244506528128278j</v>
      </c>
      <c r="U126" s="136" t="str">
        <f t="shared" si="39"/>
        <v>1.00005504644613-0.00241530543158195j</v>
      </c>
      <c r="V126" s="136" t="str">
        <f t="shared" si="40"/>
        <v>11.7884681309956-0.0284711838693354j</v>
      </c>
      <c r="W126" s="136"/>
      <c r="X126" s="136" t="str">
        <f t="shared" si="17"/>
        <v>1.66826763177779+0.0507026648112509j</v>
      </c>
      <c r="Y126" s="136">
        <f t="shared" si="41"/>
        <v>4.4493241903207803</v>
      </c>
      <c r="Z126" s="136">
        <f t="shared" si="42"/>
        <v>-178.25917935406409</v>
      </c>
      <c r="AA126" s="136"/>
      <c r="AB126" s="136" t="str">
        <f t="shared" si="18"/>
        <v>9.26723506251677-0.0223819711342752j</v>
      </c>
      <c r="AC126" s="136">
        <f t="shared" si="43"/>
        <v>19.339028912538748</v>
      </c>
      <c r="AD126" s="136">
        <f t="shared" si="44"/>
        <v>179.86162107887498</v>
      </c>
      <c r="AE126" s="136"/>
      <c r="AF126" s="136" t="str">
        <f t="shared" si="45"/>
        <v>3.47171505622101-0.0743580492402964j</v>
      </c>
      <c r="AG126" s="136">
        <f t="shared" si="46"/>
        <v>10.812873289298757</v>
      </c>
      <c r="AH126" s="136">
        <f t="shared" si="47"/>
        <v>178.77301246490333</v>
      </c>
      <c r="AI126" s="136"/>
      <c r="AJ126" s="136" t="str">
        <f t="shared" si="19"/>
        <v>99997.9281861172-455.167107622865j</v>
      </c>
      <c r="AK126" s="136" t="str">
        <f t="shared" si="20"/>
        <v>19047.6190451993-0.214686439680171j</v>
      </c>
      <c r="AL126" s="136" t="str">
        <f t="shared" si="21"/>
        <v>10000-48821106.4617378j</v>
      </c>
      <c r="AM126" s="136" t="str">
        <f t="shared" si="22"/>
        <v>963.139100875816-15151378.0034905j</v>
      </c>
      <c r="AN126" s="136" t="str">
        <f t="shared" si="48"/>
        <v>10963.1391008758-15151378.0034905j</v>
      </c>
      <c r="AO126" s="136" t="str">
        <f t="shared" si="49"/>
        <v>19047.5710754952-24.160386059435j</v>
      </c>
      <c r="AP126" s="136" t="str">
        <f t="shared" si="50"/>
        <v>0.160000450206195+0.000610242107458858j</v>
      </c>
      <c r="AQ126" s="136" t="str">
        <f t="shared" si="23"/>
        <v>1+0.00728282460853713j</v>
      </c>
      <c r="AR126" s="136" t="str">
        <f t="shared" si="24"/>
        <v>1+0.0000145365760649444j</v>
      </c>
      <c r="AS126" s="136" t="str">
        <f t="shared" si="25"/>
        <v>2.28043445554819E-08j</v>
      </c>
      <c r="AT126" s="136" t="str">
        <f t="shared" si="51"/>
        <v>-3.31497089241963E-13+2.28043445554819E-08j</v>
      </c>
      <c r="AU126" s="179" t="str">
        <f t="shared" si="52"/>
        <v>318723.829718188-43851297.862259j</v>
      </c>
      <c r="AV126" s="136" t="str">
        <f t="shared" si="26"/>
        <v>7999.99891144963-2.95100012984015j</v>
      </c>
      <c r="AW126" s="136"/>
      <c r="AX126" s="136" t="str">
        <f t="shared" si="27"/>
        <v>0.499999931965602-0.000184437508115009j</v>
      </c>
      <c r="AY126" s="136"/>
      <c r="AZ126" s="136" t="str">
        <f t="shared" si="28"/>
        <v>4.89240709263977-438.501719694296j</v>
      </c>
      <c r="BA126" s="136" t="str">
        <f t="shared" si="29"/>
        <v>2.36532704898335-219.25173235732j</v>
      </c>
      <c r="BB126" s="136">
        <f t="shared" si="53"/>
        <v>46.819366093631487</v>
      </c>
      <c r="BC126" s="136">
        <f t="shared" si="54"/>
        <v>90.61809317704558</v>
      </c>
      <c r="BD126" s="136" t="str">
        <f t="shared" si="30"/>
        <v>17.0127558178965-2031.91028230103j</v>
      </c>
      <c r="BE126" s="136">
        <f t="shared" si="55"/>
        <v>66.158395006170224</v>
      </c>
      <c r="BF126" s="136">
        <f t="shared" si="56"/>
        <v>90.47971425592057</v>
      </c>
      <c r="BG126" s="136"/>
      <c r="BH126" s="136" t="str">
        <f t="shared" si="31"/>
        <v>-8.09138958180356-761.355421432623j</v>
      </c>
      <c r="BI126" s="136">
        <f t="shared" si="57"/>
        <v>57.632239382930209</v>
      </c>
      <c r="BJ126" s="136">
        <f t="shared" si="58"/>
        <v>89.391105641948926</v>
      </c>
      <c r="BK126" s="136"/>
      <c r="BL126" s="136">
        <f t="shared" si="59"/>
        <v>-56.632239382930209</v>
      </c>
      <c r="BM126" s="136">
        <f t="shared" si="60"/>
        <v>-89.391105641948926</v>
      </c>
      <c r="BN126" s="136"/>
      <c r="BO126" s="189"/>
      <c r="BP126" s="189" t="str">
        <f t="shared" si="32"/>
        <v>0.00001+4.55176538033571E-08j</v>
      </c>
      <c r="BQ126" s="189" t="str">
        <f t="shared" si="33"/>
        <v>1.65739753861625E-10+2.27576198481205E-08j</v>
      </c>
      <c r="BR126" s="189" t="str">
        <f t="shared" si="34"/>
        <v>-0.00036096403517009-0.000569148221522448j</v>
      </c>
      <c r="BS126" s="189" t="str">
        <f t="shared" si="35"/>
        <v>0.0000625001657397539+6.82752736514776E-08j</v>
      </c>
      <c r="BT126" s="189" t="str">
        <f t="shared" si="61"/>
        <v>-2.25214532736483E-08-3.55965030939187E-08j</v>
      </c>
      <c r="BU126" s="189" t="str">
        <f t="shared" si="62"/>
        <v>-1.65739753861625E-10-2.27576198481205E-08j</v>
      </c>
      <c r="BV126" s="189" t="str">
        <f t="shared" si="63"/>
        <v>-2.26871930275099E-08-5.83541229420392E-08j</v>
      </c>
      <c r="BW126" s="189" t="str">
        <f t="shared" si="36"/>
        <v>0.999999994751925-0.0000724435991690155j</v>
      </c>
      <c r="BX126" s="189" t="str">
        <f t="shared" si="64"/>
        <v>-0.00001-4.55176538033571E-08j</v>
      </c>
      <c r="BY126" s="189" t="str">
        <f t="shared" si="65"/>
        <v>58.5436228880461-148.606685094118j</v>
      </c>
      <c r="BZ126" s="136">
        <f t="shared" si="66"/>
        <v>44.067326347358076</v>
      </c>
      <c r="CA126" s="136">
        <f t="shared" si="67"/>
        <v>111.50196680833584</v>
      </c>
      <c r="CB126" s="189" t="str">
        <f t="shared" si="37"/>
        <v>539.211404178723-1378.48340430618j</v>
      </c>
      <c r="CC126" s="136" t="str">
        <f t="shared" si="38"/>
        <v>192.196673818489-520.27325568976j</v>
      </c>
      <c r="CD126" s="136">
        <f t="shared" si="68"/>
        <v>54.880199636656862</v>
      </c>
      <c r="CE126" s="136">
        <f t="shared" si="69"/>
        <v>110.27497927323913</v>
      </c>
      <c r="CF126" s="136"/>
      <c r="CG126" s="136">
        <f t="shared" si="70"/>
        <v>-53.880199636656862</v>
      </c>
      <c r="CH126" s="136">
        <f t="shared" si="71"/>
        <v>-110.27497927323913</v>
      </c>
      <c r="CI126" s="77"/>
      <c r="CJ126" s="189"/>
      <c r="CK126" s="189"/>
      <c r="CL126" s="189"/>
      <c r="CM126" s="77"/>
      <c r="CN126" s="189">
        <v>1819.7008586099801</v>
      </c>
      <c r="CO126" s="189">
        <v>30.2461976305195</v>
      </c>
      <c r="CP126" s="189">
        <v>78.991890256784004</v>
      </c>
      <c r="CQ126" s="74"/>
      <c r="CR126" s="75"/>
      <c r="CS126" s="75"/>
      <c r="CT126" s="75"/>
      <c r="CU126" s="74"/>
      <c r="CV126" s="75"/>
      <c r="CW126" s="75"/>
      <c r="CX126" s="75"/>
      <c r="CY126" s="74"/>
      <c r="CZ126" s="75"/>
      <c r="DA126" s="75"/>
      <c r="DB126" s="75"/>
      <c r="DC126" s="74"/>
      <c r="DD126" s="75"/>
      <c r="DE126" s="75"/>
      <c r="DF126" s="75"/>
      <c r="DG126" s="74"/>
      <c r="DH126" s="75"/>
      <c r="DI126" s="75"/>
      <c r="DJ126" s="75"/>
      <c r="DK126" s="74"/>
      <c r="DL126" s="75"/>
      <c r="DM126" s="75"/>
      <c r="DN126" s="75"/>
      <c r="DO126" s="76"/>
    </row>
    <row r="127" spans="1:119" x14ac:dyDescent="0.25">
      <c r="A127" s="136">
        <v>78</v>
      </c>
      <c r="B127" s="136">
        <f t="shared" si="72"/>
        <v>218.77616239495524</v>
      </c>
      <c r="C127" s="136" t="str">
        <f t="shared" si="79"/>
        <v>1374.61116912112j</v>
      </c>
      <c r="D127" s="136">
        <f t="shared" si="73"/>
        <v>0.99999880342476921</v>
      </c>
      <c r="E127" s="136" t="str">
        <f t="shared" si="74"/>
        <v>-0.0017182639614014j</v>
      </c>
      <c r="F127" s="136" t="str">
        <f t="shared" si="80"/>
        <v>0.999998803424769-0.0017182639614014j</v>
      </c>
      <c r="G127" s="136">
        <f t="shared" si="81"/>
        <v>2.4289302307417475E-6</v>
      </c>
      <c r="H127" s="136">
        <f t="shared" si="82"/>
        <v>-9.8449293991426531E-2</v>
      </c>
      <c r="I127" s="136"/>
      <c r="J127" s="136">
        <f t="shared" si="75"/>
        <v>7.0726915520628681</v>
      </c>
      <c r="K127" s="136" t="str">
        <f t="shared" si="76"/>
        <v>1+0.100895543406044j</v>
      </c>
      <c r="L127" s="136">
        <f t="shared" si="77"/>
        <v>0.99944414151788563</v>
      </c>
      <c r="M127" s="136" t="str">
        <f t="shared" si="78"/>
        <v>0.00738397910270518j</v>
      </c>
      <c r="N127" s="136" t="str">
        <f t="shared" si="83"/>
        <v>0.999444141517886+0.00738397910270518j</v>
      </c>
      <c r="O127" s="136" t="str">
        <f t="shared" si="12"/>
        <v>1.0001569216423+0.0331810658976774j</v>
      </c>
      <c r="P127" s="136" t="str">
        <f t="shared" si="13"/>
        <v>7.0738014104367+0.234679444462944j</v>
      </c>
      <c r="Q127" s="136"/>
      <c r="R127" s="136">
        <f t="shared" si="14"/>
        <v>11.787819253438114</v>
      </c>
      <c r="S127" s="136" t="str">
        <f t="shared" si="15"/>
        <v>1+0.0000321902095544167j</v>
      </c>
      <c r="T127" s="136" t="str">
        <f t="shared" si="16"/>
        <v>0.99993002156315+0.00261993465146072j</v>
      </c>
      <c r="U127" s="136" t="str">
        <f t="shared" si="39"/>
        <v>1.00006320222999-0.00258809113819098j</v>
      </c>
      <c r="V127" s="136" t="str">
        <f t="shared" si="40"/>
        <v>11.7885642699017-0.0305079505484202j</v>
      </c>
      <c r="W127" s="136"/>
      <c r="X127" s="136" t="str">
        <f t="shared" si="17"/>
        <v>1.66830573147577+0.0543292737972107j</v>
      </c>
      <c r="Y127" s="136">
        <f t="shared" si="41"/>
        <v>4.4501161508579496</v>
      </c>
      <c r="Z127" s="136">
        <f t="shared" si="42"/>
        <v>-178.13479128526851</v>
      </c>
      <c r="AA127" s="136"/>
      <c r="AB127" s="136" t="str">
        <f t="shared" si="18"/>
        <v>9.26731063992272-0.0239831287548274j</v>
      </c>
      <c r="AC127" s="136">
        <f t="shared" si="43"/>
        <v>19.339103502220674</v>
      </c>
      <c r="AD127" s="136">
        <f t="shared" si="44"/>
        <v>179.85172300326556</v>
      </c>
      <c r="AE127" s="136"/>
      <c r="AF127" s="136" t="str">
        <f t="shared" si="45"/>
        <v>3.47148457074889-0.0796709170070479j</v>
      </c>
      <c r="AG127" s="136">
        <f t="shared" si="46"/>
        <v>10.81259164447421</v>
      </c>
      <c r="AH127" s="136">
        <f t="shared" si="47"/>
        <v>178.68528693824288</v>
      </c>
      <c r="AI127" s="136"/>
      <c r="AJ127" s="136" t="str">
        <f t="shared" si="19"/>
        <v>99997.621246689-487.718845890016j</v>
      </c>
      <c r="AK127" s="136" t="str">
        <f t="shared" si="20"/>
        <v>19047.6190448408-0.230040664685702j</v>
      </c>
      <c r="AL127" s="136" t="str">
        <f t="shared" si="21"/>
        <v>10000-45562507.5750846j</v>
      </c>
      <c r="AM127" s="136" t="str">
        <f t="shared" si="22"/>
        <v>963.139098028403-14140088.70357j</v>
      </c>
      <c r="AN127" s="136" t="str">
        <f t="shared" si="48"/>
        <v>10963.1390980284-14140088.70357j</v>
      </c>
      <c r="AO127" s="136" t="str">
        <f t="shared" si="49"/>
        <v>19047.5639682836-25.8883049117254j</v>
      </c>
      <c r="AP127" s="136" t="str">
        <f t="shared" si="50"/>
        <v>0.160000516905832+0.000653886146284088j</v>
      </c>
      <c r="AQ127" s="136" t="str">
        <f t="shared" si="23"/>
        <v>1+0.00780368716470707j</v>
      </c>
      <c r="AR127" s="136" t="str">
        <f t="shared" si="24"/>
        <v>1+0.0000155762218856429j</v>
      </c>
      <c r="AS127" s="136" t="str">
        <f t="shared" si="25"/>
        <v>2.4435295434489E-08j</v>
      </c>
      <c r="AT127" s="136" t="str">
        <f t="shared" si="51"/>
        <v>-3.80609583528838E-13+2.4435295434489E-08j</v>
      </c>
      <c r="AU127" s="179" t="str">
        <f t="shared" si="52"/>
        <v>318723.82970821-40924412.966086j</v>
      </c>
      <c r="AV127" s="136" t="str">
        <f t="shared" si="26"/>
        <v>7999.99875017698-3.16205354513831j</v>
      </c>
      <c r="AW127" s="136"/>
      <c r="AX127" s="136" t="str">
        <f t="shared" si="27"/>
        <v>0.499999921886061-0.000197628346571144j</v>
      </c>
      <c r="AY127" s="136"/>
      <c r="AZ127" s="136" t="str">
        <f t="shared" si="28"/>
        <v>4.89240823170733-409.232065502631j</v>
      </c>
      <c r="BA127" s="136" t="str">
        <f t="shared" si="29"/>
        <v>2.36532787721921-204.616967663136j</v>
      </c>
      <c r="BB127" s="136">
        <f t="shared" si="53"/>
        <v>46.219413189198796</v>
      </c>
      <c r="BC127" s="136">
        <f t="shared" si="54"/>
        <v>90.662297315635911</v>
      </c>
      <c r="BD127" s="136" t="str">
        <f t="shared" si="30"/>
        <v>17.0128731225721-1896.30572949633j</v>
      </c>
      <c r="BE127" s="136">
        <f t="shared" si="55"/>
        <v>65.55851669141947</v>
      </c>
      <c r="BF127" s="136">
        <f t="shared" si="56"/>
        <v>90.514020318901473</v>
      </c>
      <c r="BG127" s="136"/>
      <c r="BH127" s="136" t="str">
        <f t="shared" si="31"/>
        <v>-8.09082221839479-710.513093997002j</v>
      </c>
      <c r="BI127" s="136">
        <f t="shared" si="57"/>
        <v>57.032004833673007</v>
      </c>
      <c r="BJ127" s="136">
        <f t="shared" si="58"/>
        <v>89.347584253878807</v>
      </c>
      <c r="BK127" s="136"/>
      <c r="BL127" s="136">
        <f t="shared" si="59"/>
        <v>-56.032004833673007</v>
      </c>
      <c r="BM127" s="136">
        <f t="shared" si="60"/>
        <v>-89.347584253878807</v>
      </c>
      <c r="BN127" s="136"/>
      <c r="BO127" s="189"/>
      <c r="BP127" s="189" t="str">
        <f t="shared" si="32"/>
        <v>0.00001+4.87730447794192E-08j</v>
      </c>
      <c r="BQ127" s="189" t="str">
        <f t="shared" si="33"/>
        <v>1.90293203377717E-10+2.43850374010809E-08j</v>
      </c>
      <c r="BR127" s="189" t="str">
        <f t="shared" si="34"/>
        <v>-0.00036153012723569-0.000609849234422989j</v>
      </c>
      <c r="BS127" s="189" t="str">
        <f t="shared" si="35"/>
        <v>0.0000625001902932034+7.31580821805001E-08j</v>
      </c>
      <c r="BT127" s="189" t="str">
        <f t="shared" si="61"/>
        <v>-2.2551086348547E-08-3.81421420523603E-08j</v>
      </c>
      <c r="BU127" s="189" t="str">
        <f t="shared" si="62"/>
        <v>-1.90293203377717E-10-2.43850374010809E-08j</v>
      </c>
      <c r="BV127" s="189" t="str">
        <f t="shared" si="63"/>
        <v>-2.27413795519247E-08-6.25271794534412E-08j</v>
      </c>
      <c r="BW127" s="189" t="str">
        <f t="shared" si="36"/>
        <v>0.999999993974404-0.0000776247149901404j</v>
      </c>
      <c r="BX127" s="189" t="str">
        <f t="shared" si="64"/>
        <v>-0.00001-4.87730447794192E-08j</v>
      </c>
      <c r="BY127" s="189" t="str">
        <f t="shared" si="65"/>
        <v>52.049792387493-140.999797504375j</v>
      </c>
      <c r="BZ127" s="136">
        <f t="shared" si="66"/>
        <v>43.539186106679615</v>
      </c>
      <c r="CA127" s="136">
        <f t="shared" si="67"/>
        <v>110.26152368374865</v>
      </c>
      <c r="CB127" s="189" t="str">
        <f t="shared" si="37"/>
        <v>478.979978500431-1307.93724051174j</v>
      </c>
      <c r="CC127" s="136" t="str">
        <f t="shared" si="38"/>
        <v>169.456468018884-493.625476204696j</v>
      </c>
      <c r="CD127" s="136">
        <f t="shared" si="68"/>
        <v>54.351777751153875</v>
      </c>
      <c r="CE127" s="136">
        <f t="shared" si="69"/>
        <v>108.94681062199153</v>
      </c>
      <c r="CF127" s="136"/>
      <c r="CG127" s="136">
        <f t="shared" si="70"/>
        <v>-53.351777751153875</v>
      </c>
      <c r="CH127" s="136">
        <f t="shared" si="71"/>
        <v>-108.94681062199153</v>
      </c>
      <c r="CI127" s="77"/>
      <c r="CJ127" s="189"/>
      <c r="CK127" s="189"/>
      <c r="CL127" s="189"/>
      <c r="CM127" s="77"/>
      <c r="CN127" s="189">
        <v>1905.4607179632401</v>
      </c>
      <c r="CO127" s="189">
        <v>29.792249787484799</v>
      </c>
      <c r="CP127" s="189">
        <v>78.530083273799704</v>
      </c>
      <c r="CQ127" s="74"/>
      <c r="CR127" s="75"/>
      <c r="CS127" s="75"/>
      <c r="CT127" s="75"/>
      <c r="CU127" s="74"/>
      <c r="CV127" s="75"/>
      <c r="CW127" s="75"/>
      <c r="CX127" s="75"/>
      <c r="CY127" s="74"/>
      <c r="CZ127" s="75"/>
      <c r="DA127" s="75"/>
      <c r="DB127" s="75"/>
      <c r="DC127" s="74"/>
      <c r="DD127" s="75"/>
      <c r="DE127" s="75"/>
      <c r="DF127" s="75"/>
      <c r="DG127" s="74"/>
      <c r="DH127" s="75"/>
      <c r="DI127" s="75"/>
      <c r="DJ127" s="75"/>
      <c r="DK127" s="74"/>
      <c r="DL127" s="75"/>
      <c r="DM127" s="75"/>
      <c r="DN127" s="75"/>
      <c r="DO127" s="76"/>
    </row>
    <row r="128" spans="1:119" x14ac:dyDescent="0.25">
      <c r="A128" s="136">
        <v>79</v>
      </c>
      <c r="B128" s="136">
        <f t="shared" si="72"/>
        <v>234.42288153199232</v>
      </c>
      <c r="C128" s="136" t="str">
        <f t="shared" si="79"/>
        <v>1472.92240490851j</v>
      </c>
      <c r="D128" s="136">
        <f t="shared" si="73"/>
        <v>0.99999862614781532</v>
      </c>
      <c r="E128" s="136" t="str">
        <f t="shared" si="74"/>
        <v>-0.00184115300613564j</v>
      </c>
      <c r="F128" s="136" t="str">
        <f t="shared" si="80"/>
        <v>0.999998626147815-0.00184115300613564j</v>
      </c>
      <c r="G128" s="136">
        <f t="shared" si="81"/>
        <v>2.788785985397453E-6</v>
      </c>
      <c r="H128" s="136">
        <f t="shared" si="82"/>
        <v>-0.10549032241885767</v>
      </c>
      <c r="I128" s="136"/>
      <c r="J128" s="136">
        <f t="shared" si="75"/>
        <v>7.0726915520628681</v>
      </c>
      <c r="K128" s="136" t="str">
        <f t="shared" si="76"/>
        <v>1+0.108111522572015j</v>
      </c>
      <c r="L128" s="136">
        <f t="shared" si="77"/>
        <v>0.9993617890707206</v>
      </c>
      <c r="M128" s="136" t="str">
        <f t="shared" si="78"/>
        <v>0.00791207615801962j</v>
      </c>
      <c r="N128" s="136" t="str">
        <f t="shared" si="83"/>
        <v>0.999361789070721+0.00791207615801962j</v>
      </c>
      <c r="O128" s="136" t="str">
        <f t="shared" ref="O128:O191" si="84">IMDIV(K113,N113)</f>
        <v>1.00018017287167+0.0355544560384448j</v>
      </c>
      <c r="P128" s="136" t="str">
        <f t="shared" ref="P128:P191" si="85">IMPRODUCT(J113,O128)</f>
        <v>7.07396585921024+0.251465700861299j</v>
      </c>
      <c r="Q128" s="136"/>
      <c r="R128" s="136">
        <f t="shared" ref="R128:R191" si="86">Vin/(1+((DCR*10^-3)/Rout))</f>
        <v>11.787819253438114</v>
      </c>
      <c r="S128" s="136" t="str">
        <f t="shared" ref="S128:S191" si="87">IMSUM(1,IMPRODUCT(C113,ncap*(cap*10^-6)*(esr/(ncap*1000))))</f>
        <v>1+0.0000344924309772015j</v>
      </c>
      <c r="T128" s="136" t="str">
        <f t="shared" ref="T128:T191" si="88">IMSUM(L113,M113)</f>
        <v>0.999919654004304+0.00280731055750112j</v>
      </c>
      <c r="U128" s="136" t="str">
        <f t="shared" si="39"/>
        <v>1.0000725664671-0.00277324466223683j</v>
      </c>
      <c r="V128" s="136" t="str">
        <f t="shared" si="40"/>
        <v>11.7886746538361-0.0326905068240098j</v>
      </c>
      <c r="W128" s="136"/>
      <c r="X128" s="136" t="str">
        <f t="shared" ref="X128:X191" si="89">IMPRODUCT(Fm,Rt,P128,F113)</f>
        <v>1.66834947695551+0.0582153450626807j</v>
      </c>
      <c r="Y128" s="136">
        <f t="shared" si="41"/>
        <v>4.4510252978358498</v>
      </c>
      <c r="Z128" s="136">
        <f t="shared" si="42"/>
        <v>-178.0015333386722</v>
      </c>
      <c r="AA128" s="136"/>
      <c r="AB128" s="136" t="str">
        <f t="shared" ref="AB128:AB191" si="90">IMPRODUCT(Fm,V128)</f>
        <v>9.26739741573243-0.0256988955379499j</v>
      </c>
      <c r="AC128" s="136">
        <f t="shared" si="43"/>
        <v>19.339189143340235</v>
      </c>
      <c r="AD128" s="136">
        <f t="shared" si="44"/>
        <v>179.84111672218214</v>
      </c>
      <c r="AE128" s="136"/>
      <c r="AF128" s="136" t="str">
        <f t="shared" si="45"/>
        <v>3.47121997488061-0.0853625681835274j</v>
      </c>
      <c r="AG128" s="136">
        <f t="shared" si="46"/>
        <v>10.812268295470634</v>
      </c>
      <c r="AH128" s="136">
        <f t="shared" si="47"/>
        <v>178.59129373443076</v>
      </c>
      <c r="AI128" s="136"/>
      <c r="AJ128" s="136" t="str">
        <f t="shared" ref="AJ128:AJ191" si="91">IMDIV(_Rfb1,IMSUM(1,IMPRODUCT(C113,_Cfb1*_Rfb1)))</f>
        <v>99997.2688353965-522.598317153572j</v>
      </c>
      <c r="AK128" s="136" t="str">
        <f t="shared" ref="AK128:AK191" si="92">IMDIV(_Rfb2,IMSUM(1,IMPRODUCT(C113,_Cfb2*_Rfb2)))</f>
        <v>19047.6190444292-0.246493013195094j</v>
      </c>
      <c r="AL128" s="136" t="str">
        <f t="shared" ref="AL128:AL191" si="93">IMDIV(IMSUM(1,IMPRODUCT(C113,10000,0.000000000045)),IMPRODUCT(C113,0.000000000045))</f>
        <v>10000-42521406.149543j</v>
      </c>
      <c r="AM128" s="136" t="str">
        <f t="shared" ref="AM128:AM191" si="94">IMDIV(AL128,IMSUM(1,IMPRODUCT(C113,AL128,0.0000000001)))</f>
        <v>963.139094759146-13196298.6164146j</v>
      </c>
      <c r="AN128" s="136" t="str">
        <f t="shared" si="48"/>
        <v>10963.1390947591-13196298.6164146j</v>
      </c>
      <c r="AO128" s="136" t="str">
        <f t="shared" si="49"/>
        <v>19047.5558081234-27.7397998260058j</v>
      </c>
      <c r="AP128" s="136" t="str">
        <f t="shared" si="50"/>
        <v>0.160000593487248+0.000700651564302495j</v>
      </c>
      <c r="AQ128" s="136" t="str">
        <f t="shared" ref="AQ128:AQ191" si="95">IMSUM(1,IMPRODUCT(C113,_Res1*_Cap1))</f>
        <v>1+0.00836180144901854j</v>
      </c>
      <c r="AR128" s="136" t="str">
        <f t="shared" ref="AR128:AR191" si="96">IMSUM(1,IMPRODUCT(C113,_Res1*_Cap1*_Cap2/(_Cap1+_Cap2)))</f>
        <v>1+0.0000166902224531308j</v>
      </c>
      <c r="AS128" s="136" t="str">
        <f t="shared" ref="AS128:AS191" si="97">IMPRODUCT(C113,(_Cap1+_Cap2))</f>
        <v>2.61828907872393E-08j</v>
      </c>
      <c r="AT128" s="136" t="str">
        <f t="shared" si="51"/>
        <v>-4.36998271705053E-13+2.61828907872393E-08j</v>
      </c>
      <c r="AU128" s="179" t="str">
        <f t="shared" si="52"/>
        <v>318723.829696754-38192885.0946103j</v>
      </c>
      <c r="AV128" s="136" t="str">
        <f t="shared" ref="AV128:AV191" si="98">+IMDIV(1,IMSUM(IMDIV(1,_R3_T),IMDIV(1,AJ128),IMDIV(1,AK128)))</f>
        <v>7999.9985650112-3.38820133938834j</v>
      </c>
      <c r="AW128" s="136"/>
      <c r="AX128" s="136" t="str">
        <f t="shared" ref="AX128:AX191" si="99">IMDIV(AV128,_R3_T)</f>
        <v>0.4999999103132-0.000211762583711771j</v>
      </c>
      <c r="AY128" s="136"/>
      <c r="AZ128" s="136" t="str">
        <f t="shared" ref="AZ128:AZ191" si="100">IMDIV(IMDIV(AU128,AJ128),IMPRODUCT(IMSUM(1,IMPRODUCT(C113,1/700000)),IMSUM(1,IMPRODUCT(C113,1/35000000))))</f>
        <v>4.89240953953169-381.915923968638j</v>
      </c>
      <c r="BA128" s="136" t="str">
        <f t="shared" ref="BA128:BA191" si="101">IMPRODUCT(AX128, IMDIV(IMDIV(AU128,AJ128),IMPRODUCT(IMSUM(1,IMPRODUCT(C113,1/700000)),IMSUM(1,IMPRODUCT(C113,1/35000000)))))</f>
        <v>2.36532882816102-190.958963760787j</v>
      </c>
      <c r="BB128" s="136">
        <f t="shared" si="53"/>
        <v>45.619467261763937</v>
      </c>
      <c r="BC128" s="136">
        <f t="shared" si="54"/>
        <v>90.709662568250536</v>
      </c>
      <c r="BD128" s="136" t="str">
        <f t="shared" ref="BD128:BD191" si="102">IMPRODUCT(BA128,Fm,V128)</f>
        <v>17.0130078077332-1769.75339360613j</v>
      </c>
      <c r="BE128" s="136">
        <f t="shared" si="55"/>
        <v>64.958656405104179</v>
      </c>
      <c r="BF128" s="136">
        <f t="shared" si="56"/>
        <v>90.550779290432672</v>
      </c>
      <c r="BG128" s="136"/>
      <c r="BH128" s="136" t="str">
        <f t="shared" ref="BH128:BH191" si="103">IMDIV(BD128,IMSUM(1,X128))</f>
        <v>-8.09017088881247-663.062479932317j</v>
      </c>
      <c r="BI128" s="136">
        <f t="shared" si="57"/>
        <v>56.431735557234582</v>
      </c>
      <c r="BJ128" s="136">
        <f t="shared" si="58"/>
        <v>89.300956302681328</v>
      </c>
      <c r="BK128" s="136"/>
      <c r="BL128" s="136">
        <f t="shared" si="59"/>
        <v>-55.431735557234582</v>
      </c>
      <c r="BM128" s="136">
        <f t="shared" si="60"/>
        <v>-89.300956302681328</v>
      </c>
      <c r="BN128" s="136"/>
      <c r="BO128" s="189"/>
      <c r="BP128" s="189" t="str">
        <f t="shared" ref="BP128:BP191" si="104">IMSUM(1/_Rfb1,IMPRODUCT(C113,_Cfb1))</f>
        <v>0.00001+5.22612590563659E-08j</v>
      </c>
      <c r="BQ128" s="189" t="str">
        <f t="shared" ref="BQ128:BQ191" si="105">IMDIV(IMPRODUCT(C113,_Cap1),IMSUM(1,IMPRODUCT(C113,_Cap1,_Res1)))</f>
        <v>2.18483859521486E-10+2.61288026095299E-08j</v>
      </c>
      <c r="BR128" s="189" t="str">
        <f t="shared" ref="BR128:BR191" si="106">IMDIV(IMSUM(1/70000000,BQ128),IMSUB(BQ128,gm))</f>
        <v>-0.000362180078567331-0.000653460217795558j</v>
      </c>
      <c r="BS128" s="189" t="str">
        <f t="shared" ref="BS128:BS191" si="107">IMSUM(BP128,BQ128,1/_Rfb2)</f>
        <v>0.0000625002184838595+7.83900616658958E-08j</v>
      </c>
      <c r="BT128" s="189" t="str">
        <f t="shared" si="61"/>
        <v>-2.25851092541904E-08-4.08697977014258E-08j</v>
      </c>
      <c r="BU128" s="189" t="str">
        <f t="shared" si="62"/>
        <v>-2.18483859521486E-10-2.61288026095299E-08j</v>
      </c>
      <c r="BV128" s="189" t="str">
        <f t="shared" si="63"/>
        <v>-2.28035931137119E-08-6.69986003109557E-08j</v>
      </c>
      <c r="BW128" s="189" t="str">
        <f t="shared" ref="BW128:BW191" si="108">IMDIV(1,IMSUM(1,IMPRODUCT(C113,1/6283185)))</f>
        <v>0.99999999308169-0.0000831763806012497j</v>
      </c>
      <c r="BX128" s="189" t="str">
        <f t="shared" si="64"/>
        <v>-0.00001-5.22612590563659E-08j</v>
      </c>
      <c r="BY128" s="189" t="str">
        <f t="shared" si="65"/>
        <v>46.2148577379731-133.527259144719j</v>
      </c>
      <c r="BZ128" s="136">
        <f t="shared" si="66"/>
        <v>43.002767541484637</v>
      </c>
      <c r="CA128" s="136">
        <f t="shared" si="67"/>
        <v>109.09114821198003</v>
      </c>
      <c r="CB128" s="189" t="str">
        <f t="shared" ref="CB128:CB191" si="109">IMPRODUCT(BY128,Fm,V128)</f>
        <v>424.859950085105-1238.63784712891j</v>
      </c>
      <c r="CC128" s="136" t="str">
        <f t="shared" ref="CC128:CC191" si="110">IMDIV(CB128,IMSUM(1,X128))</f>
        <v>149.023707553217-467.447508078957j</v>
      </c>
      <c r="CD128" s="136">
        <f t="shared" si="68"/>
        <v>53.815035836955254</v>
      </c>
      <c r="CE128" s="136">
        <f t="shared" si="69"/>
        <v>107.68244194641082</v>
      </c>
      <c r="CF128" s="136"/>
      <c r="CG128" s="136">
        <f t="shared" si="70"/>
        <v>-52.815035836955254</v>
      </c>
      <c r="CH128" s="136">
        <f t="shared" si="71"/>
        <v>-107.68244194641082</v>
      </c>
      <c r="CI128" s="77"/>
      <c r="CJ128" s="189"/>
      <c r="CK128" s="189"/>
      <c r="CL128" s="189"/>
      <c r="CM128" s="77"/>
      <c r="CN128" s="189">
        <v>1995.26231496887</v>
      </c>
      <c r="CO128" s="189">
        <v>29.334262941412899</v>
      </c>
      <c r="CP128" s="189">
        <v>78.064813252013906</v>
      </c>
      <c r="CQ128" s="74"/>
      <c r="CR128" s="75"/>
      <c r="CS128" s="75"/>
      <c r="CT128" s="75"/>
      <c r="CU128" s="74"/>
      <c r="CV128" s="75"/>
      <c r="CW128" s="75"/>
      <c r="CX128" s="75"/>
      <c r="CY128" s="74"/>
      <c r="CZ128" s="75"/>
      <c r="DA128" s="75"/>
      <c r="DB128" s="75"/>
      <c r="DC128" s="74"/>
      <c r="DD128" s="75"/>
      <c r="DE128" s="75"/>
      <c r="DF128" s="75"/>
      <c r="DG128" s="74"/>
      <c r="DH128" s="75"/>
      <c r="DI128" s="75"/>
      <c r="DJ128" s="75"/>
      <c r="DK128" s="74"/>
      <c r="DL128" s="75"/>
      <c r="DM128" s="75"/>
      <c r="DN128" s="75"/>
      <c r="DO128" s="76"/>
    </row>
    <row r="129" spans="1:119" x14ac:dyDescent="0.25">
      <c r="A129" s="136">
        <v>80</v>
      </c>
      <c r="B129" s="136">
        <f t="shared" si="72"/>
        <v>251.18864315095806</v>
      </c>
      <c r="C129" s="136" t="str">
        <f t="shared" si="79"/>
        <v>1578.26479197648j</v>
      </c>
      <c r="D129" s="136">
        <f t="shared" si="73"/>
        <v>0.99999842260663885</v>
      </c>
      <c r="E129" s="136" t="str">
        <f t="shared" si="74"/>
        <v>-0.0019728309899706j</v>
      </c>
      <c r="F129" s="136" t="str">
        <f t="shared" si="80"/>
        <v>0.999998422606639-0.0019728309899706j</v>
      </c>
      <c r="G129" s="136">
        <f t="shared" si="81"/>
        <v>3.2019559729900193E-6</v>
      </c>
      <c r="H129" s="136">
        <f t="shared" si="82"/>
        <v>-0.11303492107207504</v>
      </c>
      <c r="I129" s="136"/>
      <c r="J129" s="136">
        <f t="shared" si="75"/>
        <v>7.0726915520628681</v>
      </c>
      <c r="K129" s="136" t="str">
        <f t="shared" si="76"/>
        <v>1+0.115843583554546j</v>
      </c>
      <c r="L129" s="136">
        <f t="shared" si="77"/>
        <v>0.99926723581026899</v>
      </c>
      <c r="M129" s="136" t="str">
        <f t="shared" si="78"/>
        <v>0.00847794234782826j</v>
      </c>
      <c r="N129" s="136" t="str">
        <f t="shared" si="83"/>
        <v>0.999267235810269+0.00847794234782826j</v>
      </c>
      <c r="O129" s="136" t="str">
        <f t="shared" si="84"/>
        <v>1.00020686972055+0.0380976592533466j</v>
      </c>
      <c r="P129" s="136" t="str">
        <f t="shared" si="85"/>
        <v>7.07415467778778+0.269452992754514j</v>
      </c>
      <c r="Q129" s="136"/>
      <c r="R129" s="136">
        <f t="shared" si="86"/>
        <v>11.787819253438114</v>
      </c>
      <c r="S129" s="136" t="str">
        <f t="shared" si="87"/>
        <v>1+0.000036959305676647j</v>
      </c>
      <c r="T129" s="136" t="str">
        <f t="shared" si="88"/>
        <v>0.99990775045407+0.00300808745815979j</v>
      </c>
      <c r="U129" s="136" t="str">
        <f t="shared" ref="U129:U192" si="111">IMDIV(S129,T129)</f>
        <v>1.00008331824014-0.00297165291466838j</v>
      </c>
      <c r="V129" s="136" t="str">
        <f t="shared" ref="V129:V192" si="112">IMPRODUCT(R129,U129)</f>
        <v>11.7888013937934-0.0350293074420634j</v>
      </c>
      <c r="W129" s="136"/>
      <c r="X129" s="136" t="str">
        <f t="shared" si="89"/>
        <v>1.66839970503352+0.0623794558328458j</v>
      </c>
      <c r="Y129" s="136">
        <f t="shared" ref="Y129:Y192" si="113">20*LOG(IMABS(X129),10)</f>
        <v>4.452068946654876</v>
      </c>
      <c r="Z129" s="136">
        <f t="shared" ref="Z129:Z192" si="114">IF((IMARGUMENT(X129)*(180/PI()))&lt;0,(IMARGUMENT(X129)*(180/PI()))+180,(IMARGUMENT(X129)*(180/PI()))-180)</f>
        <v>-177.85877718387545</v>
      </c>
      <c r="AA129" s="136"/>
      <c r="AB129" s="136" t="str">
        <f t="shared" si="90"/>
        <v>9.26749704945608-0.0275374902434718j</v>
      </c>
      <c r="AC129" s="136">
        <f t="shared" ref="AC129:AC192" si="115">20*LOG(IMABS(AB129),10)</f>
        <v>19.339287473433096</v>
      </c>
      <c r="AD129" s="136">
        <f t="shared" ref="AD129:AD192" si="116">IF((IMARGUMENT(AB129)*(180/PI()))&lt;0,(IMARGUMENT(AB129)*(180/PI()))+180,(IMARGUMENT(AB129)*(180/PI()))-180)</f>
        <v>179.82975151571188</v>
      </c>
      <c r="AE129" s="136"/>
      <c r="AF129" s="136" t="str">
        <f t="shared" ref="AF129:AF192" si="117">IMDIV(AB129,IMSUM(1,X129))</f>
        <v>3.47091622675807-0.0914598196250996j</v>
      </c>
      <c r="AG129" s="136">
        <f t="shared" ref="AG129:AG192" si="118">20*LOG(IMABS(AF129),10)</f>
        <v>10.811897070826619</v>
      </c>
      <c r="AH129" s="136">
        <f t="shared" ref="AH129:AH192" si="119">IF((IMARGUMENT(AF129)*(180/PI()))&lt;0,(IMARGUMENT(AF129)*(180/PI()))+180,(IMARGUMENT(AF129)*(180/PI()))-180)</f>
        <v>178.49058606415252</v>
      </c>
      <c r="AI129" s="136"/>
      <c r="AJ129" s="136" t="str">
        <f t="shared" si="91"/>
        <v>99996.864216158-559.971919889568j</v>
      </c>
      <c r="AK129" s="136" t="str">
        <f t="shared" si="92"/>
        <v>19047.6190439566-0.264122022238179j</v>
      </c>
      <c r="AL129" s="136" t="str">
        <f t="shared" si="93"/>
        <v>10000-39683285.1649967j</v>
      </c>
      <c r="AM129" s="136" t="str">
        <f t="shared" si="94"/>
        <v>963.139091005526-12315502.459969j</v>
      </c>
      <c r="AN129" s="136" t="str">
        <f t="shared" ref="AN129:AN192" si="120">IMSUM(10000,AM129)</f>
        <v>10963.1390910055-12315502.459969j</v>
      </c>
      <c r="AO129" s="136" t="str">
        <f t="shared" ref="AO129:AO192" si="121">IMDIV(IMPRODUCT(AN129,AK129),IMSUM(AN129,AK129))</f>
        <v>19047.5464390193-29.7237080718612j</v>
      </c>
      <c r="AP129" s="136" t="str">
        <f t="shared" ref="AP129:AP192" si="122">IMDIV(AK129,IMSUM(AJ129,AK129))</f>
        <v>0.160000681414461+0.00075076159758959j</v>
      </c>
      <c r="AQ129" s="136" t="str">
        <f t="shared" si="95"/>
        <v>1+0.00895983167918715j</v>
      </c>
      <c r="AR129" s="136" t="str">
        <f t="shared" si="96"/>
        <v>1+0.0000178838955672398j</v>
      </c>
      <c r="AS129" s="136" t="str">
        <f t="shared" si="97"/>
        <v>2.80554729454548E-08j</v>
      </c>
      <c r="AT129" s="136" t="str">
        <f t="shared" ref="AT129:AT192" si="123">IMPRODUCT(AR129,AS129)</f>
        <v>-5.01741148246035E-13+2.80554729454548E-08j</v>
      </c>
      <c r="AU129" s="179" t="str">
        <f t="shared" ref="AU129:AU192" si="124">IMDIV(AQ129,AT129)</f>
        <v>318723.8296836-35643675.009901j</v>
      </c>
      <c r="AV129" s="136" t="str">
        <f t="shared" si="98"/>
        <v>7999.99835241246-3.63052304870592j</v>
      </c>
      <c r="AW129" s="136"/>
      <c r="AX129" s="136" t="str">
        <f t="shared" si="99"/>
        <v>0.499999897025779-0.00022690769054412j</v>
      </c>
      <c r="AY129" s="136"/>
      <c r="AZ129" s="136" t="str">
        <f t="shared" si="100"/>
        <v>4.89241104111473-356.422898594301j</v>
      </c>
      <c r="BA129" s="136" t="str">
        <f t="shared" si="101"/>
        <v>2.36532991998808-178.212522720471j</v>
      </c>
      <c r="BB129" s="136">
        <f t="shared" ref="BB129:BB192" si="125">20*LOG(IMABS(BA129),10)</f>
        <v>45.019529344873021</v>
      </c>
      <c r="BC129" s="136">
        <f t="shared" ref="BC129:BC192" si="126">IF((IMARGUMENT(BA129)*(180/PI()))&lt;0,(IMARGUMENT(BA129)*(180/PI()))+180,(IMARGUMENT(BA129)*(180/PI()))-180)</f>
        <v>90.760414938375845</v>
      </c>
      <c r="BD129" s="136" t="str">
        <f t="shared" si="102"/>
        <v>17.0131624488003-1651.64916373768j</v>
      </c>
      <c r="BE129" s="136">
        <f t="shared" ref="BE129:BE192" si="127">20*LOG(IMABS(BD129),10)</f>
        <v>64.358816818306096</v>
      </c>
      <c r="BF129" s="136">
        <f t="shared" ref="BF129:BF192" si="128">IF((IMARGUMENT(BD129)*(180/PI()))&lt;0,(IMARGUMENT(BD129)*(180/PI()))+180,(IMARGUMENT(BD129)*(180/PI()))-180)</f>
        <v>90.590166454087708</v>
      </c>
      <c r="BG129" s="136"/>
      <c r="BH129" s="136" t="str">
        <f t="shared" si="103"/>
        <v>-8.08942318202519-618.777069569809j</v>
      </c>
      <c r="BI129" s="136">
        <f t="shared" ref="BI129:BI192" si="129">20*LOG(IMABS(BH129),10)</f>
        <v>55.831426415699624</v>
      </c>
      <c r="BJ129" s="136">
        <f t="shared" ref="BJ129:BJ192" si="130">IF((IMARGUMENT(BH129)*(180/PI()))&lt;0,(IMARGUMENT(BH129)*(180/PI()))+180,(IMARGUMENT(BH129)*(180/PI()))-180)</f>
        <v>89.251001002528355</v>
      </c>
      <c r="BK129" s="136"/>
      <c r="BL129" s="136">
        <f t="shared" ref="BL129:BL192" si="131">1-BI129</f>
        <v>-54.831426415699624</v>
      </c>
      <c r="BM129" s="136">
        <f t="shared" ref="BM129:BM192" si="132">+-1*BJ129</f>
        <v>-89.251001002528355</v>
      </c>
      <c r="BN129" s="136"/>
      <c r="BO129" s="189"/>
      <c r="BP129" s="189" t="str">
        <f t="shared" si="104"/>
        <v>0.00001+5.59989479949197E-08j</v>
      </c>
      <c r="BQ129" s="189" t="str">
        <f t="shared" si="105"/>
        <v>2.50850436205273E-10+2.79972264197748E-08j</v>
      </c>
      <c r="BR129" s="189" t="str">
        <f t="shared" si="106"/>
        <v>-0.000362926310251965-0.000700189074814786j</v>
      </c>
      <c r="BS129" s="189" t="str">
        <f t="shared" si="107"/>
        <v>0.0000625002508504362+8.39961744146945E-08j</v>
      </c>
      <c r="BT129" s="189" t="str">
        <f t="shared" ref="BT129:BT192" si="133">IMPRODUCT(BR129,BS129)</f>
        <v>-2.26241722273196E-08-4.37924772403146E-08j</v>
      </c>
      <c r="BU129" s="189" t="str">
        <f t="shared" ref="BU129:BU192" si="134">IMPRODUCT(-1,BQ129)</f>
        <v>-2.50850436205273E-10-2.79972264197748E-08j</v>
      </c>
      <c r="BV129" s="189" t="str">
        <f t="shared" ref="BV129:BV192" si="135">IMSUM(BT129,BU129)</f>
        <v>-2.28750226635249E-08-7.17897036600894E-08j</v>
      </c>
      <c r="BW129" s="189" t="str">
        <f t="shared" si="108"/>
        <v>0.999999992056717-0.0000891250974626789j</v>
      </c>
      <c r="BX129" s="189" t="str">
        <f t="shared" ref="BX129:BX192" si="136">IMPRODUCT(-1,BP129)</f>
        <v>-0.00001-5.59989479949197E-08j</v>
      </c>
      <c r="BY129" s="189" t="str">
        <f t="shared" ref="BY129:BY192" si="137">IMPRODUCT(BW129,IMDIV(BX129,BV129))</f>
        <v>40.9909014790936-126.234496719121j</v>
      </c>
      <c r="BZ129" s="136">
        <f t="shared" ref="BZ129:BZ192" si="138">20*LOG(IMABS(BY129),10)</f>
        <v>42.458925627304424</v>
      </c>
      <c r="CA129" s="136">
        <f t="shared" ref="CA129:CA192" si="139">IF((IMARGUMENT(BY129)*(180/PI()))&lt;0,(IMARGUMENT(BY129)*(180/PI()))+180,(IMARGUMENT(BY129)*(180/PI()))-180)</f>
        <v>107.98966489127896</v>
      </c>
      <c r="CB129" s="189" t="str">
        <f t="shared" si="109"/>
        <v>376.406877290253-1171.00661243358j</v>
      </c>
      <c r="CC129" s="136" t="str">
        <f t="shared" si="110"/>
        <v>130.730600792832-441.898383494584j</v>
      </c>
      <c r="CD129" s="136">
        <f t="shared" ref="CD129:CD192" si="140">20*LOG(IMABS(CC129),10)</f>
        <v>53.270822698131056</v>
      </c>
      <c r="CE129" s="136">
        <f t="shared" ref="CE129:CE192" si="141">IF((IMARGUMENT(CC129)*(180/PI()))&lt;0,(IMARGUMENT(CC129)*(180/PI()))+180,(IMARGUMENT(CC129)*(180/PI()))-180)</f>
        <v>106.48025095543154</v>
      </c>
      <c r="CF129" s="136"/>
      <c r="CG129" s="136">
        <f t="shared" ref="CG129:CG192" si="142">1-CD129</f>
        <v>-52.270822698131056</v>
      </c>
      <c r="CH129" s="136">
        <f t="shared" ref="CH129:CH192" si="143">+-1*CE129</f>
        <v>-106.48025095543154</v>
      </c>
      <c r="CI129" s="77"/>
      <c r="CJ129" s="189"/>
      <c r="CK129" s="189"/>
      <c r="CL129" s="189"/>
      <c r="CM129" s="77"/>
      <c r="CN129" s="189">
        <v>2089.2961308540298</v>
      </c>
      <c r="CO129" s="189">
        <v>28.872037440334601</v>
      </c>
      <c r="CP129" s="189">
        <v>77.597408847403997</v>
      </c>
      <c r="CQ129" s="74"/>
      <c r="CR129" s="75"/>
      <c r="CS129" s="75"/>
      <c r="CT129" s="75"/>
      <c r="CU129" s="74"/>
      <c r="CV129" s="75"/>
      <c r="CW129" s="75"/>
      <c r="CX129" s="75"/>
      <c r="CY129" s="74"/>
      <c r="CZ129" s="75"/>
      <c r="DA129" s="75"/>
      <c r="DB129" s="75"/>
      <c r="DC129" s="74"/>
      <c r="DD129" s="75"/>
      <c r="DE129" s="75"/>
      <c r="DF129" s="75"/>
      <c r="DG129" s="74"/>
      <c r="DH129" s="75"/>
      <c r="DI129" s="75"/>
      <c r="DJ129" s="75"/>
      <c r="DK129" s="74"/>
      <c r="DL129" s="75"/>
      <c r="DM129" s="75"/>
      <c r="DN129" s="75"/>
      <c r="DO129" s="76"/>
    </row>
    <row r="130" spans="1:119" x14ac:dyDescent="0.25">
      <c r="A130" s="136">
        <v>81</v>
      </c>
      <c r="B130" s="136">
        <f t="shared" si="72"/>
        <v>269.15348039269156</v>
      </c>
      <c r="C130" s="136" t="str">
        <f t="shared" si="79"/>
        <v>1691.14119337961j</v>
      </c>
      <c r="D130" s="136">
        <f t="shared" si="73"/>
        <v>0.99999818891009984</v>
      </c>
      <c r="E130" s="136" t="str">
        <f t="shared" si="74"/>
        <v>-0.00211392649172451j</v>
      </c>
      <c r="F130" s="136" t="str">
        <f t="shared" si="80"/>
        <v>0.9999981889101-0.00211392649172451j</v>
      </c>
      <c r="G130" s="136">
        <f t="shared" si="81"/>
        <v>3.6763389849929189E-6</v>
      </c>
      <c r="H130" s="136">
        <f t="shared" si="82"/>
        <v>-0.12111910511980274</v>
      </c>
      <c r="I130" s="136"/>
      <c r="J130" s="136">
        <f t="shared" si="75"/>
        <v>7.0726915520628681</v>
      </c>
      <c r="K130" s="136" t="str">
        <f t="shared" si="76"/>
        <v>1+0.124128636166601j</v>
      </c>
      <c r="L130" s="136">
        <f t="shared" si="77"/>
        <v>0.99915867414185711</v>
      </c>
      <c r="M130" s="136" t="str">
        <f t="shared" si="78"/>
        <v>0.00908427889438941j</v>
      </c>
      <c r="N130" s="136" t="str">
        <f t="shared" si="83"/>
        <v>0.999158674141857+0.00908427889438941j</v>
      </c>
      <c r="O130" s="136" t="str">
        <f t="shared" si="84"/>
        <v>1.00023752294553+0.0408228365444448j</v>
      </c>
      <c r="P130" s="136" t="str">
        <f t="shared" si="85"/>
        <v>7.07437147859314+0.288727331159138j</v>
      </c>
      <c r="Q130" s="136"/>
      <c r="R130" s="136">
        <f t="shared" si="86"/>
        <v>11.787819253438114</v>
      </c>
      <c r="S130" s="136" t="str">
        <f t="shared" si="87"/>
        <v>1+0.0000396026095407052j</v>
      </c>
      <c r="T130" s="136" t="str">
        <f t="shared" si="88"/>
        <v>0.999894083349758+0.00322322378326134j</v>
      </c>
      <c r="U130" s="136" t="str">
        <f t="shared" si="111"/>
        <v>1.00009566317813-0.00318426678442286j</v>
      </c>
      <c r="V130" s="136" t="str">
        <f t="shared" si="112"/>
        <v>11.7889469136911-0.0375355613095033j</v>
      </c>
      <c r="W130" s="136"/>
      <c r="X130" s="136" t="str">
        <f t="shared" si="89"/>
        <v>1.66845737662269+0.0668415167222461j</v>
      </c>
      <c r="Y130" s="136">
        <f t="shared" si="113"/>
        <v>4.4532669633908863</v>
      </c>
      <c r="Z130" s="136">
        <f t="shared" si="114"/>
        <v>-177.70585093787088</v>
      </c>
      <c r="AA130" s="136"/>
      <c r="AB130" s="136" t="str">
        <f t="shared" si="90"/>
        <v>9.2676114466011-0.0295077244976442j</v>
      </c>
      <c r="AC130" s="136">
        <f t="shared" si="115"/>
        <v>19.339400372712653</v>
      </c>
      <c r="AD130" s="136">
        <f t="shared" si="116"/>
        <v>179.81757302046898</v>
      </c>
      <c r="AE130" s="136"/>
      <c r="AF130" s="136" t="str">
        <f t="shared" si="117"/>
        <v>3.47056754127781-0.0979913432886069j</v>
      </c>
      <c r="AG130" s="136">
        <f t="shared" si="118"/>
        <v>10.811470887033074</v>
      </c>
      <c r="AH130" s="136">
        <f t="shared" si="119"/>
        <v>178.38268552218045</v>
      </c>
      <c r="AI130" s="136"/>
      <c r="AJ130" s="136" t="str">
        <f t="shared" si="91"/>
        <v>99996.3996551519-600.017935002922j</v>
      </c>
      <c r="AK130" s="136" t="str">
        <f t="shared" si="92"/>
        <v>19047.619043414-0.283011845758544j</v>
      </c>
      <c r="AL130" s="136" t="str">
        <f t="shared" si="93"/>
        <v>10000-37034596.5499866j</v>
      </c>
      <c r="AM130" s="136" t="str">
        <f t="shared" si="94"/>
        <v>963.139086695793-11493495.6603853j</v>
      </c>
      <c r="AN130" s="136" t="str">
        <f t="shared" si="120"/>
        <v>10963.1390866958-11493495.6603853j</v>
      </c>
      <c r="AO130" s="136" t="str">
        <f t="shared" si="121"/>
        <v>19047.5356818666-31.8494987690105j</v>
      </c>
      <c r="AP130" s="136" t="str">
        <f t="shared" si="122"/>
        <v>0.160000782368386+0.000804455447266135j</v>
      </c>
      <c r="AQ130" s="136" t="str">
        <f t="shared" si="95"/>
        <v>1+0.00960063261592853j</v>
      </c>
      <c r="AR130" s="136" t="str">
        <f t="shared" si="96"/>
        <v>1+0.0000191629393531508j</v>
      </c>
      <c r="AS130" s="136" t="str">
        <f t="shared" si="97"/>
        <v>3.00619808786262E-08j</v>
      </c>
      <c r="AT130" s="136" t="str">
        <f t="shared" si="123"/>
        <v>-5.76075916412693E-13+3.00619808786262E-08j</v>
      </c>
      <c r="AU130" s="179" t="str">
        <f t="shared" si="124"/>
        <v>318723.829668498-33264613.7873141j</v>
      </c>
      <c r="AV130" s="136" t="str">
        <f t="shared" si="98"/>
        <v>7999.99810831646-3.89017541610142j</v>
      </c>
      <c r="AW130" s="136"/>
      <c r="AX130" s="136" t="str">
        <f t="shared" si="99"/>
        <v>0.499999881769779-0.000243135963506339j</v>
      </c>
      <c r="AY130" s="136"/>
      <c r="AZ130" s="136" t="str">
        <f t="shared" si="100"/>
        <v>4.89241276516245-332.631295719919j</v>
      </c>
      <c r="BA130" s="136" t="str">
        <f t="shared" si="101"/>
        <v>2.36533117357296-166.316798054379j</v>
      </c>
      <c r="BB130" s="136">
        <f t="shared" si="125"/>
        <v>44.419600625157223</v>
      </c>
      <c r="BC130" s="136">
        <f t="shared" si="126"/>
        <v>90.81479657533815</v>
      </c>
      <c r="BD130" s="136" t="str">
        <f t="shared" si="102"/>
        <v>17.0133400028882-1541.42925695142j</v>
      </c>
      <c r="BE130" s="136">
        <f t="shared" si="127"/>
        <v>63.759000997869862</v>
      </c>
      <c r="BF130" s="136">
        <f t="shared" si="128"/>
        <v>90.632369595807148</v>
      </c>
      <c r="BG130" s="136"/>
      <c r="BH130" s="136" t="str">
        <f t="shared" si="103"/>
        <v>-8.08856485743369-577.445462875804j</v>
      </c>
      <c r="BI130" s="136">
        <f t="shared" si="129"/>
        <v>55.231071512190283</v>
      </c>
      <c r="BJ130" s="136">
        <f t="shared" si="130"/>
        <v>89.197482097518616</v>
      </c>
      <c r="BK130" s="136"/>
      <c r="BL130" s="136">
        <f t="shared" si="131"/>
        <v>-54.231071512190283</v>
      </c>
      <c r="BM130" s="136">
        <f t="shared" si="132"/>
        <v>-89.197482097518616</v>
      </c>
      <c r="BN130" s="136"/>
      <c r="BO130" s="189"/>
      <c r="BP130" s="189" t="str">
        <f t="shared" si="104"/>
        <v>0.00001+6.00039538495533E-08j</v>
      </c>
      <c r="BQ130" s="189" t="str">
        <f t="shared" si="105"/>
        <v>2.88011411576288E-10+2.99992118330249E-08j</v>
      </c>
      <c r="BR130" s="189" t="str">
        <f t="shared" si="106"/>
        <v>-0.000363783082661435-0.000750258528045016j</v>
      </c>
      <c r="BS130" s="189" t="str">
        <f t="shared" si="107"/>
        <v>0.0000625002880114116+9.00031656825782E-08j</v>
      </c>
      <c r="BT130" s="189" t="str">
        <f t="shared" si="133"/>
        <v>-2.26690217974144E-08-4.69241157148925E-08j</v>
      </c>
      <c r="BU130" s="189" t="str">
        <f t="shared" si="134"/>
        <v>-2.88011411576288E-10-2.99992118330249E-08j</v>
      </c>
      <c r="BV130" s="189" t="str">
        <f t="shared" si="135"/>
        <v>-2.29570332089907E-08-7.69233275479174E-08j</v>
      </c>
      <c r="BW130" s="189" t="str">
        <f t="shared" si="108"/>
        <v>0.999999990879891-0.0000954992624000578j</v>
      </c>
      <c r="BX130" s="189" t="str">
        <f t="shared" si="136"/>
        <v>-0.00001-6.00039538495533E-08j</v>
      </c>
      <c r="BY130" s="189" t="str">
        <f t="shared" si="137"/>
        <v>36.3290778189592-119.157583081422j</v>
      </c>
      <c r="BZ130" s="136">
        <f t="shared" si="138"/>
        <v>41.908450249846688</v>
      </c>
      <c r="CA130" s="136">
        <f t="shared" si="139"/>
        <v>106.95555343512947</v>
      </c>
      <c r="CB130" s="189" t="str">
        <f t="shared" si="109"/>
        <v>333.167708306077-1105.37816933424j</v>
      </c>
      <c r="CC130" s="136" t="str">
        <f t="shared" si="110"/>
        <v>114.406106653863-417.104375275412j</v>
      </c>
      <c r="CD130" s="136">
        <f t="shared" si="140"/>
        <v>52.719921136879726</v>
      </c>
      <c r="CE130" s="136">
        <f t="shared" si="141"/>
        <v>105.33823895730995</v>
      </c>
      <c r="CF130" s="136"/>
      <c r="CG130" s="136">
        <f t="shared" si="142"/>
        <v>-51.719921136879726</v>
      </c>
      <c r="CH130" s="136">
        <f t="shared" si="143"/>
        <v>-105.33823895730995</v>
      </c>
      <c r="CI130" s="77"/>
      <c r="CJ130" s="189"/>
      <c r="CK130" s="189"/>
      <c r="CL130" s="189"/>
      <c r="CM130" s="77"/>
      <c r="CN130" s="189">
        <v>2187.7616239495501</v>
      </c>
      <c r="CO130" s="189">
        <v>28.405380285120199</v>
      </c>
      <c r="CP130" s="189">
        <v>77.129384984969903</v>
      </c>
      <c r="CQ130" s="74"/>
      <c r="CR130" s="75"/>
      <c r="CS130" s="75"/>
      <c r="CT130" s="75"/>
      <c r="CU130" s="74"/>
      <c r="CV130" s="75"/>
      <c r="CW130" s="75"/>
      <c r="CX130" s="75"/>
      <c r="CY130" s="74"/>
      <c r="CZ130" s="75"/>
      <c r="DA130" s="75"/>
      <c r="DB130" s="75"/>
      <c r="DC130" s="74"/>
      <c r="DD130" s="75"/>
      <c r="DE130" s="75"/>
      <c r="DF130" s="75"/>
      <c r="DG130" s="74"/>
      <c r="DH130" s="75"/>
      <c r="DI130" s="75"/>
      <c r="DJ130" s="75"/>
      <c r="DK130" s="74"/>
      <c r="DL130" s="75"/>
      <c r="DM130" s="75"/>
      <c r="DN130" s="75"/>
      <c r="DO130" s="76"/>
    </row>
    <row r="131" spans="1:119" x14ac:dyDescent="0.25">
      <c r="A131" s="136">
        <v>82</v>
      </c>
      <c r="B131" s="136">
        <f t="shared" si="72"/>
        <v>288.40315031266073</v>
      </c>
      <c r="C131" s="136" t="str">
        <f t="shared" si="79"/>
        <v>1812.09043658882j</v>
      </c>
      <c r="D131" s="136">
        <f t="shared" si="73"/>
        <v>0.99999792059057224</v>
      </c>
      <c r="E131" s="136" t="str">
        <f t="shared" si="74"/>
        <v>-0.00226511304573602j</v>
      </c>
      <c r="F131" s="136" t="str">
        <f t="shared" si="80"/>
        <v>0.999997920590572-0.00226511304573602j</v>
      </c>
      <c r="G131" s="136">
        <f t="shared" si="81"/>
        <v>4.2210040747783869E-6</v>
      </c>
      <c r="H131" s="136">
        <f t="shared" si="82"/>
        <v>-0.12978146555114872</v>
      </c>
      <c r="I131" s="136"/>
      <c r="J131" s="136">
        <f t="shared" si="75"/>
        <v>7.0726915520628681</v>
      </c>
      <c r="K131" s="136" t="str">
        <f t="shared" si="76"/>
        <v>1+0.133006229985328j</v>
      </c>
      <c r="L131" s="136">
        <f t="shared" si="77"/>
        <v>0.99903402866911428</v>
      </c>
      <c r="M131" s="136" t="str">
        <f t="shared" si="78"/>
        <v>0.00973398020950081j</v>
      </c>
      <c r="N131" s="136" t="str">
        <f t="shared" si="83"/>
        <v>0.999034028669114+0.00973398020950081j</v>
      </c>
      <c r="O131" s="136" t="str">
        <f t="shared" si="84"/>
        <v>1.00027271906131+0.0437430223659809j</v>
      </c>
      <c r="P131" s="136" t="str">
        <f t="shared" si="85"/>
        <v>7.07462040986388+0.30938090474957j</v>
      </c>
      <c r="Q131" s="136"/>
      <c r="R131" s="136">
        <f t="shared" si="86"/>
        <v>11.787819253438114</v>
      </c>
      <c r="S131" s="136" t="str">
        <f t="shared" si="87"/>
        <v>1+0.0000424349606606526j</v>
      </c>
      <c r="T131" s="136" t="str">
        <f t="shared" si="88"/>
        <v>0.999878391414448+0.00345374650886552j</v>
      </c>
      <c r="U131" s="136" t="str">
        <f t="shared" si="111"/>
        <v>1.00010983739409-0.00341210584008621j</v>
      </c>
      <c r="V131" s="136" t="str">
        <f t="shared" si="112"/>
        <v>11.7891139967869-0.0402212869165369j</v>
      </c>
      <c r="W131" s="136"/>
      <c r="X131" s="136" t="str">
        <f t="shared" si="89"/>
        <v>1.66852359515533+0.0716228681941535j</v>
      </c>
      <c r="Y131" s="136">
        <f t="shared" si="113"/>
        <v>4.4546421380385777</v>
      </c>
      <c r="Z131" s="136">
        <f t="shared" si="114"/>
        <v>-177.54203636708692</v>
      </c>
      <c r="AA131" s="136"/>
      <c r="AB131" s="136" t="str">
        <f t="shared" si="90"/>
        <v>9.26774279516196-0.0316190463621331j</v>
      </c>
      <c r="AC131" s="136">
        <f t="shared" si="115"/>
        <v>19.339530000047617</v>
      </c>
      <c r="AD131" s="136">
        <f t="shared" si="116"/>
        <v>179.80452296532513</v>
      </c>
      <c r="AE131" s="136"/>
      <c r="AF131" s="136" t="str">
        <f t="shared" si="117"/>
        <v>3.4701672811596-0.104987784504107j</v>
      </c>
      <c r="AG131" s="136">
        <f t="shared" si="118"/>
        <v>10.810981614135198</v>
      </c>
      <c r="AH131" s="136">
        <f t="shared" si="119"/>
        <v>178.26707990389059</v>
      </c>
      <c r="AI131" s="136"/>
      <c r="AJ131" s="136" t="str">
        <f t="shared" si="91"/>
        <v>99995.8662730735-642.927371443296j</v>
      </c>
      <c r="AK131" s="136" t="str">
        <f t="shared" si="92"/>
        <v>19047.619042791-0.303252656331289j</v>
      </c>
      <c r="AL131" s="136" t="str">
        <f t="shared" si="93"/>
        <v>10000-34562696.5085564j</v>
      </c>
      <c r="AM131" s="136" t="str">
        <f t="shared" si="94"/>
        <v>963.139081747564-10726354.2810446j</v>
      </c>
      <c r="AN131" s="136" t="str">
        <f t="shared" si="120"/>
        <v>10963.1390817476-10726354.2810446j</v>
      </c>
      <c r="AO131" s="136" t="str">
        <f t="shared" si="121"/>
        <v>19047.5233310261-34.1273180341285j</v>
      </c>
      <c r="AP131" s="136" t="str">
        <f t="shared" si="122"/>
        <v>0.16000089827897+0.000861989421158834j</v>
      </c>
      <c r="AQ131" s="136" t="str">
        <f t="shared" si="95"/>
        <v>1+0.0102872631904612j</v>
      </c>
      <c r="AR131" s="136" t="str">
        <f t="shared" si="96"/>
        <v>1+0.0000205334594619985j</v>
      </c>
      <c r="AS131" s="136" t="str">
        <f t="shared" si="97"/>
        <v>3.22119928651317E-08j</v>
      </c>
      <c r="AT131" s="136" t="str">
        <f t="shared" si="123"/>
        <v>-6.61423649686367E-13+3.22119928651317E-08j</v>
      </c>
      <c r="AU131" s="179" t="str">
        <f t="shared" si="124"/>
        <v>318723.829651157-31044344.725841j</v>
      </c>
      <c r="AV131" s="136" t="str">
        <f t="shared" si="98"/>
        <v>7999.99782805676-4.16839791308414j</v>
      </c>
      <c r="AW131" s="136"/>
      <c r="AX131" s="136" t="str">
        <f t="shared" si="99"/>
        <v>0.499999864253548-0.000260524869567759j</v>
      </c>
      <c r="AY131" s="136"/>
      <c r="AZ131" s="136" t="str">
        <f t="shared" si="100"/>
        <v>4.89241474463366-310.427543606523j</v>
      </c>
      <c r="BA131" s="136" t="str">
        <f t="shared" si="101"/>
        <v>2.36533261288056-155.215004259537j</v>
      </c>
      <c r="BB131" s="136">
        <f t="shared" si="125"/>
        <v>43.81968246500076</v>
      </c>
      <c r="BC131" s="136">
        <f t="shared" si="126"/>
        <v>90.873066924951857</v>
      </c>
      <c r="BD131" s="136" t="str">
        <f t="shared" si="102"/>
        <v>17.0135438654044-1438.56752698891j</v>
      </c>
      <c r="BE131" s="136">
        <f t="shared" si="127"/>
        <v>63.159212465048419</v>
      </c>
      <c r="BF131" s="136">
        <f t="shared" si="128"/>
        <v>90.677589890276991</v>
      </c>
      <c r="BG131" s="136"/>
      <c r="BH131" s="136" t="str">
        <f t="shared" si="103"/>
        <v>-8.08757957672644-538.870360357137j</v>
      </c>
      <c r="BI131" s="136">
        <f t="shared" si="129"/>
        <v>54.630664079135997</v>
      </c>
      <c r="BJ131" s="136">
        <f t="shared" si="130"/>
        <v>89.140146828842475</v>
      </c>
      <c r="BK131" s="136"/>
      <c r="BL131" s="136">
        <f t="shared" si="131"/>
        <v>-53.630664079135997</v>
      </c>
      <c r="BM131" s="136">
        <f t="shared" si="132"/>
        <v>-89.140146828842475</v>
      </c>
      <c r="BN131" s="136"/>
      <c r="BO131" s="189"/>
      <c r="BP131" s="189" t="str">
        <f t="shared" si="104"/>
        <v>0.00001+6.42953949403827E-08j</v>
      </c>
      <c r="BQ131" s="189" t="str">
        <f t="shared" si="105"/>
        <v>3.30676830047054E-10+3.21442957106096E-08j</v>
      </c>
      <c r="BR131" s="189" t="str">
        <f t="shared" si="106"/>
        <v>-0.000364766767648793-0.000803907167873205j</v>
      </c>
      <c r="BS131" s="189" t="str">
        <f t="shared" si="107"/>
        <v>0.00006250033067683+9.64396906509923E-08j</v>
      </c>
      <c r="BT131" s="189" t="str">
        <f t="shared" si="133"/>
        <v>-2.27205150393862E-08-5.0279641819781E-08j</v>
      </c>
      <c r="BU131" s="189" t="str">
        <f t="shared" si="134"/>
        <v>-3.30676830047054E-10-3.21442957106096E-08j</v>
      </c>
      <c r="BV131" s="189" t="str">
        <f t="shared" si="135"/>
        <v>-2.30511918694333E-08-8.24239375303906E-08j</v>
      </c>
      <c r="BW131" s="189" t="str">
        <f t="shared" si="108"/>
        <v>0.999999989528714-0.000102329303159349j</v>
      </c>
      <c r="BX131" s="189" t="str">
        <f t="shared" si="136"/>
        <v>-0.00001-6.42953949403827E-08j</v>
      </c>
      <c r="BY131" s="189" t="str">
        <f t="shared" si="137"/>
        <v>32.180911766487-112.324142480016j</v>
      </c>
      <c r="BZ131" s="136">
        <f t="shared" si="138"/>
        <v>41.352065886017883</v>
      </c>
      <c r="CA131" s="136">
        <f t="shared" si="139"/>
        <v>105.98702896376675</v>
      </c>
      <c r="CB131" s="189" t="str">
        <f t="shared" si="109"/>
        <v>294.69283089694-1042.00879193303j</v>
      </c>
      <c r="CC131" s="136" t="str">
        <f t="shared" si="110"/>
        <v>99.8804842246468-393.162166748145j</v>
      </c>
      <c r="CD131" s="136">
        <f t="shared" si="140"/>
        <v>52.163047500153048</v>
      </c>
      <c r="CE131" s="136">
        <f t="shared" si="141"/>
        <v>104.25410886765741</v>
      </c>
      <c r="CF131" s="136"/>
      <c r="CG131" s="136">
        <f t="shared" si="142"/>
        <v>-51.163047500153048</v>
      </c>
      <c r="CH131" s="136">
        <f t="shared" si="143"/>
        <v>-104.25410886765741</v>
      </c>
      <c r="CI131" s="77"/>
      <c r="CJ131" s="189"/>
      <c r="CK131" s="189"/>
      <c r="CL131" s="189"/>
      <c r="CM131" s="77"/>
      <c r="CN131" s="189">
        <v>2290.8676527677699</v>
      </c>
      <c r="CO131" s="189">
        <v>27.934108298693499</v>
      </c>
      <c r="CP131" s="189">
        <v>76.662448767385897</v>
      </c>
      <c r="CQ131" s="74"/>
      <c r="CR131" s="75"/>
      <c r="CS131" s="75"/>
      <c r="CT131" s="75"/>
      <c r="CU131" s="74"/>
      <c r="CV131" s="75"/>
      <c r="CW131" s="75"/>
      <c r="CX131" s="75"/>
      <c r="CY131" s="74"/>
      <c r="CZ131" s="75"/>
      <c r="DA131" s="75"/>
      <c r="DB131" s="75"/>
      <c r="DC131" s="74"/>
      <c r="DD131" s="75"/>
      <c r="DE131" s="75"/>
      <c r="DF131" s="75"/>
      <c r="DG131" s="74"/>
      <c r="DH131" s="75"/>
      <c r="DI131" s="75"/>
      <c r="DJ131" s="75"/>
      <c r="DK131" s="74"/>
      <c r="DL131" s="75"/>
      <c r="DM131" s="75"/>
      <c r="DN131" s="75"/>
      <c r="DO131" s="76"/>
    </row>
    <row r="132" spans="1:119" x14ac:dyDescent="0.25">
      <c r="A132" s="136">
        <v>83</v>
      </c>
      <c r="B132" s="136">
        <f t="shared" si="72"/>
        <v>309.02954325135909</v>
      </c>
      <c r="C132" s="136" t="str">
        <f t="shared" si="79"/>
        <v>1941.68988564136j</v>
      </c>
      <c r="D132" s="136">
        <f t="shared" si="73"/>
        <v>0.99999761251853492</v>
      </c>
      <c r="E132" s="136" t="str">
        <f t="shared" si="74"/>
        <v>-0.0024271123570517j</v>
      </c>
      <c r="F132" s="136" t="str">
        <f t="shared" si="80"/>
        <v>0.999997612518535-0.0024271123570517j</v>
      </c>
      <c r="G132" s="136">
        <f t="shared" si="81"/>
        <v>4.8463639618735467E-6</v>
      </c>
      <c r="H132" s="136">
        <f t="shared" si="82"/>
        <v>-0.13906335340581827</v>
      </c>
      <c r="I132" s="136"/>
      <c r="J132" s="136">
        <f t="shared" si="75"/>
        <v>7.0726915520628681</v>
      </c>
      <c r="K132" s="136" t="str">
        <f t="shared" si="76"/>
        <v>1+0.142518743146152j</v>
      </c>
      <c r="L132" s="136">
        <f t="shared" si="77"/>
        <v>0.9988909165181814</v>
      </c>
      <c r="M132" s="136" t="str">
        <f t="shared" si="78"/>
        <v>0.0104301477112809j</v>
      </c>
      <c r="N132" s="136" t="str">
        <f t="shared" si="83"/>
        <v>0.998890916518181+0.0104301477112809j</v>
      </c>
      <c r="O132" s="136" t="str">
        <f t="shared" si="84"/>
        <v>1.00031313159258+0.046872187946791j</v>
      </c>
      <c r="P132" s="136" t="str">
        <f t="shared" si="85"/>
        <v>7.07490623523239+0.331512527717972j</v>
      </c>
      <c r="Q132" s="136"/>
      <c r="R132" s="136">
        <f t="shared" si="86"/>
        <v>11.787819253438114</v>
      </c>
      <c r="S132" s="136" t="str">
        <f t="shared" si="87"/>
        <v>1+0.0000454698795648876j</v>
      </c>
      <c r="T132" s="136" t="str">
        <f t="shared" si="88"/>
        <v>0.999860374662094+0.00370075605964639j</v>
      </c>
      <c r="U132" s="136" t="str">
        <f t="shared" si="111"/>
        <v>1.00012611200742-0.0036562633968694j</v>
      </c>
      <c r="V132" s="136" t="str">
        <f t="shared" si="112"/>
        <v>11.7893058389873-0.0430993720652582j</v>
      </c>
      <c r="W132" s="136"/>
      <c r="X132" s="136" t="str">
        <f t="shared" si="89"/>
        <v>1.66859962774799+0.076746384171275j</v>
      </c>
      <c r="Y132" s="136">
        <f t="shared" si="113"/>
        <v>4.4562206115843841</v>
      </c>
      <c r="Z132" s="136">
        <f t="shared" si="114"/>
        <v>-177.3665659614494</v>
      </c>
      <c r="AA132" s="136"/>
      <c r="AB132" s="136" t="str">
        <f t="shared" si="90"/>
        <v>9.26789360752759-0.0338815872882955j</v>
      </c>
      <c r="AC132" s="136">
        <f t="shared" si="115"/>
        <v>19.339678834274913</v>
      </c>
      <c r="AD132" s="136">
        <f t="shared" si="116"/>
        <v>179.79053888738861</v>
      </c>
      <c r="AE132" s="136"/>
      <c r="AF132" s="136" t="str">
        <f t="shared" si="117"/>
        <v>3.46970783225025-0.112481885414023j</v>
      </c>
      <c r="AG132" s="136">
        <f t="shared" si="118"/>
        <v>10.810419921650018</v>
      </c>
      <c r="AH132" s="136">
        <f t="shared" si="119"/>
        <v>178.14322088341984</v>
      </c>
      <c r="AI132" s="136"/>
      <c r="AJ132" s="136" t="str">
        <f t="shared" si="91"/>
        <v>99995.2538755256-688.90487133038j</v>
      </c>
      <c r="AK132" s="136" t="str">
        <f t="shared" si="92"/>
        <v>19047.6190420757-0.324941075611358j</v>
      </c>
      <c r="AL132" s="136" t="str">
        <f t="shared" si="93"/>
        <v>10000-32255785.1637514j</v>
      </c>
      <c r="AM132" s="136" t="str">
        <f t="shared" si="94"/>
        <v>963.139076066234-10010416.2912292j</v>
      </c>
      <c r="AN132" s="136" t="str">
        <f t="shared" si="120"/>
        <v>10963.1390760662-10010416.2912292j</v>
      </c>
      <c r="AO132" s="136" t="str">
        <f t="shared" si="121"/>
        <v>19047.5091503952-36.5680373467251j</v>
      </c>
      <c r="AP132" s="136" t="str">
        <f t="shared" si="122"/>
        <v>0.160001031362087+0.000923638157077674j</v>
      </c>
      <c r="AQ132" s="136" t="str">
        <f t="shared" si="95"/>
        <v>1+0.0110230011066394j</v>
      </c>
      <c r="AR132" s="136" t="str">
        <f t="shared" si="96"/>
        <v>1+0.0000220019982168452j</v>
      </c>
      <c r="AS132" s="136" t="str">
        <f t="shared" si="97"/>
        <v>3.45157722151647E-08j</v>
      </c>
      <c r="AT132" s="136" t="str">
        <f t="shared" si="123"/>
        <v>-7.59415958731089E-13+3.45157722151647E-08j</v>
      </c>
      <c r="AU132" s="179" t="str">
        <f t="shared" si="124"/>
        <v>318723.829631248-28972269.1356912j</v>
      </c>
      <c r="AV132" s="136" t="str">
        <f t="shared" si="98"/>
        <v>7999.99750627561-4.46651865612655j</v>
      </c>
      <c r="AW132" s="136"/>
      <c r="AX132" s="136" t="str">
        <f t="shared" si="99"/>
        <v>0.499999844142226-0.000279157416007909j</v>
      </c>
      <c r="AY132" s="136"/>
      <c r="AZ132" s="136" t="str">
        <f t="shared" si="100"/>
        <v>4.89241701737016-289.705650289132j</v>
      </c>
      <c r="BA132" s="136" t="str">
        <f t="shared" si="101"/>
        <v>2.36533426542625-144.854145746181j</v>
      </c>
      <c r="BB132" s="136">
        <f t="shared" si="125"/>
        <v>43.219776428562668</v>
      </c>
      <c r="BC132" s="136">
        <f t="shared" si="126"/>
        <v>90.935503961519231</v>
      </c>
      <c r="BD132" s="136" t="str">
        <f t="shared" si="102"/>
        <v>17.0137779350392-1342.57295266428j</v>
      </c>
      <c r="BE132" s="136">
        <f t="shared" si="127"/>
        <v>62.559455262837567</v>
      </c>
      <c r="BF132" s="136">
        <f t="shared" si="128"/>
        <v>90.726042848907838</v>
      </c>
      <c r="BG132" s="136"/>
      <c r="BH132" s="136" t="str">
        <f t="shared" si="103"/>
        <v>-8.08644859692881-502.867621287252j</v>
      </c>
      <c r="BI132" s="136">
        <f t="shared" si="129"/>
        <v>54.03019635021267</v>
      </c>
      <c r="BJ132" s="136">
        <f t="shared" si="130"/>
        <v>89.078724844939075</v>
      </c>
      <c r="BK132" s="136"/>
      <c r="BL132" s="136">
        <f t="shared" si="131"/>
        <v>-53.03019635021267</v>
      </c>
      <c r="BM132" s="136">
        <f t="shared" si="132"/>
        <v>-89.078724844939075</v>
      </c>
      <c r="BN132" s="136"/>
      <c r="BO132" s="189"/>
      <c r="BP132" s="189" t="str">
        <f t="shared" si="104"/>
        <v>0.00001+6.88937569164964E-08j</v>
      </c>
      <c r="BQ132" s="189" t="str">
        <f t="shared" si="105"/>
        <v>3.7966184796294E-10+3.4442693445278E-08j</v>
      </c>
      <c r="BR132" s="189" t="str">
        <f t="shared" si="106"/>
        <v>-0.000365896160975932-0.000861390573293005j</v>
      </c>
      <c r="BS132" s="189" t="str">
        <f t="shared" si="107"/>
        <v>0.000062500379661848+1.03336450361774E-07j</v>
      </c>
      <c r="BT132" s="189" t="str">
        <f t="shared" si="133"/>
        <v>-2.27796359335892E-08-5.3875048278426E-08j</v>
      </c>
      <c r="BU132" s="189" t="str">
        <f t="shared" si="134"/>
        <v>-3.7966184796294E-10-3.4442693445278E-08j</v>
      </c>
      <c r="BV132" s="189" t="str">
        <f t="shared" si="135"/>
        <v>-2.31592977815521E-08-8.8317741723704E-08j</v>
      </c>
      <c r="BW132" s="189" t="str">
        <f t="shared" si="108"/>
        <v>0.999999987977355-0.00010964782365665j</v>
      </c>
      <c r="BX132" s="189" t="str">
        <f t="shared" si="136"/>
        <v>-0.00001-6.88937569164964E-08j</v>
      </c>
      <c r="BY132" s="189" t="str">
        <f t="shared" si="137"/>
        <v>28.4992946588571-105.754332028495j</v>
      </c>
      <c r="BZ132" s="136">
        <f t="shared" si="138"/>
        <v>40.790432827574449</v>
      </c>
      <c r="CA132" s="136">
        <f t="shared" si="139"/>
        <v>105.08211385565055</v>
      </c>
      <c r="CB132" s="189" t="str">
        <f t="shared" si="109"/>
        <v>260.545306156128-981.085499114878j</v>
      </c>
      <c r="CC132" s="136" t="str">
        <f t="shared" si="110"/>
        <v>86.9887792341784-370.14228852986j</v>
      </c>
      <c r="CD132" s="136">
        <f t="shared" si="140"/>
        <v>51.600852749224451</v>
      </c>
      <c r="CE132" s="136">
        <f t="shared" si="141"/>
        <v>103.22533473907039</v>
      </c>
      <c r="CF132" s="136"/>
      <c r="CG132" s="136">
        <f t="shared" si="142"/>
        <v>-50.600852749224451</v>
      </c>
      <c r="CH132" s="136">
        <f t="shared" si="143"/>
        <v>-103.22533473907039</v>
      </c>
      <c r="CI132" s="77"/>
      <c r="CJ132" s="189"/>
      <c r="CK132" s="189"/>
      <c r="CL132" s="189"/>
      <c r="CM132" s="77"/>
      <c r="CN132" s="189">
        <v>2398.83291901948</v>
      </c>
      <c r="CO132" s="189">
        <v>27.458051600648101</v>
      </c>
      <c r="CP132" s="189">
        <v>76.198503147706504</v>
      </c>
      <c r="CQ132" s="74"/>
      <c r="CR132" s="75"/>
      <c r="CS132" s="75"/>
      <c r="CT132" s="75"/>
      <c r="CU132" s="74"/>
      <c r="CV132" s="75"/>
      <c r="CW132" s="75"/>
      <c r="CX132" s="75"/>
      <c r="CY132" s="74"/>
      <c r="CZ132" s="75"/>
      <c r="DA132" s="75"/>
      <c r="DB132" s="75"/>
      <c r="DC132" s="74"/>
      <c r="DD132" s="75"/>
      <c r="DE132" s="75"/>
      <c r="DF132" s="75"/>
      <c r="DG132" s="74"/>
      <c r="DH132" s="75"/>
      <c r="DI132" s="75"/>
      <c r="DJ132" s="75"/>
      <c r="DK132" s="74"/>
      <c r="DL132" s="75"/>
      <c r="DM132" s="75"/>
      <c r="DN132" s="75"/>
      <c r="DO132" s="76"/>
    </row>
    <row r="133" spans="1:119" x14ac:dyDescent="0.25">
      <c r="A133" s="136">
        <v>84</v>
      </c>
      <c r="B133" s="136">
        <f t="shared" si="72"/>
        <v>331.13112148259137</v>
      </c>
      <c r="C133" s="136" t="str">
        <f t="shared" si="79"/>
        <v>2080.55819724932j</v>
      </c>
      <c r="D133" s="136">
        <f t="shared" si="73"/>
        <v>0.99999725880450963</v>
      </c>
      <c r="E133" s="136" t="str">
        <f t="shared" si="74"/>
        <v>-0.00260069774656165j</v>
      </c>
      <c r="F133" s="136" t="str">
        <f t="shared" si="80"/>
        <v>0.99999725880451-0.00260069774656165j</v>
      </c>
      <c r="G133" s="136">
        <f t="shared" si="81"/>
        <v>5.5643740869742326E-6</v>
      </c>
      <c r="H133" s="136">
        <f t="shared" si="82"/>
        <v>-0.14900907718250131</v>
      </c>
      <c r="I133" s="136"/>
      <c r="J133" s="136">
        <f t="shared" si="75"/>
        <v>7.0726915520628681</v>
      </c>
      <c r="K133" s="136" t="str">
        <f t="shared" si="76"/>
        <v>1+0.152711584639302j</v>
      </c>
      <c r="L133" s="136">
        <f t="shared" si="77"/>
        <v>0.99872660178380768</v>
      </c>
      <c r="M133" s="136" t="str">
        <f t="shared" si="78"/>
        <v>0.0111761046291173j</v>
      </c>
      <c r="N133" s="136" t="str">
        <f t="shared" si="83"/>
        <v>0.998726601783808+0.0111761046291173j</v>
      </c>
      <c r="O133" s="136" t="str">
        <f t="shared" si="84"/>
        <v>1.0003595340016+0.0502253093382468j</v>
      </c>
      <c r="P133" s="136" t="str">
        <f t="shared" si="85"/>
        <v>7.07523442515866+0.355228121056362j</v>
      </c>
      <c r="Q133" s="136"/>
      <c r="R133" s="136">
        <f t="shared" si="86"/>
        <v>11.787819253438114</v>
      </c>
      <c r="S133" s="136" t="str">
        <f t="shared" si="87"/>
        <v>1+0.000048721853760606j</v>
      </c>
      <c r="T133" s="136" t="str">
        <f t="shared" si="88"/>
        <v>0.99983968866263+0.00396543156188616j</v>
      </c>
      <c r="U133" s="136" t="str">
        <f t="shared" si="111"/>
        <v>1.00014479833836-0.00391791198173607j</v>
      </c>
      <c r="V133" s="136" t="str">
        <f t="shared" si="112"/>
        <v>11.7895261100789-0.0461836382915843j</v>
      </c>
      <c r="W133" s="136"/>
      <c r="X133" s="136" t="str">
        <f t="shared" si="89"/>
        <v>1.66868692951759+0.0822365833674774j</v>
      </c>
      <c r="Y133" s="136">
        <f t="shared" si="113"/>
        <v>4.4580323644187452</v>
      </c>
      <c r="Z133" s="136">
        <f t="shared" si="114"/>
        <v>-177.17861988756883</v>
      </c>
      <c r="AA133" s="136"/>
      <c r="AB133" s="136" t="str">
        <f t="shared" si="90"/>
        <v>9.26806676861694-0.0363062127610142j</v>
      </c>
      <c r="AC133" s="136">
        <f t="shared" si="115"/>
        <v>19.339849721644079</v>
      </c>
      <c r="AD133" s="136">
        <f t="shared" si="116"/>
        <v>179.77555382662359</v>
      </c>
      <c r="AE133" s="136"/>
      <c r="AF133" s="136" t="str">
        <f t="shared" si="117"/>
        <v>3.46918046084725-0.120508613201938j</v>
      </c>
      <c r="AG133" s="136">
        <f t="shared" si="118"/>
        <v>10.809775101960089</v>
      </c>
      <c r="AH133" s="136">
        <f t="shared" si="119"/>
        <v>178.01052154763318</v>
      </c>
      <c r="AI133" s="136"/>
      <c r="AJ133" s="136" t="str">
        <f t="shared" si="91"/>
        <v>99994.5507583133-738.169678621823j</v>
      </c>
      <c r="AK133" s="136" t="str">
        <f t="shared" si="92"/>
        <v>19047.6190412545-0.34818063556723j</v>
      </c>
      <c r="AL133" s="136" t="str">
        <f t="shared" si="93"/>
        <v>10000-30102850.2296548j</v>
      </c>
      <c r="AM133" s="136" t="str">
        <f t="shared" si="94"/>
        <v>963.139069543194-9342264.08503043j</v>
      </c>
      <c r="AN133" s="136" t="str">
        <f t="shared" si="120"/>
        <v>10963.1390695432-9342264.08503043j</v>
      </c>
      <c r="AO133" s="136" t="str">
        <f t="shared" si="121"/>
        <v>19047.4928688937-39.183305362028j</v>
      </c>
      <c r="AP133" s="136" t="str">
        <f t="shared" si="122"/>
        <v>0.160001184161896+0.000989695933539267j</v>
      </c>
      <c r="AQ133" s="136" t="str">
        <f t="shared" si="95"/>
        <v>1+0.0118113584874196j</v>
      </c>
      <c r="AR133" s="136" t="str">
        <f t="shared" si="96"/>
        <v>1+0.000023575565843153j</v>
      </c>
      <c r="AS133" s="136" t="str">
        <f t="shared" si="97"/>
        <v>3.69843162637327E-08j</v>
      </c>
      <c r="AT133" s="136" t="str">
        <f t="shared" si="123"/>
        <v>-8.71926183239625E-13+3.69843162637327E-08j</v>
      </c>
      <c r="AU133" s="179" t="str">
        <f t="shared" si="124"/>
        <v>318723.829608389-27038495.7443235j</v>
      </c>
      <c r="AV133" s="136" t="str">
        <f t="shared" si="98"/>
        <v>7999.99713682144-4.7859607462193j</v>
      </c>
      <c r="AW133" s="136"/>
      <c r="AX133" s="136" t="str">
        <f t="shared" si="99"/>
        <v>0.49999982105134-0.000299122546638706j</v>
      </c>
      <c r="AY133" s="136"/>
      <c r="AZ133" s="136" t="str">
        <f t="shared" si="100"/>
        <v>4.8924196268201-270.366697612883j</v>
      </c>
      <c r="BA133" s="136" t="str">
        <f t="shared" si="101"/>
        <v>2.36533616280185-135.184763857701j</v>
      </c>
      <c r="BB133" s="136">
        <f t="shared" si="125"/>
        <v>42.619884311649443</v>
      </c>
      <c r="BC133" s="136">
        <f t="shared" si="126"/>
        <v>91.002405506783859</v>
      </c>
      <c r="BD133" s="136" t="str">
        <f t="shared" si="102"/>
        <v>17.0140466884066-1252.98729393086j</v>
      </c>
      <c r="BE133" s="136">
        <f t="shared" si="127"/>
        <v>61.959734033293479</v>
      </c>
      <c r="BF133" s="136">
        <f t="shared" si="128"/>
        <v>90.777959333407466</v>
      </c>
      <c r="BG133" s="136"/>
      <c r="BH133" s="136" t="str">
        <f t="shared" si="103"/>
        <v>-8.08515041919535-469.265384760119j</v>
      </c>
      <c r="BI133" s="136">
        <f t="shared" si="129"/>
        <v>53.429659413609478</v>
      </c>
      <c r="BJ133" s="136">
        <f t="shared" si="130"/>
        <v>89.012927054417048</v>
      </c>
      <c r="BK133" s="136"/>
      <c r="BL133" s="136">
        <f t="shared" si="131"/>
        <v>-52.429659413609478</v>
      </c>
      <c r="BM133" s="136">
        <f t="shared" si="132"/>
        <v>-89.012927054417048</v>
      </c>
      <c r="BN133" s="136"/>
      <c r="BO133" s="189"/>
      <c r="BP133" s="189" t="str">
        <f t="shared" si="104"/>
        <v>0.00001+7.38209905463727E-08j</v>
      </c>
      <c r="BQ133" s="189" t="str">
        <f t="shared" si="105"/>
        <v>4.35902279682052E-10+3.69053466750955E-08j</v>
      </c>
      <c r="BR133" s="189" t="str">
        <f t="shared" si="106"/>
        <v>-0.000367192840902514-0.000922982509609142j</v>
      </c>
      <c r="BS133" s="189" t="str">
        <f t="shared" si="107"/>
        <v>0.0000625004359022797+1.10726337221468E-07j</v>
      </c>
      <c r="BT133" s="189" t="str">
        <f t="shared" si="133"/>
        <v>-2.28475141439951E-08-5.77274670990785E-08j</v>
      </c>
      <c r="BU133" s="189" t="str">
        <f t="shared" si="134"/>
        <v>-4.35902279682052E-10-3.69053466750955E-08j</v>
      </c>
      <c r="BV133" s="189" t="str">
        <f t="shared" si="135"/>
        <v>-2.32834164236772E-08-9.4632813774174E-08j</v>
      </c>
      <c r="BW133" s="189" t="str">
        <f t="shared" si="108"/>
        <v>0.999999986196156-0.000117489759616117j</v>
      </c>
      <c r="BX133" s="189" t="str">
        <f t="shared" si="136"/>
        <v>-0.00001-7.38209905463727E-08j</v>
      </c>
      <c r="BY133" s="189" t="str">
        <f t="shared" si="137"/>
        <v>25.2392100134344-99.4618369975305j</v>
      </c>
      <c r="BZ133" s="136">
        <f t="shared" si="138"/>
        <v>40.224149561465993</v>
      </c>
      <c r="CA133" s="136">
        <f t="shared" si="139"/>
        <v>104.2387008784828</v>
      </c>
      <c r="CB133" s="189" t="str">
        <f t="shared" si="109"/>
        <v>230.307600976022-922.735286351075j</v>
      </c>
      <c r="CC133" s="136" t="str">
        <f t="shared" si="110"/>
        <v>75.5733661827374-348.092603708838j</v>
      </c>
      <c r="CD133" s="136">
        <f t="shared" si="140"/>
        <v>51.033924663426077</v>
      </c>
      <c r="CE133" s="136">
        <f t="shared" si="141"/>
        <v>102.24922242611602</v>
      </c>
      <c r="CF133" s="136"/>
      <c r="CG133" s="136">
        <f t="shared" si="142"/>
        <v>-50.033924663426077</v>
      </c>
      <c r="CH133" s="136">
        <f t="shared" si="143"/>
        <v>-102.24922242611602</v>
      </c>
      <c r="CI133" s="77"/>
      <c r="CJ133" s="189"/>
      <c r="CK133" s="189"/>
      <c r="CL133" s="189"/>
      <c r="CM133" s="77"/>
      <c r="CN133" s="189">
        <v>2511.8864315095698</v>
      </c>
      <c r="CO133" s="189">
        <v>26.977057353530402</v>
      </c>
      <c r="CP133" s="189">
        <v>75.739647820816202</v>
      </c>
      <c r="CQ133" s="74"/>
      <c r="CR133" s="75"/>
      <c r="CS133" s="75"/>
      <c r="CT133" s="75"/>
      <c r="CU133" s="74"/>
      <c r="CV133" s="75"/>
      <c r="CW133" s="75"/>
      <c r="CX133" s="75"/>
      <c r="CY133" s="74"/>
      <c r="CZ133" s="75"/>
      <c r="DA133" s="75"/>
      <c r="DB133" s="75"/>
      <c r="DC133" s="74"/>
      <c r="DD133" s="75"/>
      <c r="DE133" s="75"/>
      <c r="DF133" s="75"/>
      <c r="DG133" s="74"/>
      <c r="DH133" s="75"/>
      <c r="DI133" s="75"/>
      <c r="DJ133" s="75"/>
      <c r="DK133" s="74"/>
      <c r="DL133" s="75"/>
      <c r="DM133" s="75"/>
      <c r="DN133" s="75"/>
      <c r="DO133" s="76"/>
    </row>
    <row r="134" spans="1:119" x14ac:dyDescent="0.25">
      <c r="A134" s="136">
        <v>85</v>
      </c>
      <c r="B134" s="136">
        <f t="shared" si="72"/>
        <v>354.81338923357566</v>
      </c>
      <c r="C134" s="136" t="str">
        <f t="shared" si="79"/>
        <v>2229.35827402299j</v>
      </c>
      <c r="D134" s="136">
        <f t="shared" si="73"/>
        <v>0.99999685268647054</v>
      </c>
      <c r="E134" s="136" t="str">
        <f t="shared" si="74"/>
        <v>-0.00278669784252874j</v>
      </c>
      <c r="F134" s="136" t="str">
        <f t="shared" si="80"/>
        <v>0.999996852686471-0.00278669784252874j</v>
      </c>
      <c r="G134" s="136">
        <f t="shared" si="81"/>
        <v>6.3887612038438512E-6</v>
      </c>
      <c r="H134" s="136">
        <f t="shared" si="82"/>
        <v>-0.15966611436840988</v>
      </c>
      <c r="I134" s="136"/>
      <c r="J134" s="136">
        <f t="shared" si="75"/>
        <v>7.0726915520628681</v>
      </c>
      <c r="K134" s="136" t="str">
        <f t="shared" si="76"/>
        <v>1+0.163633411074438j</v>
      </c>
      <c r="L134" s="136">
        <f t="shared" si="77"/>
        <v>0.99853794322647105</v>
      </c>
      <c r="M134" s="136" t="str">
        <f t="shared" si="78"/>
        <v>0.0119754118674546j</v>
      </c>
      <c r="N134" s="136" t="str">
        <f t="shared" si="83"/>
        <v>0.998537943226471+0.0119754118674546j</v>
      </c>
      <c r="O134" s="136" t="str">
        <f t="shared" si="84"/>
        <v>1.00041281454292+0.053818440571063j</v>
      </c>
      <c r="P134" s="136" t="str">
        <f t="shared" si="85"/>
        <v>7.07561126199315+0.380641229972155j</v>
      </c>
      <c r="Q134" s="136"/>
      <c r="R134" s="136">
        <f t="shared" si="86"/>
        <v>11.787819253438114</v>
      </c>
      <c r="S134" s="136" t="str">
        <f t="shared" si="87"/>
        <v>1+0.0000522064068914528j</v>
      </c>
      <c r="T134" s="136" t="str">
        <f t="shared" si="88"/>
        <v>0.999815937957432+0.00424903647215954j</v>
      </c>
      <c r="U134" s="136" t="str">
        <f t="shared" si="111"/>
        <v>1.00016625387454-0.00419830923341749j</v>
      </c>
      <c r="V134" s="136" t="str">
        <f t="shared" si="112"/>
        <v>11.7897790240614-0.0494889104135657j</v>
      </c>
      <c r="W134" s="136"/>
      <c r="X134" s="136" t="str">
        <f t="shared" si="89"/>
        <v>1.66878717152115+0.088119748964425j</v>
      </c>
      <c r="Y134" s="136">
        <f t="shared" si="113"/>
        <v>4.4601117745699339</v>
      </c>
      <c r="Z134" s="136">
        <f t="shared" si="114"/>
        <v>-176.97732283227484</v>
      </c>
      <c r="AA134" s="136"/>
      <c r="AB134" s="136" t="str">
        <f t="shared" si="90"/>
        <v>9.26826559116965-0.0389045769725141j</v>
      </c>
      <c r="AC134" s="136">
        <f t="shared" si="115"/>
        <v>19.340045930303134</v>
      </c>
      <c r="AD134" s="136">
        <f t="shared" si="116"/>
        <v>179.75949599734031</v>
      </c>
      <c r="AE134" s="136"/>
      <c r="AF134" s="136" t="str">
        <f t="shared" si="117"/>
        <v>3.46857515053363-0.12910529253833j</v>
      </c>
      <c r="AG134" s="136">
        <f t="shared" si="118"/>
        <v>10.809034867940476</v>
      </c>
      <c r="AH134" s="136">
        <f t="shared" si="119"/>
        <v>177.8683537805764</v>
      </c>
      <c r="AI134" s="136"/>
      <c r="AJ134" s="136" t="str">
        <f t="shared" si="91"/>
        <v>99993.7434839334-790.95667559421j</v>
      </c>
      <c r="AK134" s="136" t="str">
        <f t="shared" si="92"/>
        <v>19047.6190403116-0.373082272701719j</v>
      </c>
      <c r="AL134" s="136" t="str">
        <f t="shared" si="93"/>
        <v>10000-28093614.4430731j</v>
      </c>
      <c r="AM134" s="136" t="str">
        <f t="shared" si="94"/>
        <v>963.13906205374-8718708.16704475j</v>
      </c>
      <c r="AN134" s="136" t="str">
        <f t="shared" si="120"/>
        <v>10963.1390620537-8718708.16704475j</v>
      </c>
      <c r="AO134" s="136" t="str">
        <f t="shared" si="121"/>
        <v>19047.4741752828-41.9856034146263j</v>
      </c>
      <c r="AP134" s="136" t="str">
        <f t="shared" si="122"/>
        <v>0.160001359599481+0.00106047807418049j</v>
      </c>
      <c r="AQ134" s="136" t="str">
        <f t="shared" si="95"/>
        <v>1+0.0126560986403522j</v>
      </c>
      <c r="AR134" s="136" t="str">
        <f t="shared" si="96"/>
        <v>1+0.0000252616739328387j</v>
      </c>
      <c r="AS134" s="136" t="str">
        <f t="shared" si="97"/>
        <v>3.96294088676028E-08j</v>
      </c>
      <c r="AT134" s="136" t="str">
        <f t="shared" si="123"/>
        <v>-1.00110520496453E-12+3.96294088676028E-08j</v>
      </c>
      <c r="AU134" s="179" t="str">
        <f t="shared" si="124"/>
        <v>318723.829582145-25233793.4794074j</v>
      </c>
      <c r="AV134" s="136" t="str">
        <f t="shared" si="98"/>
        <v>7999.99671263134-5.12824906176419j</v>
      </c>
      <c r="AW134" s="136"/>
      <c r="AX134" s="136" t="str">
        <f t="shared" si="99"/>
        <v>0.499999794539459-0.000320515566360262j</v>
      </c>
      <c r="AY134" s="136"/>
      <c r="AZ134" s="136" t="str">
        <f t="shared" si="100"/>
        <v>4.89242262286861-252.318369036732j</v>
      </c>
      <c r="BA134" s="136" t="str">
        <f t="shared" si="101"/>
        <v>2.3653383412796-126.160700774505j</v>
      </c>
      <c r="BB134" s="136">
        <f t="shared" si="125"/>
        <v>42.020008176006499</v>
      </c>
      <c r="BC134" s="136">
        <f t="shared" si="126"/>
        <v>91.074090641789937</v>
      </c>
      <c r="BD134" s="136" t="str">
        <f t="shared" si="102"/>
        <v>17.014355265768-1169.38290443376j</v>
      </c>
      <c r="BE134" s="136">
        <f t="shared" si="127"/>
        <v>61.360054106309647</v>
      </c>
      <c r="BF134" s="136">
        <f t="shared" si="128"/>
        <v>90.83358663913026</v>
      </c>
      <c r="BG134" s="136"/>
      <c r="BH134" s="136" t="str">
        <f t="shared" si="103"/>
        <v>-8.08366038716632-437.90324937886j</v>
      </c>
      <c r="BI134" s="136">
        <f t="shared" si="129"/>
        <v>52.829043043946974</v>
      </c>
      <c r="BJ134" s="136">
        <f t="shared" si="130"/>
        <v>88.942444422366336</v>
      </c>
      <c r="BK134" s="136"/>
      <c r="BL134" s="136">
        <f t="shared" si="131"/>
        <v>-51.829043043946974</v>
      </c>
      <c r="BM134" s="136">
        <f t="shared" si="132"/>
        <v>-88.942444422366336</v>
      </c>
      <c r="BN134" s="136"/>
      <c r="BO134" s="189"/>
      <c r="BP134" s="189" t="str">
        <f t="shared" si="104"/>
        <v>0.00001+7.91006165022012E-08j</v>
      </c>
      <c r="BQ134" s="189" t="str">
        <f t="shared" si="105"/>
        <v>5.00472438392182E-10+3.95439742225535E-08j</v>
      </c>
      <c r="BR134" s="189" t="str">
        <f t="shared" si="106"/>
        <v>-0.000368681579735174-0.000988976207819328j</v>
      </c>
      <c r="BS134" s="189" t="str">
        <f t="shared" si="107"/>
        <v>0.0000625005004724384+1.18644590724755E-07j</v>
      </c>
      <c r="BT134" s="189" t="str">
        <f t="shared" si="133"/>
        <v>-2.29254465710043E-08-6.18552500191777E-08j</v>
      </c>
      <c r="BU134" s="189" t="str">
        <f t="shared" si="134"/>
        <v>-5.00472438392182E-10-3.95439742225535E-08j</v>
      </c>
      <c r="BV134" s="189" t="str">
        <f t="shared" si="135"/>
        <v>-2.34259190093965E-08-1.01399224241731E-07j</v>
      </c>
      <c r="BW134" s="189" t="str">
        <f t="shared" si="108"/>
        <v>0.999999984151067-0.000125892545338933j</v>
      </c>
      <c r="BX134" s="189" t="str">
        <f t="shared" si="136"/>
        <v>-0.00001-7.91006165022012E-08j</v>
      </c>
      <c r="BY134" s="189" t="str">
        <f t="shared" si="137"/>
        <v>22.3582290184307-93.4548346732751j</v>
      </c>
      <c r="BZ134" s="136">
        <f t="shared" si="138"/>
        <v>39.653755970833735</v>
      </c>
      <c r="CA134" s="136">
        <f t="shared" si="139"/>
        <v>103.45460769577862</v>
      </c>
      <c r="CB134" s="189" t="str">
        <f t="shared" si="109"/>
        <v>203.586183882012-867.034065972581j</v>
      </c>
      <c r="CC134" s="136" t="str">
        <f t="shared" si="110"/>
        <v>65.4856838136542-327.041682943014j</v>
      </c>
      <c r="CD134" s="136">
        <f t="shared" si="140"/>
        <v>50.462790838774197</v>
      </c>
      <c r="CE134" s="136">
        <f t="shared" si="141"/>
        <v>101.32296147635502</v>
      </c>
      <c r="CF134" s="136"/>
      <c r="CG134" s="136">
        <f t="shared" si="142"/>
        <v>-49.462790838774197</v>
      </c>
      <c r="CH134" s="136">
        <f t="shared" si="143"/>
        <v>-101.32296147635502</v>
      </c>
      <c r="CI134" s="77"/>
      <c r="CJ134" s="189"/>
      <c r="CK134" s="189"/>
      <c r="CL134" s="189"/>
      <c r="CM134" s="77"/>
      <c r="CN134" s="189">
        <v>2630.26799189538</v>
      </c>
      <c r="CO134" s="189">
        <v>26.4909937308</v>
      </c>
      <c r="CP134" s="189">
        <v>75.288176975212494</v>
      </c>
      <c r="CQ134" s="74"/>
      <c r="CR134" s="75"/>
      <c r="CS134" s="75"/>
      <c r="CT134" s="75"/>
      <c r="CU134" s="74"/>
      <c r="CV134" s="75"/>
      <c r="CW134" s="75"/>
      <c r="CX134" s="75"/>
      <c r="CY134" s="74"/>
      <c r="CZ134" s="75"/>
      <c r="DA134" s="75"/>
      <c r="DB134" s="75"/>
      <c r="DC134" s="74"/>
      <c r="DD134" s="75"/>
      <c r="DE134" s="75"/>
      <c r="DF134" s="75"/>
      <c r="DG134" s="74"/>
      <c r="DH134" s="75"/>
      <c r="DI134" s="75"/>
      <c r="DJ134" s="75"/>
      <c r="DK134" s="74"/>
      <c r="DL134" s="75"/>
      <c r="DM134" s="75"/>
      <c r="DN134" s="75"/>
      <c r="DO134" s="76"/>
    </row>
    <row r="135" spans="1:119" x14ac:dyDescent="0.25">
      <c r="A135" s="136">
        <v>86</v>
      </c>
      <c r="B135" s="136">
        <f t="shared" si="72"/>
        <v>380.18939632056163</v>
      </c>
      <c r="C135" s="136" t="str">
        <f t="shared" si="79"/>
        <v>2388.80042890683j</v>
      </c>
      <c r="D135" s="136">
        <f t="shared" si="73"/>
        <v>0.99999638640057309</v>
      </c>
      <c r="E135" s="136" t="str">
        <f t="shared" si="74"/>
        <v>-0.00298600053613354j</v>
      </c>
      <c r="F135" s="136" t="str">
        <f t="shared" si="80"/>
        <v>0.999996386400573-0.00298600053613354j</v>
      </c>
      <c r="G135" s="136">
        <f t="shared" si="81"/>
        <v>7.3352858262076026E-6</v>
      </c>
      <c r="H135" s="136">
        <f t="shared" si="82"/>
        <v>-0.17108533810051921</v>
      </c>
      <c r="I135" s="136"/>
      <c r="J135" s="136">
        <f t="shared" si="75"/>
        <v>7.0726915520628681</v>
      </c>
      <c r="K135" s="136" t="str">
        <f t="shared" si="76"/>
        <v>1+0.175336358948142j</v>
      </c>
      <c r="L135" s="136">
        <f t="shared" si="77"/>
        <v>0.99832133422063873</v>
      </c>
      <c r="M135" s="136" t="str">
        <f t="shared" si="78"/>
        <v>0.0128318850041491j</v>
      </c>
      <c r="N135" s="136" t="str">
        <f t="shared" si="83"/>
        <v>0.998321334220639+0.0128318850041491j</v>
      </c>
      <c r="O135" s="136" t="str">
        <f t="shared" si="84"/>
        <v>1.00047399333428+0.0576687923422038j</v>
      </c>
      <c r="P135" s="136" t="str">
        <f t="shared" si="85"/>
        <v>7.07604396071397+0.407873580416373j</v>
      </c>
      <c r="Q135" s="136"/>
      <c r="R135" s="136">
        <f t="shared" si="86"/>
        <v>11.787819253438114</v>
      </c>
      <c r="S135" s="136" t="str">
        <f t="shared" si="87"/>
        <v>1+0.0000559401728412813j</v>
      </c>
      <c r="T135" s="136" t="str">
        <f t="shared" si="88"/>
        <v>0.999788668499245+0.00455292460857764j</v>
      </c>
      <c r="U135" s="136" t="str">
        <f t="shared" si="111"/>
        <v>1.00019088912493-0.00449880427859057j</v>
      </c>
      <c r="V135" s="136" t="str">
        <f t="shared" si="112"/>
        <v>11.7900694199402-0.0530310916926197j</v>
      </c>
      <c r="W135" s="136"/>
      <c r="X135" s="136" t="str">
        <f t="shared" si="89"/>
        <v>1.66890227286255+0.094424057318174j</v>
      </c>
      <c r="Y135" s="136">
        <f t="shared" si="113"/>
        <v>4.4624982553066932</v>
      </c>
      <c r="Z135" s="136">
        <f t="shared" si="114"/>
        <v>-176.76174075289535</v>
      </c>
      <c r="AA135" s="136"/>
      <c r="AB135" s="136" t="str">
        <f t="shared" si="90"/>
        <v>9.26849387925935-0.041689181908649j</v>
      </c>
      <c r="AC135" s="136">
        <f t="shared" si="115"/>
        <v>19.340271212872938</v>
      </c>
      <c r="AD135" s="136">
        <f t="shared" si="116"/>
        <v>179.74228843460409</v>
      </c>
      <c r="AE135" s="136"/>
      <c r="AF135" s="136" t="str">
        <f t="shared" si="117"/>
        <v>3.46788041569326-0.138311741424956j</v>
      </c>
      <c r="AG135" s="136">
        <f t="shared" si="118"/>
        <v>10.80818512112719</v>
      </c>
      <c r="AH135" s="136">
        <f t="shared" si="119"/>
        <v>177.71604549383704</v>
      </c>
      <c r="AI135" s="136"/>
      <c r="AJ135" s="136" t="str">
        <f t="shared" si="91"/>
        <v>99992.8166250047-847.517491649895j</v>
      </c>
      <c r="AK135" s="136" t="str">
        <f t="shared" si="92"/>
        <v>19047.6190392289-0.399764857619092j</v>
      </c>
      <c r="AL135" s="136" t="str">
        <f t="shared" si="93"/>
        <v>9999.99999999997-26218486.5039303j</v>
      </c>
      <c r="AM135" s="136" t="str">
        <f t="shared" si="94"/>
        <v>963.139053454703-8136771.92697915j</v>
      </c>
      <c r="AN135" s="136" t="str">
        <f t="shared" si="120"/>
        <v>10963.1390534547-8136771.92697915j</v>
      </c>
      <c r="AO135" s="136" t="str">
        <f t="shared" si="121"/>
        <v>19047.4527122169-44.9883049734074j</v>
      </c>
      <c r="AP135" s="136" t="str">
        <f t="shared" si="122"/>
        <v>0.160001561028687+0.00113632245255119j</v>
      </c>
      <c r="AQ135" s="136" t="str">
        <f t="shared" si="95"/>
        <v>1+0.0135612540221288j</v>
      </c>
      <c r="AR135" s="136" t="str">
        <f t="shared" si="96"/>
        <v>1+0.0000270683713016543j</v>
      </c>
      <c r="AS135" s="136" t="str">
        <f t="shared" si="97"/>
        <v>4.24636766567908E-08j</v>
      </c>
      <c r="AT135" s="136" t="str">
        <f t="shared" si="123"/>
        <v>-1.1494225665794E-12+4.24636766567908E-08j</v>
      </c>
      <c r="AU135" s="179" t="str">
        <f t="shared" si="124"/>
        <v>318723.829552011-23549547.4033203j</v>
      </c>
      <c r="AV135" s="136" t="str">
        <f t="shared" si="98"/>
        <v>7999.996225596-5.49501753721335j</v>
      </c>
      <c r="AW135" s="136"/>
      <c r="AX135" s="136" t="str">
        <f t="shared" si="99"/>
        <v>0.49999976409975-0.000343438596075834j</v>
      </c>
      <c r="AY135" s="136"/>
      <c r="AZ135" s="136" t="str">
        <f t="shared" si="100"/>
        <v>4.8924260627913-235.474508950661j</v>
      </c>
      <c r="BA135" s="136" t="str">
        <f t="shared" si="101"/>
        <v>2.36534084250546-117.738879174773j</v>
      </c>
      <c r="BB135" s="136">
        <f t="shared" si="125"/>
        <v>41.42015038868049</v>
      </c>
      <c r="BC135" s="136">
        <f t="shared" si="126"/>
        <v>91.150901217964361</v>
      </c>
      <c r="BD135" s="136" t="str">
        <f t="shared" si="102"/>
        <v>17.0147095694864-1091.3606901069j</v>
      </c>
      <c r="BE135" s="136">
        <f t="shared" si="127"/>
        <v>60.760421601553446</v>
      </c>
      <c r="BF135" s="136">
        <f t="shared" si="128"/>
        <v>90.893189652568466</v>
      </c>
      <c r="BG135" s="136"/>
      <c r="BH135" s="136" t="str">
        <f t="shared" si="103"/>
        <v>-8.0819502279213-408.631507666861j</v>
      </c>
      <c r="BI135" s="136">
        <f t="shared" si="129"/>
        <v>52.228335509807678</v>
      </c>
      <c r="BJ135" s="136">
        <f t="shared" si="130"/>
        <v>88.866946711801418</v>
      </c>
      <c r="BK135" s="136"/>
      <c r="BL135" s="136">
        <f t="shared" si="131"/>
        <v>-51.228335509807678</v>
      </c>
      <c r="BM135" s="136">
        <f t="shared" si="132"/>
        <v>-88.866946711801418</v>
      </c>
      <c r="BN135" s="136"/>
      <c r="BO135" s="189"/>
      <c r="BP135" s="189" t="str">
        <f t="shared" si="104"/>
        <v>0.00001+8.4757837638305E-08j</v>
      </c>
      <c r="BQ135" s="189" t="str">
        <f t="shared" si="105"/>
        <v>5.74605608945093E-10+4.23711264465271E-08j</v>
      </c>
      <c r="BR135" s="189" t="str">
        <f t="shared" si="106"/>
        <v>-0.000370390816130375-0.00105968573059991j</v>
      </c>
      <c r="BS135" s="189" t="str">
        <f t="shared" si="107"/>
        <v>0.0000625005746056089+1.27128964084832E-07j</v>
      </c>
      <c r="BT135" s="189" t="str">
        <f t="shared" si="133"/>
        <v>-2.30149220876022E-08-6.62780544646201E-08j</v>
      </c>
      <c r="BU135" s="189" t="str">
        <f t="shared" si="134"/>
        <v>-5.74605608945093E-10-4.23711264465271E-08j</v>
      </c>
      <c r="BV135" s="189" t="str">
        <f t="shared" si="135"/>
        <v>-2.35895276965473E-08-1.08649180911147E-07j</v>
      </c>
      <c r="BW135" s="189" t="str">
        <f t="shared" si="108"/>
        <v>0.99999998180299-0.000134896292399421j</v>
      </c>
      <c r="BX135" s="189" t="str">
        <f t="shared" si="136"/>
        <v>-0.00001-8.4757837638305E-08j</v>
      </c>
      <c r="BY135" s="189" t="str">
        <f t="shared" si="137"/>
        <v>19.8168159334578-87.7368963418505j</v>
      </c>
      <c r="BZ135" s="136">
        <f t="shared" si="138"/>
        <v>39.079737074625001</v>
      </c>
      <c r="CA135" s="136">
        <f t="shared" si="139"/>
        <v>102.72762317918067</v>
      </c>
      <c r="CB135" s="189" t="str">
        <f t="shared" si="109"/>
        <v>180.014357753967-814.015033573953j</v>
      </c>
      <c r="CC135" s="136" t="str">
        <f t="shared" si="110"/>
        <v>56.5873049567742-307.001962878867j</v>
      </c>
      <c r="CD135" s="136">
        <f t="shared" si="140"/>
        <v>49.887922195752175</v>
      </c>
      <c r="CE135" s="136">
        <f t="shared" si="141"/>
        <v>100.44366867301771</v>
      </c>
      <c r="CF135" s="136"/>
      <c r="CG135" s="136">
        <f t="shared" si="142"/>
        <v>-48.887922195752175</v>
      </c>
      <c r="CH135" s="136">
        <f t="shared" si="143"/>
        <v>-100.44366867301771</v>
      </c>
      <c r="CI135" s="77"/>
      <c r="CJ135" s="189"/>
      <c r="CK135" s="189"/>
      <c r="CL135" s="189"/>
      <c r="CM135" s="77"/>
      <c r="CN135" s="189">
        <v>2754.2287033381599</v>
      </c>
      <c r="CO135" s="189">
        <v>25.999754044841001</v>
      </c>
      <c r="CP135" s="189">
        <v>74.846573416475096</v>
      </c>
      <c r="CQ135" s="74"/>
      <c r="CR135" s="75"/>
      <c r="CS135" s="75"/>
      <c r="CT135" s="75"/>
      <c r="CU135" s="74"/>
      <c r="CV135" s="75"/>
      <c r="CW135" s="75"/>
      <c r="CX135" s="75"/>
      <c r="CY135" s="74"/>
      <c r="CZ135" s="75"/>
      <c r="DA135" s="75"/>
      <c r="DB135" s="75"/>
      <c r="DC135" s="74"/>
      <c r="DD135" s="75"/>
      <c r="DE135" s="75"/>
      <c r="DF135" s="75"/>
      <c r="DG135" s="74"/>
      <c r="DH135" s="75"/>
      <c r="DI135" s="75"/>
      <c r="DJ135" s="75"/>
      <c r="DK135" s="74"/>
      <c r="DL135" s="75"/>
      <c r="DM135" s="75"/>
      <c r="DN135" s="75"/>
      <c r="DO135" s="76"/>
    </row>
    <row r="136" spans="1:119" x14ac:dyDescent="0.25">
      <c r="A136" s="136">
        <v>87</v>
      </c>
      <c r="B136" s="136">
        <f t="shared" si="72"/>
        <v>407.38027780411272</v>
      </c>
      <c r="C136" s="136" t="str">
        <f t="shared" si="79"/>
        <v>2559.64577593354j</v>
      </c>
      <c r="D136" s="136">
        <f t="shared" si="73"/>
        <v>0.99999585103273136</v>
      </c>
      <c r="E136" s="136" t="str">
        <f t="shared" si="74"/>
        <v>-0.00319955721991692j</v>
      </c>
      <c r="F136" s="136" t="str">
        <f t="shared" si="80"/>
        <v>0.999995851032731-0.00319955721991692j</v>
      </c>
      <c r="G136" s="136">
        <f t="shared" si="81"/>
        <v>8.4220435767368015E-6</v>
      </c>
      <c r="H136" s="136">
        <f t="shared" si="82"/>
        <v>-0.18332126004145563</v>
      </c>
      <c r="I136" s="136"/>
      <c r="J136" s="136">
        <f t="shared" si="75"/>
        <v>7.0726915520628681</v>
      </c>
      <c r="K136" s="136" t="str">
        <f t="shared" si="76"/>
        <v>1+0.187876293523005j</v>
      </c>
      <c r="L136" s="136">
        <f t="shared" si="77"/>
        <v>0.99807263380614342</v>
      </c>
      <c r="M136" s="136" t="str">
        <f t="shared" si="78"/>
        <v>0.0137496125045347j</v>
      </c>
      <c r="N136" s="136" t="str">
        <f t="shared" si="83"/>
        <v>0.998072633806143+0.0137496125045347j</v>
      </c>
      <c r="O136" s="136" t="str">
        <f t="shared" si="84"/>
        <v>1.00054424197708+0.0617948166961466j</v>
      </c>
      <c r="P136" s="136" t="str">
        <f t="shared" si="85"/>
        <v>7.07654080769644+0.43705567800811j</v>
      </c>
      <c r="Q136" s="136"/>
      <c r="R136" s="136">
        <f t="shared" si="86"/>
        <v>11.787819253438114</v>
      </c>
      <c r="S136" s="136" t="str">
        <f t="shared" si="87"/>
        <v>1+0.0000599409751377614j</v>
      </c>
      <c r="T136" s="136" t="str">
        <f t="shared" si="88"/>
        <v>0.999757358972072+0.00487854661338232j</v>
      </c>
      <c r="U136" s="136" t="str">
        <f t="shared" si="111"/>
        <v>1.00021917549365-0.00482084463080353j</v>
      </c>
      <c r="V136" s="136" t="str">
        <f t="shared" si="112"/>
        <v>11.790402854542-0.0568272451568196j</v>
      </c>
      <c r="W136" s="136"/>
      <c r="X136" s="136" t="str">
        <f t="shared" si="89"/>
        <v>1.66903443759241+0.101179716450153j</v>
      </c>
      <c r="Y136" s="136">
        <f t="shared" si="113"/>
        <v>4.4652369828237335</v>
      </c>
      <c r="Z136" s="136">
        <f t="shared" si="114"/>
        <v>-176.53087755715529</v>
      </c>
      <c r="AA136" s="136"/>
      <c r="AB136" s="136" t="str">
        <f t="shared" si="90"/>
        <v>9.26875600125845-0.0446734412793495j</v>
      </c>
      <c r="AC136" s="136">
        <f t="shared" si="115"/>
        <v>19.340529878314385</v>
      </c>
      <c r="AD136" s="136">
        <f t="shared" si="116"/>
        <v>179.72384861340382</v>
      </c>
      <c r="AE136" s="136"/>
      <c r="AF136" s="136" t="str">
        <f t="shared" si="117"/>
        <v>3.46708308852144-0.148170409311692j</v>
      </c>
      <c r="AG136" s="136">
        <f t="shared" si="118"/>
        <v>10.807209686229653</v>
      </c>
      <c r="AH136" s="136">
        <f t="shared" si="119"/>
        <v>177.55287769929021</v>
      </c>
      <c r="AI136" s="136"/>
      <c r="AJ136" s="136" t="str">
        <f t="shared" si="91"/>
        <v>99991.7524697584-908.121689207724j</v>
      </c>
      <c r="AK136" s="136" t="str">
        <f t="shared" si="92"/>
        <v>19047.6190379859-0.428355762466466j</v>
      </c>
      <c r="AL136" s="136" t="str">
        <f t="shared" si="93"/>
        <v>10000-24468515.2901809j</v>
      </c>
      <c r="AM136" s="136" t="str">
        <f t="shared" si="94"/>
        <v>963.139043581678-7593677.43048637j</v>
      </c>
      <c r="AN136" s="136" t="str">
        <f t="shared" si="120"/>
        <v>10963.1390435817-7593677.43048637j</v>
      </c>
      <c r="AO136" s="136" t="str">
        <f t="shared" si="121"/>
        <v>19047.4280694142-48.205739326176j</v>
      </c>
      <c r="AP136" s="136" t="str">
        <f t="shared" si="122"/>
        <v>0.16000179230024+0.00121759110445067j</v>
      </c>
      <c r="AQ136" s="136" t="str">
        <f t="shared" si="95"/>
        <v>1+0.0145311454879422j</v>
      </c>
      <c r="AR136" s="136" t="str">
        <f t="shared" si="96"/>
        <v>1+0.0000290042824110622j</v>
      </c>
      <c r="AS136" s="136" t="str">
        <f t="shared" si="97"/>
        <v>4.55006493091189E-08j</v>
      </c>
      <c r="AT136" s="136" t="str">
        <f t="shared" si="123"/>
        <v>-1.31971368244839E-12+4.55006493091189E-08j</v>
      </c>
      <c r="AU136" s="179" t="str">
        <f t="shared" si="124"/>
        <v>318723.829517414-21977717.5888298j</v>
      </c>
      <c r="AV136" s="136" t="str">
        <f t="shared" si="98"/>
        <v>7999.99566640468-5.88801696217709j</v>
      </c>
      <c r="AW136" s="136"/>
      <c r="AX136" s="136" t="str">
        <f t="shared" si="99"/>
        <v>0.499999729150293-0.000368001060136068j</v>
      </c>
      <c r="AY136" s="136"/>
      <c r="AZ136" s="136" t="str">
        <f t="shared" si="100"/>
        <v>4.8924300123494-219.754711402751j</v>
      </c>
      <c r="BA136" s="136" t="str">
        <f t="shared" si="101"/>
        <v>2.36534371429536-109.879096600308j</v>
      </c>
      <c r="BB136" s="136">
        <f t="shared" si="125"/>
        <v>40.820313667202377</v>
      </c>
      <c r="BC136" s="136">
        <f t="shared" si="126"/>
        <v>91.233203474115058</v>
      </c>
      <c r="BD136" s="136" t="str">
        <f t="shared" si="102"/>
        <v>17.0151163771122-1018.54820407049j</v>
      </c>
      <c r="BE136" s="136">
        <f t="shared" si="127"/>
        <v>60.160843545516791</v>
      </c>
      <c r="BF136" s="136">
        <f t="shared" si="128"/>
        <v>90.957052087518861</v>
      </c>
      <c r="BG136" s="136"/>
      <c r="BH136" s="136" t="str">
        <f t="shared" si="103"/>
        <v>-8.07998752769272-381.310431551253j</v>
      </c>
      <c r="BI136" s="136">
        <f t="shared" si="129"/>
        <v>51.627523353432068</v>
      </c>
      <c r="BJ136" s="136">
        <f t="shared" si="130"/>
        <v>88.786081173405236</v>
      </c>
      <c r="BK136" s="136"/>
      <c r="BL136" s="136">
        <f t="shared" si="131"/>
        <v>-50.627523353432068</v>
      </c>
      <c r="BM136" s="136">
        <f t="shared" si="132"/>
        <v>-88.786081173405236</v>
      </c>
      <c r="BN136" s="136"/>
      <c r="BO136" s="189"/>
      <c r="BP136" s="189" t="str">
        <f t="shared" si="104"/>
        <v>0.00001+9.08196592996385E-08j</v>
      </c>
      <c r="BQ136" s="189" t="str">
        <f t="shared" si="105"/>
        <v>6.5971753910213E-10+4.54002431982776E-08j</v>
      </c>
      <c r="BR136" s="189" t="str">
        <f t="shared" si="106"/>
        <v>-0.000372353197082301-0.00113544742996413j</v>
      </c>
      <c r="BS136" s="189" t="str">
        <f t="shared" si="107"/>
        <v>0.0000625006597175391+1.36219902497916E-07j</v>
      </c>
      <c r="BT136" s="189" t="str">
        <f t="shared" si="133"/>
        <v>-2.31176499273774E-08-7.10169353635437E-08j</v>
      </c>
      <c r="BU136" s="189" t="str">
        <f t="shared" si="134"/>
        <v>-6.5971753910213E-10-4.54002431982776E-08j</v>
      </c>
      <c r="BV136" s="189" t="str">
        <f t="shared" si="135"/>
        <v>-2.37773674664795E-08-1.16417178561821E-07j</v>
      </c>
      <c r="BW136" s="189" t="str">
        <f t="shared" si="108"/>
        <v>0.999999979107037-0.000144543981121273j</v>
      </c>
      <c r="BX136" s="189" t="str">
        <f t="shared" si="136"/>
        <v>-0.00001-9.08196592996385E-08j</v>
      </c>
      <c r="BY136" s="189" t="str">
        <f t="shared" si="137"/>
        <v>17.5784816594877-82.3078090274858j</v>
      </c>
      <c r="BZ136" s="136">
        <f t="shared" si="138"/>
        <v>38.502527076935451</v>
      </c>
      <c r="CA136" s="136">
        <f t="shared" si="139"/>
        <v>102.05554617152325</v>
      </c>
      <c r="CB136" s="189" t="str">
        <f t="shared" si="109"/>
        <v>159.253684300967-763.676290142139j</v>
      </c>
      <c r="CC136" s="136" t="str">
        <f t="shared" si="110"/>
        <v>48.750474730343-287.972623555013j</v>
      </c>
      <c r="CD136" s="136">
        <f t="shared" si="140"/>
        <v>49.309736763165112</v>
      </c>
      <c r="CE136" s="136">
        <f t="shared" si="141"/>
        <v>99.608423870813439</v>
      </c>
      <c r="CF136" s="136"/>
      <c r="CG136" s="136">
        <f t="shared" si="142"/>
        <v>-48.309736763165112</v>
      </c>
      <c r="CH136" s="136">
        <f t="shared" si="143"/>
        <v>-99.608423870813439</v>
      </c>
      <c r="CI136" s="77"/>
      <c r="CJ136" s="189"/>
      <c r="CK136" s="189"/>
      <c r="CL136" s="189"/>
      <c r="CM136" s="77"/>
      <c r="CN136" s="189">
        <v>2884.0315031266</v>
      </c>
      <c r="CO136" s="189">
        <v>25.503260953920599</v>
      </c>
      <c r="CP136" s="189">
        <v>74.417498767252994</v>
      </c>
      <c r="CQ136" s="74"/>
      <c r="CR136" s="75"/>
      <c r="CS136" s="75"/>
      <c r="CT136" s="75"/>
      <c r="CU136" s="74"/>
      <c r="CV136" s="75"/>
      <c r="CW136" s="75"/>
      <c r="CX136" s="75"/>
      <c r="CY136" s="74"/>
      <c r="CZ136" s="75"/>
      <c r="DA136" s="75"/>
      <c r="DB136" s="75"/>
      <c r="DC136" s="74"/>
      <c r="DD136" s="75"/>
      <c r="DE136" s="75"/>
      <c r="DF136" s="75"/>
      <c r="DG136" s="74"/>
      <c r="DH136" s="75"/>
      <c r="DI136" s="75"/>
      <c r="DJ136" s="75"/>
      <c r="DK136" s="74"/>
      <c r="DL136" s="75"/>
      <c r="DM136" s="75"/>
      <c r="DN136" s="75"/>
      <c r="DO136" s="76"/>
    </row>
    <row r="137" spans="1:119" x14ac:dyDescent="0.25">
      <c r="A137" s="136">
        <v>88</v>
      </c>
      <c r="B137" s="136">
        <f t="shared" si="72"/>
        <v>436.51583224016582</v>
      </c>
      <c r="C137" s="136" t="str">
        <f t="shared" si="79"/>
        <v>2742.70986348268j</v>
      </c>
      <c r="D137" s="136">
        <f t="shared" si="73"/>
        <v>0.99999523634820509</v>
      </c>
      <c r="E137" s="136" t="str">
        <f t="shared" si="74"/>
        <v>-0.00342838732935335j</v>
      </c>
      <c r="F137" s="136" t="str">
        <f t="shared" si="80"/>
        <v>0.999995236348205-0.00342838732935335j</v>
      </c>
      <c r="G137" s="136">
        <f t="shared" si="81"/>
        <v>9.6698111621138461E-6</v>
      </c>
      <c r="H137" s="136">
        <f t="shared" si="82"/>
        <v>-0.19643229063063727</v>
      </c>
      <c r="I137" s="136"/>
      <c r="J137" s="136">
        <f t="shared" si="75"/>
        <v>7.0726915520628681</v>
      </c>
      <c r="K137" s="136" t="str">
        <f t="shared" si="76"/>
        <v>1+0.201313075506386j</v>
      </c>
      <c r="L137" s="136">
        <f t="shared" si="77"/>
        <v>0.9977870875245729</v>
      </c>
      <c r="M137" s="136" t="str">
        <f t="shared" si="78"/>
        <v>0.0147329752381453j</v>
      </c>
      <c r="N137" s="136" t="str">
        <f t="shared" si="83"/>
        <v>0.997787087524573+0.0147329752381453j</v>
      </c>
      <c r="O137" s="136" t="str">
        <f t="shared" si="84"/>
        <v>1.00062490611053+0.0662162982138565j</v>
      </c>
      <c r="P137" s="136" t="str">
        <f t="shared" si="85"/>
        <v>7.07711132023165+0.468327452986018j</v>
      </c>
      <c r="Q137" s="136"/>
      <c r="R137" s="136">
        <f t="shared" si="86"/>
        <v>11.787819253438114</v>
      </c>
      <c r="S137" s="136" t="str">
        <f t="shared" si="87"/>
        <v>1+0.0000642279120348787j</v>
      </c>
      <c r="T137" s="136" t="str">
        <f t="shared" si="88"/>
        <v>0.999721410825061+0.00522745687774069j</v>
      </c>
      <c r="U137" s="136" t="str">
        <f t="shared" si="111"/>
        <v>1.00025165432627-0.00516598366497146j</v>
      </c>
      <c r="V137" s="136" t="str">
        <f t="shared" si="112"/>
        <v>11.7907857091505-0.0608956817088974j</v>
      </c>
      <c r="W137" s="136"/>
      <c r="X137" s="136" t="str">
        <f t="shared" si="89"/>
        <v>1.66918619712297+0.108419115156001j</v>
      </c>
      <c r="Y137" s="136">
        <f t="shared" si="113"/>
        <v>4.46837972598916</v>
      </c>
      <c r="Z137" s="136">
        <f t="shared" si="114"/>
        <v>-176.28367174361563</v>
      </c>
      <c r="AA137" s="136"/>
      <c r="AB137" s="136" t="str">
        <f t="shared" si="90"/>
        <v>9.26905697366744-0.047871749782717j</v>
      </c>
      <c r="AC137" s="136">
        <f t="shared" si="115"/>
        <v>19.340826874471631</v>
      </c>
      <c r="AD137" s="136">
        <f t="shared" si="116"/>
        <v>179.70408803818037</v>
      </c>
      <c r="AE137" s="136"/>
      <c r="AF137" s="136" t="str">
        <f t="shared" si="117"/>
        <v>3.46616807595732-0.158726515975786j</v>
      </c>
      <c r="AG137" s="136">
        <f t="shared" si="118"/>
        <v>10.806090007218161</v>
      </c>
      <c r="AH137" s="136">
        <f t="shared" si="119"/>
        <v>177.37808142214104</v>
      </c>
      <c r="AI137" s="136"/>
      <c r="AJ137" s="136" t="str">
        <f t="shared" si="91"/>
        <v>99990.5306839903-973.058031680632j</v>
      </c>
      <c r="AK137" s="136" t="str">
        <f t="shared" si="92"/>
        <v>19047.6190365587-0.4589914689582j</v>
      </c>
      <c r="AL137" s="136" t="str">
        <f t="shared" si="93"/>
        <v>10000-22835347.1286783j</v>
      </c>
      <c r="AM137" s="136" t="str">
        <f t="shared" si="94"/>
        <v>963.139032245937-7086832.1584005j</v>
      </c>
      <c r="AN137" s="136" t="str">
        <f t="shared" si="120"/>
        <v>10963.1390322459-7086832.1584005j</v>
      </c>
      <c r="AO137" s="136" t="str">
        <f t="shared" si="121"/>
        <v>19047.399775815-51.6532597912686j</v>
      </c>
      <c r="AP137" s="136" t="str">
        <f t="shared" si="122"/>
        <v>0.160002057835351+0.00130467195548077j</v>
      </c>
      <c r="AQ137" s="136" t="str">
        <f t="shared" si="95"/>
        <v>1+0.0155704029175464j</v>
      </c>
      <c r="AR137" s="136" t="str">
        <f t="shared" si="96"/>
        <v>1+0.0000310786485380167j</v>
      </c>
      <c r="AS137" s="136" t="str">
        <f t="shared" si="97"/>
        <v>4.8754824135567E-08j</v>
      </c>
      <c r="AT137" s="136" t="str">
        <f t="shared" si="123"/>
        <v>-1.5152340438421E-12+4.8754824135567E-08j</v>
      </c>
      <c r="AU137" s="179" t="str">
        <f t="shared" si="124"/>
        <v>318723.82947769-20510800.739648j</v>
      </c>
      <c r="AV137" s="136" t="str">
        <f t="shared" si="98"/>
        <v>7999.99502436724-6.30912333820225j</v>
      </c>
      <c r="AW137" s="136"/>
      <c r="AX137" s="136" t="str">
        <f t="shared" si="99"/>
        <v>0.499999689022952-0.000394320208637641j</v>
      </c>
      <c r="AY137" s="136"/>
      <c r="AZ137" s="136" t="str">
        <f t="shared" si="100"/>
        <v>4.89243454704672-205.08393627285j</v>
      </c>
      <c r="BA137" s="136" t="str">
        <f t="shared" si="101"/>
        <v>2.36534701154917-102.543833545839j</v>
      </c>
      <c r="BB137" s="136">
        <f t="shared" si="125"/>
        <v>40.220501131447897</v>
      </c>
      <c r="BC137" s="136">
        <f t="shared" si="126"/>
        <v>91.321389766424858</v>
      </c>
      <c r="BD137" s="136" t="str">
        <f t="shared" si="102"/>
        <v>17.0155834712763-950.597868734939j</v>
      </c>
      <c r="BE137" s="136">
        <f t="shared" si="127"/>
        <v>59.561328005919535</v>
      </c>
      <c r="BF137" s="136">
        <f t="shared" si="128"/>
        <v>91.025477804605217</v>
      </c>
      <c r="BG137" s="136"/>
      <c r="BH137" s="136" t="str">
        <f t="shared" si="103"/>
        <v>-8.07773513353923-355.809605513085j</v>
      </c>
      <c r="BI137" s="136">
        <f t="shared" si="129"/>
        <v>51.026591138666042</v>
      </c>
      <c r="BJ137" s="136">
        <f t="shared" si="130"/>
        <v>88.69947118856588</v>
      </c>
      <c r="BK137" s="136"/>
      <c r="BL137" s="136">
        <f t="shared" si="131"/>
        <v>-50.026591138666042</v>
      </c>
      <c r="BM137" s="136">
        <f t="shared" si="132"/>
        <v>-88.69947118856588</v>
      </c>
      <c r="BN137" s="136"/>
      <c r="BO137" s="189"/>
      <c r="BP137" s="189" t="str">
        <f t="shared" si="104"/>
        <v>0.00001+9.73150182346647E-08j</v>
      </c>
      <c r="BQ137" s="189" t="str">
        <f t="shared" si="105"/>
        <v>7.57433391703285E-10+4.86457155742404E-08j</v>
      </c>
      <c r="BR137" s="189" t="str">
        <f t="shared" si="106"/>
        <v>-0.000374606199828142-0.001216621501766j</v>
      </c>
      <c r="BS137" s="189" t="str">
        <f t="shared" si="107"/>
        <v>0.0000625007574333917+1.45960733808905E-07j</v>
      </c>
      <c r="BT137" s="189" t="str">
        <f t="shared" si="133"/>
        <v>-2.32355922613379E-08-7.60944431659418E-08j</v>
      </c>
      <c r="BU137" s="189" t="str">
        <f t="shared" si="134"/>
        <v>-7.57433391703285E-10-4.86457155742404E-08j</v>
      </c>
      <c r="BV137" s="189" t="str">
        <f t="shared" si="135"/>
        <v>-2.39930256530412E-08-1.24740158740182E-07j</v>
      </c>
      <c r="BW137" s="189" t="str">
        <f t="shared" si="108"/>
        <v>0.999999976011669-0.000154881665747928j</v>
      </c>
      <c r="BX137" s="189" t="str">
        <f t="shared" si="136"/>
        <v>-0.00001-9.73150182346647E-08j</v>
      </c>
      <c r="BY137" s="189" t="str">
        <f t="shared" si="137"/>
        <v>15.6098199558594-77.1643079422178j</v>
      </c>
      <c r="BZ137" s="136">
        <f t="shared" si="138"/>
        <v>37.922513546337498</v>
      </c>
      <c r="CA137" s="136">
        <f t="shared" si="139"/>
        <v>101.43621746571175</v>
      </c>
      <c r="CB137" s="189" t="str">
        <f t="shared" si="109"/>
        <v>140.994320077585-715.987636045116j</v>
      </c>
      <c r="CC137" s="136" t="str">
        <f t="shared" si="110"/>
        <v>41.8582378450902-269.942153129258j</v>
      </c>
      <c r="CD137" s="136">
        <f t="shared" si="140"/>
        <v>48.728603553555644</v>
      </c>
      <c r="CE137" s="136">
        <f t="shared" si="141"/>
        <v>98.814298887852743</v>
      </c>
      <c r="CF137" s="136"/>
      <c r="CG137" s="136">
        <f t="shared" si="142"/>
        <v>-47.728603553555644</v>
      </c>
      <c r="CH137" s="136">
        <f t="shared" si="143"/>
        <v>-98.814298887852743</v>
      </c>
      <c r="CI137" s="77"/>
      <c r="CJ137" s="189"/>
      <c r="CK137" s="189"/>
      <c r="CL137" s="189"/>
      <c r="CM137" s="77"/>
      <c r="CN137" s="189">
        <v>3019.9517204020099</v>
      </c>
      <c r="CO137" s="189">
        <v>25.001470659632101</v>
      </c>
      <c r="CP137" s="189">
        <v>74.003779454352099</v>
      </c>
      <c r="CQ137" s="74"/>
      <c r="CR137" s="75"/>
      <c r="CS137" s="75"/>
      <c r="CT137" s="75"/>
      <c r="CU137" s="74"/>
      <c r="CV137" s="75"/>
      <c r="CW137" s="75"/>
      <c r="CX137" s="75"/>
      <c r="CY137" s="74"/>
      <c r="CZ137" s="75"/>
      <c r="DA137" s="75"/>
      <c r="DB137" s="75"/>
      <c r="DC137" s="74"/>
      <c r="DD137" s="75"/>
      <c r="DE137" s="75"/>
      <c r="DF137" s="75"/>
      <c r="DG137" s="74"/>
      <c r="DH137" s="75"/>
      <c r="DI137" s="75"/>
      <c r="DJ137" s="75"/>
      <c r="DK137" s="74"/>
      <c r="DL137" s="75"/>
      <c r="DM137" s="75"/>
      <c r="DN137" s="75"/>
      <c r="DO137" s="76"/>
    </row>
    <row r="138" spans="1:119" x14ac:dyDescent="0.25">
      <c r="A138" s="136">
        <v>89</v>
      </c>
      <c r="B138" s="136">
        <f t="shared" si="72"/>
        <v>467.7351412871983</v>
      </c>
      <c r="C138" s="136" t="str">
        <f t="shared" si="79"/>
        <v>2938.86656738729j</v>
      </c>
      <c r="D138" s="136">
        <f t="shared" si="73"/>
        <v>0.99999453059594012</v>
      </c>
      <c r="E138" s="136" t="str">
        <f t="shared" si="74"/>
        <v>-0.00367358320923411j</v>
      </c>
      <c r="F138" s="136" t="str">
        <f t="shared" si="80"/>
        <v>0.99999453059594-0.00367358320923411j</v>
      </c>
      <c r="G138" s="136">
        <f t="shared" si="81"/>
        <v>1.1102443639269953E-5</v>
      </c>
      <c r="H138" s="136">
        <f t="shared" si="82"/>
        <v>-0.21048101795443688</v>
      </c>
      <c r="I138" s="136"/>
      <c r="J138" s="136">
        <f t="shared" si="75"/>
        <v>7.0726915520628681</v>
      </c>
      <c r="K138" s="136" t="str">
        <f t="shared" si="76"/>
        <v>1+0.215710846801849j</v>
      </c>
      <c r="L138" s="136">
        <f t="shared" si="77"/>
        <v>0.99745923652728274</v>
      </c>
      <c r="M138" s="136" t="str">
        <f t="shared" si="78"/>
        <v>0.0157866673912603j</v>
      </c>
      <c r="N138" s="136" t="str">
        <f t="shared" si="83"/>
        <v>0.997459236527283+0.0157866673912603j</v>
      </c>
      <c r="O138" s="136" t="str">
        <f t="shared" si="84"/>
        <v>1.00071753134285+0.0709544522791008j</v>
      </c>
      <c r="P138" s="136" t="str">
        <f t="shared" si="85"/>
        <v>7.07776642992978+0.501838955215644j</v>
      </c>
      <c r="Q138" s="136"/>
      <c r="R138" s="136">
        <f t="shared" si="86"/>
        <v>11.787819253438114</v>
      </c>
      <c r="S138" s="136" t="str">
        <f t="shared" si="87"/>
        <v>1+0.0000688214476804754j</v>
      </c>
      <c r="T138" s="136" t="str">
        <f t="shared" si="88"/>
        <v>0.999680136829884+0.00560132096179626j</v>
      </c>
      <c r="U138" s="136" t="str">
        <f t="shared" si="111"/>
        <v>1.00028894730414-0.00553588872762517j</v>
      </c>
      <c r="V138" s="136" t="str">
        <f t="shared" si="112"/>
        <v>11.7912253120331-0.065256055728391j</v>
      </c>
      <c r="W138" s="136"/>
      <c r="X138" s="136" t="str">
        <f t="shared" si="89"/>
        <v>1.66936045899024+0.116176983656241j</v>
      </c>
      <c r="Y138" s="136">
        <f t="shared" si="113"/>
        <v>4.4719857914840464</v>
      </c>
      <c r="Z138" s="136">
        <f t="shared" si="114"/>
        <v>-176.01899304351565</v>
      </c>
      <c r="AA138" s="136"/>
      <c r="AB138" s="136" t="str">
        <f t="shared" si="90"/>
        <v>9.26940255743643-0.0512995582604692j</v>
      </c>
      <c r="AC138" s="136">
        <f t="shared" si="115"/>
        <v>19.341167882882942</v>
      </c>
      <c r="AD138" s="136">
        <f t="shared" si="116"/>
        <v>179.68291180003988</v>
      </c>
      <c r="AE138" s="136"/>
      <c r="AF138" s="136" t="str">
        <f t="shared" si="117"/>
        <v>3.46511808254634-0.170028189177227j</v>
      </c>
      <c r="AG138" s="136">
        <f t="shared" si="118"/>
        <v>10.804804799580834</v>
      </c>
      <c r="AH138" s="136">
        <f t="shared" si="119"/>
        <v>177.19083445408674</v>
      </c>
      <c r="AI138" s="136"/>
      <c r="AJ138" s="136" t="str">
        <f t="shared" si="91"/>
        <v>99989.1279230563-1042.63583878378j</v>
      </c>
      <c r="AK138" s="136" t="str">
        <f t="shared" si="92"/>
        <v>19047.6190349201-0.49181821988577j</v>
      </c>
      <c r="AL138" s="136" t="str">
        <f t="shared" si="93"/>
        <v>10000-21311185.9180312j</v>
      </c>
      <c r="AM138" s="136" t="str">
        <f t="shared" si="94"/>
        <v>963.139019230762-6613816.63107217j</v>
      </c>
      <c r="AN138" s="136" t="str">
        <f t="shared" si="120"/>
        <v>10963.1390192308-6613816.63107217j</v>
      </c>
      <c r="AO138" s="136" t="str">
        <f t="shared" si="121"/>
        <v>19047.36729058-55.3473167735757j</v>
      </c>
      <c r="AP138" s="136" t="str">
        <f t="shared" si="122"/>
        <v>0.16000236271024+0.00139798067203439j</v>
      </c>
      <c r="AQ138" s="136" t="str">
        <f t="shared" si="95"/>
        <v>1+0.0166839873164789j</v>
      </c>
      <c r="AR138" s="136" t="str">
        <f t="shared" si="96"/>
        <v>1+0.0000333013718891794j</v>
      </c>
      <c r="AS138" s="136" t="str">
        <f t="shared" si="97"/>
        <v>5.22417352847245E-08j</v>
      </c>
      <c r="AT138" s="136" t="str">
        <f t="shared" si="123"/>
        <v>-1.73972145485268E-12+5.22417352847245E-08j</v>
      </c>
      <c r="AU138" s="179" t="str">
        <f t="shared" si="124"/>
        <v>318723.82943208-19141794.3726514j</v>
      </c>
      <c r="AV138" s="136" t="str">
        <f t="shared" si="98"/>
        <v>7999.99428720976-6.76034683307831j</v>
      </c>
      <c r="AW138" s="136"/>
      <c r="AX138" s="136" t="str">
        <f t="shared" si="99"/>
        <v>0.49999964295061-0.000422521677067394j</v>
      </c>
      <c r="AY138" s="136"/>
      <c r="AZ138" s="136" t="str">
        <f t="shared" si="100"/>
        <v>4.89243975357305-191.392151060614j</v>
      </c>
      <c r="BA138" s="136" t="str">
        <f t="shared" si="101"/>
        <v>2.36535079730023-95.6980743557059j</v>
      </c>
      <c r="BB138" s="136">
        <f t="shared" si="125"/>
        <v>39.620716363162302</v>
      </c>
      <c r="BC138" s="136">
        <f t="shared" si="126"/>
        <v>91.415880418913076</v>
      </c>
      <c r="BD138" s="136" t="str">
        <f t="shared" si="102"/>
        <v>17.0161197889038-887.185316625554j</v>
      </c>
      <c r="BE138" s="136">
        <f t="shared" si="127"/>
        <v>58.961884246045237</v>
      </c>
      <c r="BF138" s="136">
        <f t="shared" si="128"/>
        <v>91.098792218952966</v>
      </c>
      <c r="BG138" s="136"/>
      <c r="BH138" s="136" t="str">
        <f t="shared" si="103"/>
        <v>-8.07515047115781-332.007304227655j</v>
      </c>
      <c r="BI138" s="136">
        <f t="shared" si="129"/>
        <v>50.425521162743145</v>
      </c>
      <c r="BJ138" s="136">
        <f t="shared" si="130"/>
        <v>88.606714872999845</v>
      </c>
      <c r="BK138" s="136"/>
      <c r="BL138" s="136">
        <f t="shared" si="131"/>
        <v>-49.425521162743145</v>
      </c>
      <c r="BM138" s="136">
        <f t="shared" si="132"/>
        <v>-88.606714872999845</v>
      </c>
      <c r="BN138" s="136"/>
      <c r="BO138" s="189"/>
      <c r="BP138" s="189" t="str">
        <f t="shared" si="104"/>
        <v>0.00001+1.04274920727993E-07j</v>
      </c>
      <c r="BQ138" s="189" t="str">
        <f t="shared" si="105"/>
        <v>8.69618664346674E-10+5.21229516572304E-08j</v>
      </c>
      <c r="BR138" s="189" t="str">
        <f t="shared" si="106"/>
        <v>-0.000377192845390059-0.00130359364227595j</v>
      </c>
      <c r="BS138" s="189" t="str">
        <f t="shared" si="107"/>
        <v>0.0000625008696186644+1.56397872385223E-07j</v>
      </c>
      <c r="BT138" s="189" t="str">
        <f t="shared" si="133"/>
        <v>-2.33710015787103E-08-8.15347284301069E-08j</v>
      </c>
      <c r="BU138" s="189" t="str">
        <f t="shared" si="134"/>
        <v>-8.69618664346674E-10-5.21229516572304E-08j</v>
      </c>
      <c r="BV138" s="189" t="str">
        <f t="shared" si="135"/>
        <v>-2.4240620243057E-08-1.33657680087337E-07j</v>
      </c>
      <c r="BW138" s="189" t="str">
        <f t="shared" si="108"/>
        <v>0.999999972457711-0.000165958694286454j</v>
      </c>
      <c r="BX138" s="189" t="str">
        <f t="shared" si="136"/>
        <v>-0.00001-1.04274920727993E-07j</v>
      </c>
      <c r="BY138" s="189" t="str">
        <f t="shared" si="137"/>
        <v>13.8804561388248-72.3007174561956j</v>
      </c>
      <c r="BZ138" s="136">
        <f t="shared" si="138"/>
        <v>37.340041588866853</v>
      </c>
      <c r="CA138" s="136">
        <f t="shared" si="139"/>
        <v>100.86754581301588</v>
      </c>
      <c r="CB138" s="189" t="str">
        <f t="shared" si="109"/>
        <v>124.954540764189-670.896516561323j</v>
      </c>
      <c r="CC138" s="136" t="str">
        <f t="shared" si="110"/>
        <v>35.804259495342-252.890592260775j</v>
      </c>
      <c r="CD138" s="136">
        <f t="shared" si="140"/>
        <v>48.144846388447675</v>
      </c>
      <c r="CE138" s="136">
        <f t="shared" si="141"/>
        <v>98.058380267102677</v>
      </c>
      <c r="CF138" s="136"/>
      <c r="CG138" s="136">
        <f t="shared" si="142"/>
        <v>-47.144846388447675</v>
      </c>
      <c r="CH138" s="136">
        <f t="shared" si="143"/>
        <v>-98.058380267102677</v>
      </c>
      <c r="CI138" s="77"/>
      <c r="CJ138" s="189"/>
      <c r="CK138" s="189"/>
      <c r="CL138" s="189"/>
      <c r="CM138" s="77"/>
      <c r="CN138" s="189">
        <v>3162.2776601683699</v>
      </c>
      <c r="CO138" s="189">
        <v>24.4943769840194</v>
      </c>
      <c r="CP138" s="189">
        <v>73.608388280503107</v>
      </c>
      <c r="CQ138" s="74"/>
      <c r="CR138" s="75"/>
      <c r="CS138" s="75"/>
      <c r="CT138" s="75"/>
      <c r="CU138" s="74"/>
      <c r="CV138" s="75"/>
      <c r="CW138" s="75"/>
      <c r="CX138" s="75"/>
      <c r="CY138" s="74"/>
      <c r="CZ138" s="75"/>
      <c r="DA138" s="75"/>
      <c r="DB138" s="75"/>
      <c r="DC138" s="74"/>
      <c r="DD138" s="75"/>
      <c r="DE138" s="75"/>
      <c r="DF138" s="75"/>
      <c r="DG138" s="74"/>
      <c r="DH138" s="75"/>
      <c r="DI138" s="75"/>
      <c r="DJ138" s="75"/>
      <c r="DK138" s="74"/>
      <c r="DL138" s="75"/>
      <c r="DM138" s="75"/>
      <c r="DN138" s="75"/>
      <c r="DO138" s="76"/>
    </row>
    <row r="139" spans="1:119" x14ac:dyDescent="0.25">
      <c r="A139" s="136">
        <v>90</v>
      </c>
      <c r="B139" s="136">
        <f t="shared" si="72"/>
        <v>501.18723362727229</v>
      </c>
      <c r="C139" s="136" t="str">
        <f t="shared" si="79"/>
        <v>3149.05226247286j</v>
      </c>
      <c r="D139" s="136">
        <f t="shared" si="73"/>
        <v>0.99999372028392119</v>
      </c>
      <c r="E139" s="136" t="str">
        <f t="shared" si="74"/>
        <v>-0.00393631532809108j</v>
      </c>
      <c r="F139" s="136" t="str">
        <f t="shared" si="80"/>
        <v>0.999993720283921-0.00393631532809108j</v>
      </c>
      <c r="G139" s="136">
        <f t="shared" si="81"/>
        <v>1.2747330555819669E-5</v>
      </c>
      <c r="H139" s="136">
        <f t="shared" si="82"/>
        <v>-0.22553450656840968</v>
      </c>
      <c r="I139" s="136"/>
      <c r="J139" s="136">
        <f t="shared" si="75"/>
        <v>7.0726915520628681</v>
      </c>
      <c r="K139" s="136" t="str">
        <f t="shared" si="76"/>
        <v>1+0.231138336697333j</v>
      </c>
      <c r="L139" s="136">
        <f t="shared" si="77"/>
        <v>0.99708281321743275</v>
      </c>
      <c r="M139" s="136" t="str">
        <f t="shared" si="78"/>
        <v>0.0169157188751005j</v>
      </c>
      <c r="N139" s="136" t="str">
        <f t="shared" si="83"/>
        <v>0.997082813217433+0.0169157188751005j</v>
      </c>
      <c r="O139" s="136" t="str">
        <f t="shared" si="84"/>
        <v>1.00082389307098+0.076032031056589j</v>
      </c>
      <c r="P139" s="136" t="str">
        <f t="shared" si="85"/>
        <v>7.07851869362579+0.537751103740119j</v>
      </c>
      <c r="Q139" s="136"/>
      <c r="R139" s="136">
        <f t="shared" si="86"/>
        <v>11.787819253438114</v>
      </c>
      <c r="S139" s="136" t="str">
        <f t="shared" si="87"/>
        <v>1+0.0000737435098040295j</v>
      </c>
      <c r="T139" s="136" t="str">
        <f t="shared" si="88"/>
        <v>0.999632747942848+0.00600192354539679j</v>
      </c>
      <c r="U139" s="136" t="str">
        <f t="shared" si="111"/>
        <v>1.00033176838892-0.00593234995182139j</v>
      </c>
      <c r="V139" s="136" t="str">
        <f t="shared" si="112"/>
        <v>11.7917300792407-0.0699294689802128j</v>
      </c>
      <c r="W139" s="136"/>
      <c r="X139" s="136" t="str">
        <f t="shared" si="89"/>
        <v>1.66956056292411+0.124490566816931j</v>
      </c>
      <c r="Y139" s="136">
        <f t="shared" si="113"/>
        <v>4.4761230990907999</v>
      </c>
      <c r="Z139" s="136">
        <f t="shared" si="114"/>
        <v>-175.73563911709417</v>
      </c>
      <c r="AA139" s="136"/>
      <c r="AB139" s="136" t="str">
        <f t="shared" si="90"/>
        <v>9.26979936865165-0.0549734553832887j</v>
      </c>
      <c r="AC139" s="136">
        <f t="shared" si="115"/>
        <v>19.341559427687788</v>
      </c>
      <c r="AD139" s="136">
        <f t="shared" si="116"/>
        <v>179.66021809865674</v>
      </c>
      <c r="AE139" s="136"/>
      <c r="AF139" s="136" t="str">
        <f t="shared" si="117"/>
        <v>3.46391329479378-0.182126598515642j</v>
      </c>
      <c r="AG139" s="136">
        <f t="shared" si="118"/>
        <v>10.803329652632494</v>
      </c>
      <c r="AH139" s="136">
        <f t="shared" si="119"/>
        <v>176.99025794891975</v>
      </c>
      <c r="AI139" s="136"/>
      <c r="AJ139" s="136" t="str">
        <f t="shared" si="91"/>
        <v>99987.517386546-1117.18643464778j</v>
      </c>
      <c r="AK139" s="136" t="str">
        <f t="shared" si="92"/>
        <v>19047.6190330387-0.526992717223146j</v>
      </c>
      <c r="AL139" s="136" t="str">
        <f t="shared" si="93"/>
        <v>10000-19888755.9130868j</v>
      </c>
      <c r="AM139" s="136" t="str">
        <f t="shared" si="94"/>
        <v>963.139004287345-6172372.85872561j</v>
      </c>
      <c r="AN139" s="136" t="str">
        <f t="shared" si="120"/>
        <v>10963.1390042873-6172372.85872561j</v>
      </c>
      <c r="AO139" s="136" t="str">
        <f t="shared" si="121"/>
        <v>19047.3299927552-59.305536003587j</v>
      </c>
      <c r="AP139" s="136" t="str">
        <f t="shared" si="122"/>
        <v>0.16000271275317+0.00149796264451949j</v>
      </c>
      <c r="AQ139" s="136" t="str">
        <f t="shared" si="95"/>
        <v>1+0.0178772144979466j</v>
      </c>
      <c r="AR139" s="136" t="str">
        <f t="shared" si="96"/>
        <v>1+0.0000356830628701528j</v>
      </c>
      <c r="AS139" s="136" t="str">
        <f t="shared" si="97"/>
        <v>5.59780278966952E-08j</v>
      </c>
      <c r="AT139" s="136" t="str">
        <f t="shared" si="123"/>
        <v>-1.99746748878494E-12+5.59780278966952E-08j</v>
      </c>
      <c r="AU139" s="179" t="str">
        <f t="shared" si="124"/>
        <v>318723.829379714-17864163.3907851j</v>
      </c>
      <c r="AV139" s="136" t="str">
        <f t="shared" si="98"/>
        <v>7999.99344083989-7.24384137537364j</v>
      </c>
      <c r="AW139" s="136"/>
      <c r="AX139" s="136" t="str">
        <f t="shared" si="99"/>
        <v>0.499999590052493-0.000452740085960853j</v>
      </c>
      <c r="AY139" s="136"/>
      <c r="AZ139" s="136" t="str">
        <f t="shared" si="100"/>
        <v>4.89244573146146-178.613996577964j</v>
      </c>
      <c r="BA139" s="136" t="str">
        <f t="shared" si="101"/>
        <v>2.36535514392028-89.3091400729204j</v>
      </c>
      <c r="BB139" s="136">
        <f t="shared" si="125"/>
        <v>39.020963474275483</v>
      </c>
      <c r="BC139" s="136">
        <f t="shared" si="126"/>
        <v>91.517125702231354</v>
      </c>
      <c r="BD139" s="136" t="str">
        <f t="shared" si="102"/>
        <v>17.0167355926306-828.007842008249j</v>
      </c>
      <c r="BE139" s="136">
        <f t="shared" si="127"/>
        <v>58.362522901963267</v>
      </c>
      <c r="BF139" s="136">
        <f t="shared" si="128"/>
        <v>91.177343800888096</v>
      </c>
      <c r="BG139" s="136"/>
      <c r="BH139" s="136" t="str">
        <f t="shared" si="103"/>
        <v>-8.07218476790364-309.789911731833j</v>
      </c>
      <c r="BI139" s="136">
        <f t="shared" si="129"/>
        <v>49.824293126907982</v>
      </c>
      <c r="BJ139" s="136">
        <f t="shared" si="130"/>
        <v>88.507383651151116</v>
      </c>
      <c r="BK139" s="136"/>
      <c r="BL139" s="136">
        <f t="shared" si="131"/>
        <v>-48.824293126907982</v>
      </c>
      <c r="BM139" s="136">
        <f t="shared" si="132"/>
        <v>-88.507383651151116</v>
      </c>
      <c r="BN139" s="136"/>
      <c r="BO139" s="189"/>
      <c r="BP139" s="189" t="str">
        <f t="shared" si="104"/>
        <v>0.00001+1.11732590612166E-07j</v>
      </c>
      <c r="BQ139" s="189" t="str">
        <f t="shared" si="105"/>
        <v>9.9841465626188E-10+5.58484464331151E-08j</v>
      </c>
      <c r="BR139" s="189" t="str">
        <f t="shared" si="106"/>
        <v>-0.000380162517170975-0.0013967768120383j</v>
      </c>
      <c r="BS139" s="189" t="str">
        <f t="shared" si="107"/>
        <v>0.0000625009984146563+1.67581037045281E-07j</v>
      </c>
      <c r="BT139" s="189" t="str">
        <f t="shared" si="133"/>
        <v>-2.35264635763327E-08-8.73636533437077E-08j</v>
      </c>
      <c r="BU139" s="189" t="str">
        <f t="shared" si="134"/>
        <v>-9.9841465626188E-10-5.58484464331151E-08j</v>
      </c>
      <c r="BV139" s="189" t="str">
        <f t="shared" si="135"/>
        <v>-2.45248782325946E-08-1.43212099776823E-07j</v>
      </c>
      <c r="BW139" s="189" t="str">
        <f t="shared" si="108"/>
        <v>0.999999968377221-0.000177827944074336j</v>
      </c>
      <c r="BX139" s="189" t="str">
        <f t="shared" si="136"/>
        <v>-0.00001-1.11732590612166E-07j</v>
      </c>
      <c r="BY139" s="189" t="str">
        <f t="shared" si="137"/>
        <v>12.3629332320364-67.7095031491536j</v>
      </c>
      <c r="BZ139" s="136">
        <f t="shared" si="138"/>
        <v>36.755417915316812</v>
      </c>
      <c r="CA139" s="136">
        <f t="shared" si="139"/>
        <v>100.3475287717698</v>
      </c>
      <c r="CB139" s="189" t="str">
        <f t="shared" si="109"/>
        <v>110.879685318619-628.333142702179j</v>
      </c>
      <c r="CC139" s="136" t="str">
        <f t="shared" si="110"/>
        <v>30.4924272893593-236.791467119461j</v>
      </c>
      <c r="CD139" s="136">
        <f t="shared" si="140"/>
        <v>47.558747567949304</v>
      </c>
      <c r="CE139" s="136">
        <f t="shared" si="141"/>
        <v>97.337786720689579</v>
      </c>
      <c r="CF139" s="136"/>
      <c r="CG139" s="136">
        <f t="shared" si="142"/>
        <v>-46.558747567949304</v>
      </c>
      <c r="CH139" s="136">
        <f t="shared" si="143"/>
        <v>-97.337786720689579</v>
      </c>
      <c r="CI139" s="77"/>
      <c r="CJ139" s="189"/>
      <c r="CK139" s="189"/>
      <c r="CL139" s="189"/>
      <c r="CM139" s="77"/>
      <c r="CN139" s="189">
        <v>3311.3112148259102</v>
      </c>
      <c r="CO139" s="189">
        <v>23.982015217853</v>
      </c>
      <c r="CP139" s="189">
        <v>73.234421568535893</v>
      </c>
      <c r="CQ139" s="74"/>
      <c r="CR139" s="75"/>
      <c r="CS139" s="75"/>
      <c r="CT139" s="75"/>
      <c r="CU139" s="74"/>
      <c r="CV139" s="75"/>
      <c r="CW139" s="75"/>
      <c r="CX139" s="75"/>
      <c r="CY139" s="74"/>
      <c r="CZ139" s="75"/>
      <c r="DA139" s="75"/>
      <c r="DB139" s="75"/>
      <c r="DC139" s="74"/>
      <c r="DD139" s="75"/>
      <c r="DE139" s="75"/>
      <c r="DF139" s="75"/>
      <c r="DG139" s="74"/>
      <c r="DH139" s="75"/>
      <c r="DI139" s="75"/>
      <c r="DJ139" s="75"/>
      <c r="DK139" s="74"/>
      <c r="DL139" s="75"/>
      <c r="DM139" s="75"/>
      <c r="DN139" s="75"/>
      <c r="DO139" s="76"/>
    </row>
    <row r="140" spans="1:119" x14ac:dyDescent="0.25">
      <c r="A140" s="136">
        <v>91</v>
      </c>
      <c r="B140" s="136">
        <f t="shared" si="72"/>
        <v>537.03179637025301</v>
      </c>
      <c r="C140" s="136" t="str">
        <f t="shared" si="79"/>
        <v>3374.27029244183j</v>
      </c>
      <c r="D140" s="136">
        <f t="shared" si="73"/>
        <v>0.99999278992124219</v>
      </c>
      <c r="E140" s="136" t="str">
        <f t="shared" si="74"/>
        <v>-0.00421783786555229j</v>
      </c>
      <c r="F140" s="136" t="str">
        <f t="shared" si="80"/>
        <v>0.999992789921242-0.00421783786555229j</v>
      </c>
      <c r="G140" s="136">
        <f t="shared" si="81"/>
        <v>1.4635919693194747E-5</v>
      </c>
      <c r="H140" s="136">
        <f t="shared" si="82"/>
        <v>-0.2416646177002359</v>
      </c>
      <c r="I140" s="136"/>
      <c r="J140" s="136">
        <f t="shared" si="75"/>
        <v>7.0726915520628681</v>
      </c>
      <c r="K140" s="136" t="str">
        <f t="shared" si="76"/>
        <v>1+0.247669189951702j</v>
      </c>
      <c r="L140" s="136">
        <f t="shared" si="77"/>
        <v>0.99665062143101257</v>
      </c>
      <c r="M140" s="136" t="str">
        <f t="shared" si="78"/>
        <v>0.0181255193366423j</v>
      </c>
      <c r="N140" s="136" t="str">
        <f t="shared" si="83"/>
        <v>0.996650621431013+0.0181255193366423j</v>
      </c>
      <c r="O140" s="136" t="str">
        <f t="shared" si="84"/>
        <v>1.00094603078004+0.0814734378914973j</v>
      </c>
      <c r="P140" s="136" t="str">
        <f t="shared" si="85"/>
        <v>7.07938253596885+0.576236495892712j</v>
      </c>
      <c r="Q140" s="136"/>
      <c r="R140" s="136">
        <f t="shared" si="86"/>
        <v>11.787819253438114</v>
      </c>
      <c r="S140" s="136" t="str">
        <f t="shared" si="87"/>
        <v>1+0.0000790175943909957j</v>
      </c>
      <c r="T140" s="136" t="str">
        <f t="shared" si="88"/>
        <v>0.999578338220578+0.00643117694745275j</v>
      </c>
      <c r="U140" s="136" t="str">
        <f t="shared" si="111"/>
        <v>1.00038093755026-0.00635728985600637j</v>
      </c>
      <c r="V140" s="136" t="str">
        <f t="shared" si="112"/>
        <v>11.7923096764274-0.0749385837643187j</v>
      </c>
      <c r="W140" s="136"/>
      <c r="X140" s="136" t="str">
        <f t="shared" si="89"/>
        <v>1.66979034533575+0.133399811088868j</v>
      </c>
      <c r="Y140" s="136">
        <f t="shared" si="113"/>
        <v>4.4808694033576488</v>
      </c>
      <c r="Z140" s="136">
        <f t="shared" si="114"/>
        <v>-175.43233237238181</v>
      </c>
      <c r="AA140" s="136"/>
      <c r="AB140" s="136" t="str">
        <f t="shared" si="90"/>
        <v>9.2702550057464-0.0589112566008517j</v>
      </c>
      <c r="AC140" s="136">
        <f t="shared" si="115"/>
        <v>19.342009000735462</v>
      </c>
      <c r="AD140" s="136">
        <f t="shared" si="116"/>
        <v>179.63589772549815</v>
      </c>
      <c r="AE140" s="136"/>
      <c r="AF140" s="136" t="str">
        <f t="shared" si="117"/>
        <v>3.46253102210228-0.195076082190695j</v>
      </c>
      <c r="AG140" s="136">
        <f t="shared" si="118"/>
        <v>10.801636574970209</v>
      </c>
      <c r="AH140" s="136">
        <f t="shared" si="119"/>
        <v>176.77541286611861</v>
      </c>
      <c r="AI140" s="136"/>
      <c r="AJ140" s="136" t="str">
        <f t="shared" si="91"/>
        <v>99985.6683071994-1197.0646944259j</v>
      </c>
      <c r="AK140" s="136" t="str">
        <f t="shared" si="92"/>
        <v>19047.6190308785-0.56468287016018j</v>
      </c>
      <c r="AL140" s="136" t="str">
        <f t="shared" si="93"/>
        <v>10000-18561266.99339j</v>
      </c>
      <c r="AM140" s="136" t="str">
        <f t="shared" si="94"/>
        <v>963.138987130005-5760393.56270533j</v>
      </c>
      <c r="AN140" s="136" t="str">
        <f t="shared" si="120"/>
        <v>10963.13898713-5760393.56270533j</v>
      </c>
      <c r="AO140" s="136" t="str">
        <f t="shared" si="121"/>
        <v>19047.2871694065-63.546802320515j</v>
      </c>
      <c r="AP140" s="136" t="str">
        <f t="shared" si="122"/>
        <v>0.160003114655863+0.00160509511224304j</v>
      </c>
      <c r="AQ140" s="136" t="str">
        <f t="shared" si="95"/>
        <v>1+0.0191557804584232j</v>
      </c>
      <c r="AR140" s="136" t="str">
        <f t="shared" si="96"/>
        <v>1+0.0000382350907353756j</v>
      </c>
      <c r="AS140" s="136" t="str">
        <f t="shared" si="97"/>
        <v>5.99815375604376E-08j</v>
      </c>
      <c r="AT140" s="136" t="str">
        <f t="shared" si="123"/>
        <v>-2.29339953107067E-12+5.99815375604376E-08j</v>
      </c>
      <c r="AU140" s="179" t="str">
        <f t="shared" si="124"/>
        <v>318723.829319589-16671808.8870842j</v>
      </c>
      <c r="AV140" s="136" t="str">
        <f t="shared" si="98"/>
        <v>7999.99246907748-7.76191493494871j</v>
      </c>
      <c r="AW140" s="136"/>
      <c r="AX140" s="136" t="str">
        <f t="shared" si="99"/>
        <v>0.499999529317342-0.000485119683434294j</v>
      </c>
      <c r="AY140" s="136"/>
      <c r="AZ140" s="136" t="str">
        <f t="shared" si="100"/>
        <v>4.89245259499081-166.68847495008j</v>
      </c>
      <c r="BA140" s="136" t="str">
        <f t="shared" si="101"/>
        <v>2.36536013450289-83.3465324427196j</v>
      </c>
      <c r="BB140" s="136">
        <f t="shared" si="125"/>
        <v>38.421247185303521</v>
      </c>
      <c r="BC140" s="136">
        <f t="shared" si="126"/>
        <v>91.625607949050746</v>
      </c>
      <c r="BD140" s="136" t="str">
        <f t="shared" si="102"/>
        <v>17.0174426677441-772.782955926563j</v>
      </c>
      <c r="BE140" s="136">
        <f t="shared" si="127"/>
        <v>57.76325618603898</v>
      </c>
      <c r="BF140" s="136">
        <f t="shared" si="128"/>
        <v>91.2615056745489</v>
      </c>
      <c r="BG140" s="136"/>
      <c r="BH140" s="136" t="str">
        <f t="shared" si="103"/>
        <v>-8.06878216894514-289.05137935558j</v>
      </c>
      <c r="BI140" s="136">
        <f t="shared" si="129"/>
        <v>49.222883760273746</v>
      </c>
      <c r="BJ140" s="136">
        <f t="shared" si="130"/>
        <v>88.401020815169375</v>
      </c>
      <c r="BK140" s="136"/>
      <c r="BL140" s="136">
        <f t="shared" si="131"/>
        <v>-48.222883760273746</v>
      </c>
      <c r="BM140" s="136">
        <f t="shared" si="132"/>
        <v>-88.401020815169375</v>
      </c>
      <c r="BN140" s="136"/>
      <c r="BO140" s="189"/>
      <c r="BP140" s="189" t="str">
        <f t="shared" si="104"/>
        <v>0.00001+1.19723627865145E-07j</v>
      </c>
      <c r="BQ140" s="189" t="str">
        <f t="shared" si="105"/>
        <v>1.14627914536662E-09+5.98398560609198E-08j</v>
      </c>
      <c r="BR140" s="189" t="str">
        <f t="shared" si="106"/>
        <v>-0.000383571899958568-0.00149661311211504j</v>
      </c>
      <c r="BS140" s="189" t="str">
        <f t="shared" si="107"/>
        <v>0.0000625011462791454+1.79563483926065E-07j</v>
      </c>
      <c r="BT140" s="189" t="str">
        <f t="shared" si="133"/>
        <v>-2.37049463633794E-08-9.36089105502819E-08j</v>
      </c>
      <c r="BU140" s="189" t="str">
        <f t="shared" si="134"/>
        <v>-1.14627914536662E-09-5.98398560609198E-08j</v>
      </c>
      <c r="BV140" s="189" t="str">
        <f t="shared" si="135"/>
        <v>-2.4851225508746E-08-1.53448766611202E-07j</v>
      </c>
      <c r="BW140" s="189" t="str">
        <f t="shared" si="108"/>
        <v>0.999999963692192-0.00019054607419365j</v>
      </c>
      <c r="BX140" s="189" t="str">
        <f t="shared" si="136"/>
        <v>-0.00001-1.19723627865145E-07j</v>
      </c>
      <c r="BY140" s="189" t="str">
        <f t="shared" si="137"/>
        <v>11.0325558697666-63.3817405686582j</v>
      </c>
      <c r="BZ140" s="136">
        <f t="shared" si="138"/>
        <v>36.16891473403988</v>
      </c>
      <c r="CA140" s="136">
        <f t="shared" si="139"/>
        <v>99.874269170491829</v>
      </c>
      <c r="CB140" s="189" t="str">
        <f t="shared" si="109"/>
        <v>98.5407082954318-588.21483950933j</v>
      </c>
      <c r="CC140" s="136" t="str">
        <f t="shared" si="110"/>
        <v>25.8363053195826-221.613430729442j</v>
      </c>
      <c r="CD140" s="136">
        <f t="shared" si="140"/>
        <v>46.970551309010105</v>
      </c>
      <c r="CE140" s="136">
        <f t="shared" si="141"/>
        <v>96.649682036610429</v>
      </c>
      <c r="CF140" s="136"/>
      <c r="CG140" s="136">
        <f t="shared" si="142"/>
        <v>-45.970551309010105</v>
      </c>
      <c r="CH140" s="136">
        <f t="shared" si="143"/>
        <v>-96.649682036610429</v>
      </c>
      <c r="CI140" s="77"/>
      <c r="CJ140" s="189"/>
      <c r="CK140" s="189"/>
      <c r="CL140" s="189"/>
      <c r="CM140" s="77"/>
      <c r="CN140" s="189">
        <v>3467.3685045253101</v>
      </c>
      <c r="CO140" s="189">
        <v>23.4644656169474</v>
      </c>
      <c r="CP140" s="189">
        <v>72.885071956298702</v>
      </c>
      <c r="CQ140" s="74"/>
      <c r="CR140" s="75"/>
      <c r="CS140" s="75"/>
      <c r="CT140" s="75"/>
      <c r="CU140" s="74"/>
      <c r="CV140" s="75"/>
      <c r="CW140" s="75"/>
      <c r="CX140" s="75"/>
      <c r="CY140" s="74"/>
      <c r="CZ140" s="75"/>
      <c r="DA140" s="75"/>
      <c r="DB140" s="75"/>
      <c r="DC140" s="74"/>
      <c r="DD140" s="75"/>
      <c r="DE140" s="75"/>
      <c r="DF140" s="75"/>
      <c r="DG140" s="74"/>
      <c r="DH140" s="75"/>
      <c r="DI140" s="75"/>
      <c r="DJ140" s="75"/>
      <c r="DK140" s="74"/>
      <c r="DL140" s="75"/>
      <c r="DM140" s="75"/>
      <c r="DN140" s="75"/>
      <c r="DO140" s="76"/>
    </row>
    <row r="141" spans="1:119" x14ac:dyDescent="0.25">
      <c r="A141" s="136">
        <v>92</v>
      </c>
      <c r="B141" s="136">
        <f t="shared" si="72"/>
        <v>575.43993733715706</v>
      </c>
      <c r="C141" s="136" t="str">
        <f t="shared" si="79"/>
        <v>3615.59575944117j</v>
      </c>
      <c r="D141" s="136">
        <f t="shared" si="73"/>
        <v>0.99999172172196293</v>
      </c>
      <c r="E141" s="136" t="str">
        <f t="shared" si="74"/>
        <v>-0.00451949469930146j</v>
      </c>
      <c r="F141" s="136" t="str">
        <f t="shared" si="80"/>
        <v>0.999991721721963-0.00451949469930146j</v>
      </c>
      <c r="G141" s="136">
        <f t="shared" si="81"/>
        <v>1.6804318411775981E-5</v>
      </c>
      <c r="H141" s="136">
        <f t="shared" si="82"/>
        <v>-0.25894835236464375</v>
      </c>
      <c r="I141" s="136"/>
      <c r="J141" s="136">
        <f t="shared" si="75"/>
        <v>7.0726915520628681</v>
      </c>
      <c r="K141" s="136" t="str">
        <f t="shared" si="76"/>
        <v>1+0.265382318345809j</v>
      </c>
      <c r="L141" s="136">
        <f t="shared" si="77"/>
        <v>0.99615439886625301</v>
      </c>
      <c r="M141" s="136" t="str">
        <f t="shared" si="78"/>
        <v>0.0194218438866698j</v>
      </c>
      <c r="N141" s="136" t="str">
        <f t="shared" si="83"/>
        <v>0.996154398866253+0.0194218438866698j</v>
      </c>
      <c r="O141" s="136" t="str">
        <f t="shared" si="84"/>
        <v>1.00108628750577+0.087304850927311j</v>
      </c>
      <c r="P141" s="136" t="str">
        <f t="shared" si="85"/>
        <v>7.08037452852804+0.617480281607701j</v>
      </c>
      <c r="Q141" s="136"/>
      <c r="R141" s="136">
        <f t="shared" si="86"/>
        <v>11.787819253438114</v>
      </c>
      <c r="S141" s="136" t="str">
        <f t="shared" si="87"/>
        <v>1+0.0000846688778433868j</v>
      </c>
      <c r="T141" s="136" t="str">
        <f t="shared" si="88"/>
        <v>0.99951586750091+0.00689113025459469j</v>
      </c>
      <c r="U141" s="136" t="str">
        <f t="shared" si="111"/>
        <v>1.00043739654519-0.00681277381853164j</v>
      </c>
      <c r="V141" s="136" t="str">
        <f t="shared" si="112"/>
        <v>11.7929752048549-0.0803077463874064j</v>
      </c>
      <c r="W141" s="136"/>
      <c r="X141" s="136" t="str">
        <f t="shared" si="89"/>
        <v>1.67005421350468+0.142947566453867j</v>
      </c>
      <c r="Y141" s="136">
        <f t="shared" si="113"/>
        <v>4.4863136793444234</v>
      </c>
      <c r="Z141" s="136">
        <f t="shared" si="114"/>
        <v>-175.10771699257754</v>
      </c>
      <c r="AA141" s="136"/>
      <c r="AB141" s="136" t="str">
        <f t="shared" si="90"/>
        <v>9.27077819572408-0.0631321012062848j</v>
      </c>
      <c r="AC141" s="136">
        <f t="shared" si="115"/>
        <v>19.342525205316193</v>
      </c>
      <c r="AD141" s="136">
        <f t="shared" si="116"/>
        <v>179.60983350456553</v>
      </c>
      <c r="AE141" s="136"/>
      <c r="AF141" s="136" t="str">
        <f t="shared" si="117"/>
        <v>3.46094528890631-0.208934262481947j</v>
      </c>
      <c r="AG141" s="136">
        <f t="shared" si="118"/>
        <v>10.799693475301682</v>
      </c>
      <c r="AH141" s="136">
        <f t="shared" si="119"/>
        <v>176.54529627209004</v>
      </c>
      <c r="AI141" s="136"/>
      <c r="AJ141" s="136" t="str">
        <f t="shared" si="91"/>
        <v>99983.5453643888-1282.65069527366j</v>
      </c>
      <c r="AK141" s="136" t="str">
        <f t="shared" si="92"/>
        <v>19047.6190283984-0.605068596634828j</v>
      </c>
      <c r="AL141" s="136" t="str">
        <f t="shared" si="93"/>
        <v>10000-17322382.2498224j</v>
      </c>
      <c r="AM141" s="136" t="str">
        <f t="shared" si="94"/>
        <v>963.13896743075-5375912.11615756j</v>
      </c>
      <c r="AN141" s="136" t="str">
        <f t="shared" si="120"/>
        <v>10963.1389674308-5375912.11615756j</v>
      </c>
      <c r="AO141" s="136" t="str">
        <f t="shared" si="121"/>
        <v>19047.2380019979-68.0913493841424j</v>
      </c>
      <c r="AP141" s="136" t="str">
        <f t="shared" si="122"/>
        <v>0.160003576101414+0.00171988944004457j</v>
      </c>
      <c r="AQ141" s="136" t="str">
        <f t="shared" si="95"/>
        <v>1+0.0205257885680938j</v>
      </c>
      <c r="AR141" s="136" t="str">
        <f t="shared" si="96"/>
        <v>1+0.0000409696378604666j</v>
      </c>
      <c r="AS141" s="136" t="str">
        <f t="shared" si="97"/>
        <v>6.42713754538436E-08j</v>
      </c>
      <c r="AT141" s="136" t="str">
        <f t="shared" si="123"/>
        <v>-2.63317497713805E-12+6.42713754538436E-08j</v>
      </c>
      <c r="AU141" s="179" t="str">
        <f t="shared" si="124"/>
        <v>318723.829250558-15559039.0308943j</v>
      </c>
      <c r="AV141" s="136" t="str">
        <f t="shared" si="98"/>
        <v>7999.99135334524-8.31704053845963j</v>
      </c>
      <c r="AW141" s="136"/>
      <c r="AX141" s="136" t="str">
        <f t="shared" si="99"/>
        <v>0.499999459584077-0.000519815033653727j</v>
      </c>
      <c r="AY141" s="136"/>
      <c r="AZ141" s="136" t="str">
        <f t="shared" si="100"/>
        <v>4.89246047537051-155.558658435608j</v>
      </c>
      <c r="BA141" s="136" t="str">
        <f t="shared" si="101"/>
        <v>2.36536586445188-77.7817883259347j</v>
      </c>
      <c r="BB141" s="136">
        <f t="shared" si="125"/>
        <v>37.821572915318676</v>
      </c>
      <c r="BC141" s="136">
        <f t="shared" si="126"/>
        <v>91.741843814677054</v>
      </c>
      <c r="BD141" s="136" t="str">
        <f t="shared" si="102"/>
        <v>17.0182545484718-721.247037753646j</v>
      </c>
      <c r="BE141" s="136">
        <f t="shared" si="127"/>
        <v>57.164098120634875</v>
      </c>
      <c r="BF141" s="136">
        <f t="shared" si="128"/>
        <v>91.351677319242583</v>
      </c>
      <c r="BG141" s="136"/>
      <c r="BH141" s="136" t="str">
        <f t="shared" si="103"/>
        <v>-8.06487873329161-269.69271984174j</v>
      </c>
      <c r="BI141" s="136">
        <f t="shared" si="129"/>
        <v>48.621266390620335</v>
      </c>
      <c r="BJ141" s="136">
        <f t="shared" si="130"/>
        <v>88.287140086767096</v>
      </c>
      <c r="BK141" s="136"/>
      <c r="BL141" s="136">
        <f t="shared" si="131"/>
        <v>-47.621266390620335</v>
      </c>
      <c r="BM141" s="136">
        <f t="shared" si="132"/>
        <v>-88.287140086767096</v>
      </c>
      <c r="BN141" s="136"/>
      <c r="BO141" s="189"/>
      <c r="BP141" s="189" t="str">
        <f t="shared" si="104"/>
        <v>0.00001+1.28286178550586E-07j</v>
      </c>
      <c r="BQ141" s="189" t="str">
        <f t="shared" si="105"/>
        <v>1.31603303332864E-09+6.41160766595023E-08j</v>
      </c>
      <c r="BR141" s="189" t="str">
        <f t="shared" si="106"/>
        <v>-0.000387486056900198-0.00160357577759814j</v>
      </c>
      <c r="BS141" s="189" t="str">
        <f t="shared" si="107"/>
        <v>0.0000625013160330333+1.92402255210088E-07j</v>
      </c>
      <c r="BT141" s="189" t="str">
        <f t="shared" si="133"/>
        <v>-2.3909856904703E-08-1.00300149649789E-07j</v>
      </c>
      <c r="BU141" s="189" t="str">
        <f t="shared" si="134"/>
        <v>-1.31603303332864E-09-6.41160766595023E-08j</v>
      </c>
      <c r="BV141" s="189" t="str">
        <f t="shared" si="135"/>
        <v>-2.52258899380316E-08-1.64416226309291E-07j</v>
      </c>
      <c r="BW141" s="189" t="str">
        <f t="shared" si="108"/>
        <v>0.999999958313059-0.000204173795937455j</v>
      </c>
      <c r="BX141" s="189" t="str">
        <f t="shared" si="136"/>
        <v>-0.00001-1.28286178550586E-07j</v>
      </c>
      <c r="BY141" s="189" t="str">
        <f t="shared" si="137"/>
        <v>9.86720802008626-59.3075080920115j</v>
      </c>
      <c r="BZ141" s="136">
        <f t="shared" si="138"/>
        <v>35.580773425021846</v>
      </c>
      <c r="CA141" s="136">
        <f t="shared" si="139"/>
        <v>99.445987901286998</v>
      </c>
      <c r="CB141" s="189" t="str">
        <f t="shared" si="109"/>
        <v>87.7324893621321-550.449690437497j</v>
      </c>
      <c r="CC141" s="136" t="str">
        <f t="shared" si="110"/>
        <v>21.7584966489295-207.321638558252j</v>
      </c>
      <c r="CD141" s="136">
        <f t="shared" si="140"/>
        <v>46.380466900323498</v>
      </c>
      <c r="CE141" s="136">
        <f t="shared" si="141"/>
        <v>95.991284173377039</v>
      </c>
      <c r="CF141" s="136"/>
      <c r="CG141" s="136">
        <f t="shared" si="142"/>
        <v>-45.380466900323498</v>
      </c>
      <c r="CH141" s="136">
        <f t="shared" si="143"/>
        <v>-95.991284173377039</v>
      </c>
      <c r="CI141" s="77"/>
      <c r="CJ141" s="189"/>
      <c r="CK141" s="189"/>
      <c r="CL141" s="189"/>
      <c r="CM141" s="77"/>
      <c r="CN141" s="189">
        <v>3630.7805477010102</v>
      </c>
      <c r="CO141" s="189">
        <v>22.9418564295915</v>
      </c>
      <c r="CP141" s="189">
        <v>72.563597112047205</v>
      </c>
      <c r="CQ141" s="74"/>
      <c r="CR141" s="75"/>
      <c r="CS141" s="75"/>
      <c r="CT141" s="75"/>
      <c r="CU141" s="74"/>
      <c r="CV141" s="75"/>
      <c r="CW141" s="75"/>
      <c r="CX141" s="75"/>
      <c r="CY141" s="74"/>
      <c r="CZ141" s="75"/>
      <c r="DA141" s="75"/>
      <c r="DB141" s="75"/>
      <c r="DC141" s="74"/>
      <c r="DD141" s="75"/>
      <c r="DE141" s="75"/>
      <c r="DF141" s="75"/>
      <c r="DG141" s="74"/>
      <c r="DH141" s="75"/>
      <c r="DI141" s="75"/>
      <c r="DJ141" s="75"/>
      <c r="DK141" s="74"/>
      <c r="DL141" s="75"/>
      <c r="DM141" s="75"/>
      <c r="DN141" s="75"/>
      <c r="DO141" s="76"/>
    </row>
    <row r="142" spans="1:119" x14ac:dyDescent="0.25">
      <c r="A142" s="136">
        <v>93</v>
      </c>
      <c r="B142" s="136">
        <f t="shared" si="72"/>
        <v>616.59500186148273</v>
      </c>
      <c r="C142" s="136" t="str">
        <f t="shared" si="79"/>
        <v>3874.18065617644j</v>
      </c>
      <c r="D142" s="136">
        <f t="shared" si="73"/>
        <v>0.99999049526509198</v>
      </c>
      <c r="E142" s="136" t="str">
        <f t="shared" si="74"/>
        <v>-0.00484272582022055j</v>
      </c>
      <c r="F142" s="136" t="str">
        <f t="shared" si="80"/>
        <v>0.999990495265092-0.00484272582022055j</v>
      </c>
      <c r="G142" s="136">
        <f t="shared" si="81"/>
        <v>1.9293984136140703E-5</v>
      </c>
      <c r="H142" s="136">
        <f t="shared" si="82"/>
        <v>-0.27746821903153901</v>
      </c>
      <c r="I142" s="136"/>
      <c r="J142" s="136">
        <f t="shared" si="75"/>
        <v>7.0726915520628681</v>
      </c>
      <c r="K142" s="136" t="str">
        <f t="shared" si="76"/>
        <v>1+0.284362277376247j</v>
      </c>
      <c r="L142" s="136">
        <f t="shared" si="77"/>
        <v>0.99558465913145588</v>
      </c>
      <c r="M142" s="136" t="str">
        <f t="shared" si="78"/>
        <v>0.0208108806678777j</v>
      </c>
      <c r="N142" s="136" t="str">
        <f t="shared" si="83"/>
        <v>0.995584659131456+0.0208108806678777j</v>
      </c>
      <c r="O142" s="136" t="str">
        <f t="shared" si="84"/>
        <v>1.00124735525099+0.0935543568410206j</v>
      </c>
      <c r="P142" s="136" t="str">
        <f t="shared" si="85"/>
        <v>7.08151371100897+0.661681109288161j</v>
      </c>
      <c r="Q142" s="136"/>
      <c r="R142" s="136">
        <f t="shared" si="86"/>
        <v>11.787819253438114</v>
      </c>
      <c r="S142" s="136" t="str">
        <f t="shared" si="87"/>
        <v>1+0.0000907243371619939j</v>
      </c>
      <c r="T142" s="136" t="str">
        <f t="shared" si="88"/>
        <v>0.999444141517886+0.00738397910270518j</v>
      </c>
      <c r="U142" s="136" t="str">
        <f t="shared" si="111"/>
        <v>1.00050222705885-0.00730102153439851j</v>
      </c>
      <c r="V142" s="136" t="str">
        <f t="shared" si="112"/>
        <v>11.793739415232-0.086063122212949j</v>
      </c>
      <c r="W142" s="136"/>
      <c r="X142" s="136" t="str">
        <f t="shared" si="89"/>
        <v>1.67035723094892+0.153179804830021j</v>
      </c>
      <c r="Y142" s="136">
        <f t="shared" si="113"/>
        <v>4.4925576915767618</v>
      </c>
      <c r="Z142" s="136">
        <f t="shared" si="114"/>
        <v>-174.76035627999525</v>
      </c>
      <c r="AA142" s="136"/>
      <c r="AB142" s="136" t="str">
        <f t="shared" si="90"/>
        <v>9.27137896226331-0.0676565585026651j</v>
      </c>
      <c r="AC142" s="136">
        <f t="shared" si="115"/>
        <v>19.343117921301967</v>
      </c>
      <c r="AD142" s="136">
        <f t="shared" si="116"/>
        <v>179.58189968633505</v>
      </c>
      <c r="AE142" s="136"/>
      <c r="AF142" s="136" t="str">
        <f t="shared" si="117"/>
        <v>3.45912637214079-0.223762144684005j</v>
      </c>
      <c r="AG142" s="136">
        <f t="shared" si="118"/>
        <v>10.797463569923542</v>
      </c>
      <c r="AH142" s="136">
        <f t="shared" si="119"/>
        <v>176.29883751392944</v>
      </c>
      <c r="AI142" s="136"/>
      <c r="AJ142" s="136" t="str">
        <f t="shared" si="91"/>
        <v>99981.1080110841-1374.35147773141j</v>
      </c>
      <c r="AK142" s="136" t="str">
        <f t="shared" si="92"/>
        <v>19047.6190255508-0.64834268219032j</v>
      </c>
      <c r="AL142" s="136" t="str">
        <f t="shared" si="93"/>
        <v>10000-16166187.7346962j</v>
      </c>
      <c r="AM142" s="136" t="str">
        <f t="shared" si="94"/>
        <v>963.13894481297-5017093.15612895j</v>
      </c>
      <c r="AN142" s="136" t="str">
        <f t="shared" si="120"/>
        <v>10963.138944813-5017093.15612895j</v>
      </c>
      <c r="AO142" s="136" t="str">
        <f t="shared" si="121"/>
        <v>19047.1815507533-72.9608557248121j</v>
      </c>
      <c r="AP142" s="136" t="str">
        <f t="shared" si="122"/>
        <v>0.160004105911159+0.00184289355748195j</v>
      </c>
      <c r="AQ142" s="136" t="str">
        <f t="shared" si="95"/>
        <v>1+0.0219937787059379j</v>
      </c>
      <c r="AR142" s="136" t="str">
        <f t="shared" si="96"/>
        <v>1+0.0000438997578960837j</v>
      </c>
      <c r="AS142" s="136" t="str">
        <f t="shared" si="97"/>
        <v>6.88680195729681E-08j</v>
      </c>
      <c r="AT142" s="136" t="str">
        <f t="shared" si="123"/>
        <v>-3.02328938603605E-12+6.88680195729681E-08j</v>
      </c>
      <c r="AU142" s="179" t="str">
        <f t="shared" si="124"/>
        <v>318723.829171297-14520541.8973147j</v>
      </c>
      <c r="AV142" s="136" t="str">
        <f t="shared" si="98"/>
        <v>7999.99007231361-8.91186807235337j</v>
      </c>
      <c r="AW142" s="136"/>
      <c r="AX142" s="136" t="str">
        <f t="shared" si="99"/>
        <v>0.499999379519601-0.000556991754522086j</v>
      </c>
      <c r="AY142" s="136"/>
      <c r="AZ142" s="136" t="str">
        <f t="shared" si="100"/>
        <v>4.89246952324853-145.171417676075j</v>
      </c>
      <c r="BA142" s="136" t="str">
        <f t="shared" si="101"/>
        <v>2.36537244330497-72.588343827202j</v>
      </c>
      <c r="BB142" s="136">
        <f t="shared" si="125"/>
        <v>37.22194688518664</v>
      </c>
      <c r="BC142" s="136">
        <f t="shared" si="126"/>
        <v>91.866386691888621</v>
      </c>
      <c r="BD142" s="136" t="str">
        <f t="shared" si="102"/>
        <v>17.0191867780184-673.154076824147j</v>
      </c>
      <c r="BE142" s="136">
        <f t="shared" si="127"/>
        <v>56.565064806488607</v>
      </c>
      <c r="BF142" s="136">
        <f t="shared" si="128"/>
        <v>91.448286378223685</v>
      </c>
      <c r="BG142" s="136"/>
      <c r="BH142" s="136" t="str">
        <f t="shared" si="103"/>
        <v>-8.06040129526331-251.621535253588j</v>
      </c>
      <c r="BI142" s="136">
        <f t="shared" si="129"/>
        <v>48.019410455110183</v>
      </c>
      <c r="BJ142" s="136">
        <f t="shared" si="130"/>
        <v>88.165224205818092</v>
      </c>
      <c r="BK142" s="136"/>
      <c r="BL142" s="136">
        <f t="shared" si="131"/>
        <v>-47.019410455110183</v>
      </c>
      <c r="BM142" s="136">
        <f t="shared" si="132"/>
        <v>-88.165224205818092</v>
      </c>
      <c r="BN142" s="136"/>
      <c r="BO142" s="189"/>
      <c r="BP142" s="189" t="str">
        <f t="shared" si="104"/>
        <v>0.00001+1.37461116912112E-07j</v>
      </c>
      <c r="BQ142" s="189" t="str">
        <f t="shared" si="105"/>
        <v>1.51091382426153E-09+6.86973277517615E-08j</v>
      </c>
      <c r="BR142" s="189" t="str">
        <f t="shared" si="106"/>
        <v>-0.000391979664525694-0.00171817129290016j</v>
      </c>
      <c r="BS142" s="189" t="str">
        <f t="shared" si="107"/>
        <v>0.0000625015109138243+2.06158444663874E-07j</v>
      </c>
      <c r="BT142" s="189" t="str">
        <f t="shared" si="133"/>
        <v>-2.41451057589394E-08-1.07469111732997E-07j</v>
      </c>
      <c r="BU142" s="189" t="str">
        <f t="shared" si="134"/>
        <v>-1.51091382426153E-09-6.86973277517615E-08j</v>
      </c>
      <c r="BV142" s="189" t="str">
        <f t="shared" si="135"/>
        <v>-2.56560195832009E-08-1.76166439484759E-07j</v>
      </c>
      <c r="BW142" s="189" t="str">
        <f t="shared" si="108"/>
        <v>0.999999952136988-0.00021877616261945j</v>
      </c>
      <c r="BX142" s="189" t="str">
        <f t="shared" si="136"/>
        <v>-0.00001-1.37461116912112E-07j</v>
      </c>
      <c r="BY142" s="189" t="str">
        <f t="shared" si="137"/>
        <v>8.84715691346514-55.476212110216j</v>
      </c>
      <c r="BZ142" s="136">
        <f t="shared" si="138"/>
        <v>34.991207970257328</v>
      </c>
      <c r="CA142" s="136">
        <f t="shared" si="139"/>
        <v>99.061033689966649</v>
      </c>
      <c r="CB142" s="189" t="str">
        <f t="shared" si="109"/>
        <v>78.272014893202-514.939554054012j</v>
      </c>
      <c r="CC142" s="136" t="str">
        <f t="shared" si="110"/>
        <v>18.1899575971083-193.878887142237j</v>
      </c>
      <c r="CD142" s="136">
        <f t="shared" si="140"/>
        <v>45.788671540180857</v>
      </c>
      <c r="CE142" s="136">
        <f t="shared" si="141"/>
        <v>95.359871203896091</v>
      </c>
      <c r="CF142" s="136"/>
      <c r="CG142" s="136">
        <f t="shared" si="142"/>
        <v>-44.788671540180857</v>
      </c>
      <c r="CH142" s="136">
        <f t="shared" si="143"/>
        <v>-95.359871203896091</v>
      </c>
      <c r="CI142" s="77"/>
      <c r="CJ142" s="189"/>
      <c r="CK142" s="189"/>
      <c r="CL142" s="189"/>
      <c r="CM142" s="77"/>
      <c r="CN142" s="189">
        <v>3801.8939632056099</v>
      </c>
      <c r="CO142" s="189">
        <v>22.414366335038402</v>
      </c>
      <c r="CP142" s="189">
        <v>72.273284732058002</v>
      </c>
      <c r="CQ142" s="74"/>
      <c r="CR142" s="75"/>
      <c r="CS142" s="75"/>
      <c r="CT142" s="75"/>
      <c r="CU142" s="74"/>
      <c r="CV142" s="75"/>
      <c r="CW142" s="75"/>
      <c r="CX142" s="75"/>
      <c r="CY142" s="74"/>
      <c r="CZ142" s="75"/>
      <c r="DA142" s="75"/>
      <c r="DB142" s="75"/>
      <c r="DC142" s="74"/>
      <c r="DD142" s="75"/>
      <c r="DE142" s="75"/>
      <c r="DF142" s="75"/>
      <c r="DG142" s="74"/>
      <c r="DH142" s="75"/>
      <c r="DI142" s="75"/>
      <c r="DJ142" s="75"/>
      <c r="DK142" s="74"/>
      <c r="DL142" s="75"/>
      <c r="DM142" s="75"/>
      <c r="DN142" s="75"/>
      <c r="DO142" s="76"/>
    </row>
    <row r="143" spans="1:119" x14ac:dyDescent="0.25">
      <c r="A143" s="136">
        <v>94</v>
      </c>
      <c r="B143" s="136">
        <f t="shared" si="72"/>
        <v>660.69344800759643</v>
      </c>
      <c r="C143" s="136" t="str">
        <f t="shared" si="79"/>
        <v>4151.25936507115j</v>
      </c>
      <c r="D143" s="136">
        <f t="shared" si="73"/>
        <v>0.99998908710419399</v>
      </c>
      <c r="E143" s="136" t="str">
        <f t="shared" si="74"/>
        <v>-0.00518907420633894j</v>
      </c>
      <c r="F143" s="136" t="str">
        <f t="shared" si="80"/>
        <v>0.999989087104194-0.00518907420633894j</v>
      </c>
      <c r="G143" s="136">
        <f t="shared" si="81"/>
        <v>2.2152517205790597E-5</v>
      </c>
      <c r="H143" s="136">
        <f t="shared" si="82"/>
        <v>-0.29731262760657629</v>
      </c>
      <c r="I143" s="136"/>
      <c r="J143" s="136">
        <f t="shared" si="75"/>
        <v>7.0726915520628681</v>
      </c>
      <c r="K143" s="136" t="str">
        <f t="shared" si="76"/>
        <v>1+0.304699669889979j</v>
      </c>
      <c r="L143" s="136">
        <f t="shared" si="77"/>
        <v>0.99493051039163793</v>
      </c>
      <c r="M143" s="136" t="str">
        <f t="shared" si="78"/>
        <v>0.022299260394627j</v>
      </c>
      <c r="N143" s="136" t="str">
        <f t="shared" si="83"/>
        <v>0.994930510391638+0.022299260394627j</v>
      </c>
      <c r="O143" s="136" t="str">
        <f t="shared" si="84"/>
        <v>1.00143232727249+0.1002520957147j</v>
      </c>
      <c r="P143" s="136" t="str">
        <f t="shared" si="85"/>
        <v>7.0828219610628+0.709052150437957j</v>
      </c>
      <c r="Q143" s="136"/>
      <c r="R143" s="136">
        <f t="shared" si="86"/>
        <v>11.787819253438114</v>
      </c>
      <c r="S143" s="136" t="str">
        <f t="shared" si="87"/>
        <v>1+0.0000972128787239617j</v>
      </c>
      <c r="T143" s="136" t="str">
        <f t="shared" si="88"/>
        <v>0.999361789070721+0.00791207615801962j</v>
      </c>
      <c r="U143" s="136" t="str">
        <f t="shared" si="111"/>
        <v>1.00057667156377-0.00782441957871681j</v>
      </c>
      <c r="V143" s="136" t="str">
        <f t="shared" si="112"/>
        <v>11.7946169536004-0.0922328437569761j</v>
      </c>
      <c r="W143" s="136"/>
      <c r="X143" s="136" t="str">
        <f t="shared" si="89"/>
        <v>1.67070521569639+0.1641458565796j</v>
      </c>
      <c r="Y143" s="136">
        <f t="shared" si="113"/>
        <v>4.4997177666217532</v>
      </c>
      <c r="Z143" s="136">
        <f t="shared" si="114"/>
        <v>-174.38873045080055</v>
      </c>
      <c r="AA143" s="136"/>
      <c r="AB143" s="136" t="str">
        <f t="shared" si="90"/>
        <v>9.27206881901534-0.0725067442251373j</v>
      </c>
      <c r="AC143" s="136">
        <f t="shared" si="115"/>
        <v>19.343798494904615</v>
      </c>
      <c r="AD143" s="136">
        <f t="shared" si="116"/>
        <v>179.55196128997181</v>
      </c>
      <c r="AE143" s="136"/>
      <c r="AF143" s="136" t="str">
        <f t="shared" si="117"/>
        <v>3.45704027773186-0.239624192921921j</v>
      </c>
      <c r="AG143" s="136">
        <f t="shared" si="118"/>
        <v>10.794904707098045</v>
      </c>
      <c r="AH143" s="136">
        <f t="shared" si="119"/>
        <v>176.03489428709585</v>
      </c>
      <c r="AI143" s="136"/>
      <c r="AJ143" s="136" t="str">
        <f t="shared" si="91"/>
        <v>99978.3097016023-1472.60292364372j</v>
      </c>
      <c r="AK143" s="136" t="str">
        <f t="shared" si="92"/>
        <v>19047.6190222813-0.694711700257208j</v>
      </c>
      <c r="AL143" s="136" t="str">
        <f t="shared" si="93"/>
        <v>10000-15087164.2308968j</v>
      </c>
      <c r="AM143" s="136" t="str">
        <f t="shared" si="94"/>
        <v>963.138918844294-4682223.8222666j</v>
      </c>
      <c r="AN143" s="136" t="str">
        <f t="shared" si="120"/>
        <v>10963.1389188443-4682223.8222666j</v>
      </c>
      <c r="AO143" s="136" t="str">
        <f t="shared" si="121"/>
        <v>19047.1167367028-78.1785475669249j</v>
      </c>
      <c r="AP143" s="136" t="str">
        <f t="shared" si="122"/>
        <v>0.1600047142133+0.00197469457213253j</v>
      </c>
      <c r="AQ143" s="136" t="str">
        <f t="shared" si="95"/>
        <v>1+0.0235667584785362j</v>
      </c>
      <c r="AR143" s="136" t="str">
        <f t="shared" si="96"/>
        <v>1+0.0000470394380809105j</v>
      </c>
      <c r="AS143" s="136" t="str">
        <f t="shared" si="97"/>
        <v>7.37934124859164E-08j</v>
      </c>
      <c r="AT143" s="136" t="str">
        <f t="shared" si="123"/>
        <v>-3.47120065741035E-12+7.37934124859164E-08j</v>
      </c>
      <c r="AU143" s="179" t="str">
        <f t="shared" si="124"/>
        <v>318723.829080296-13551360.1101618j</v>
      </c>
      <c r="AV143" s="136" t="str">
        <f t="shared" si="98"/>
        <v>7999.98860149302-9.54923692960298j</v>
      </c>
      <c r="AW143" s="136"/>
      <c r="AX143" s="136" t="str">
        <f t="shared" si="99"/>
        <v>0.499999287593314-0.000596827308100186j</v>
      </c>
      <c r="AY143" s="136"/>
      <c r="AZ143" s="136" t="str">
        <f t="shared" si="100"/>
        <v>4.89247991159135-135.477168077297j</v>
      </c>
      <c r="BA143" s="136" t="str">
        <f t="shared" si="101"/>
        <v>2.36537999682767-67.7414074894237j</v>
      </c>
      <c r="BB143" s="136">
        <f t="shared" si="125"/>
        <v>36.622376236017686</v>
      </c>
      <c r="BC143" s="136">
        <f t="shared" si="126"/>
        <v>91.999829289316523</v>
      </c>
      <c r="BD143" s="136" t="str">
        <f t="shared" si="102"/>
        <v>17.020257207422-628.274498141323j</v>
      </c>
      <c r="BE143" s="136">
        <f t="shared" si="127"/>
        <v>55.966174730922305</v>
      </c>
      <c r="BF143" s="136">
        <f t="shared" si="128"/>
        <v>91.551790579288323</v>
      </c>
      <c r="BG143" s="136"/>
      <c r="BH143" s="136" t="str">
        <f t="shared" si="103"/>
        <v>-8.0552661758736-234.751576433878j</v>
      </c>
      <c r="BI143" s="136">
        <f t="shared" si="129"/>
        <v>47.417280943115728</v>
      </c>
      <c r="BJ143" s="136">
        <f t="shared" si="130"/>
        <v>88.034723576412375</v>
      </c>
      <c r="BK143" s="136"/>
      <c r="BL143" s="136">
        <f t="shared" si="131"/>
        <v>-46.417280943115728</v>
      </c>
      <c r="BM143" s="136">
        <f t="shared" si="132"/>
        <v>-88.034723576412375</v>
      </c>
      <c r="BN143" s="136"/>
      <c r="BO143" s="189"/>
      <c r="BP143" s="189" t="str">
        <f t="shared" si="104"/>
        <v>0.00001+1.47292240490851E-07j</v>
      </c>
      <c r="BQ143" s="189" t="str">
        <f t="shared" si="105"/>
        <v>1.73463692505164E-09+7.36052404759649E-08j</v>
      </c>
      <c r="BR143" s="189" t="str">
        <f t="shared" si="106"/>
        <v>-0.00039713842875416-0.00184094163277121j</v>
      </c>
      <c r="BS143" s="189" t="str">
        <f t="shared" si="107"/>
        <v>0.0000625017346369251+2.20897480966816E-07j</v>
      </c>
      <c r="BT143" s="189" t="str">
        <f t="shared" si="133"/>
        <v>-2.44151813188318E-08-1.15149772292041E-07j</v>
      </c>
      <c r="BU143" s="189" t="str">
        <f t="shared" si="134"/>
        <v>-1.73463692505164E-09-7.36052404759649E-08j</v>
      </c>
      <c r="BV143" s="189" t="str">
        <f t="shared" si="135"/>
        <v>-2.61498182438834E-08-1.88755012768006E-07j</v>
      </c>
      <c r="BW143" s="189" t="str">
        <f t="shared" si="108"/>
        <v>0.99999994504591-0.00023442288011023j</v>
      </c>
      <c r="BX143" s="189" t="str">
        <f t="shared" si="136"/>
        <v>-0.00001-1.47292240490851E-07j</v>
      </c>
      <c r="BY143" s="189" t="str">
        <f t="shared" si="137"/>
        <v>7.95485246295016-51.8768529082849j</v>
      </c>
      <c r="BZ143" s="136">
        <f t="shared" si="138"/>
        <v>34.400408130182583</v>
      </c>
      <c r="CA143" s="136">
        <f t="shared" si="139"/>
        <v>98.717890415722195</v>
      </c>
      <c r="CB143" s="189" t="str">
        <f t="shared" si="109"/>
        <v>69.9965177765615-481.582530732434j</v>
      </c>
      <c r="CC143" s="136" t="str">
        <f t="shared" si="110"/>
        <v>15.0692963583562-181.24654508716j</v>
      </c>
      <c r="CD143" s="136">
        <f t="shared" si="140"/>
        <v>45.195312837280653</v>
      </c>
      <c r="CE143" s="136">
        <f t="shared" si="141"/>
        <v>94.752784702818019</v>
      </c>
      <c r="CF143" s="136"/>
      <c r="CG143" s="136">
        <f t="shared" si="142"/>
        <v>-44.195312837280653</v>
      </c>
      <c r="CH143" s="136">
        <f t="shared" si="143"/>
        <v>-94.752784702818019</v>
      </c>
      <c r="CI143" s="77"/>
      <c r="CJ143" s="189"/>
      <c r="CK143" s="189"/>
      <c r="CL143" s="189"/>
      <c r="CM143" s="77"/>
      <c r="CN143" s="189">
        <v>3981.0717055349701</v>
      </c>
      <c r="CO143" s="189">
        <v>21.882226191618599</v>
      </c>
      <c r="CP143" s="189">
        <v>72.017414454024404</v>
      </c>
      <c r="CQ143" s="74"/>
      <c r="CR143" s="75"/>
      <c r="CS143" s="75"/>
      <c r="CT143" s="75"/>
      <c r="CU143" s="74"/>
      <c r="CV143" s="75"/>
      <c r="CW143" s="75"/>
      <c r="CX143" s="75"/>
      <c r="CY143" s="74"/>
      <c r="CZ143" s="75"/>
      <c r="DA143" s="75"/>
      <c r="DB143" s="75"/>
      <c r="DC143" s="74"/>
      <c r="DD143" s="75"/>
      <c r="DE143" s="75"/>
      <c r="DF143" s="75"/>
      <c r="DG143" s="74"/>
      <c r="DH143" s="75"/>
      <c r="DI143" s="75"/>
      <c r="DJ143" s="75"/>
      <c r="DK143" s="74"/>
      <c r="DL143" s="75"/>
      <c r="DM143" s="75"/>
      <c r="DN143" s="75"/>
      <c r="DO143" s="76"/>
    </row>
    <row r="144" spans="1:119" x14ac:dyDescent="0.25">
      <c r="A144" s="136">
        <v>95</v>
      </c>
      <c r="B144" s="136">
        <f t="shared" si="72"/>
        <v>707.94578438413873</v>
      </c>
      <c r="C144" s="136" t="str">
        <f t="shared" si="79"/>
        <v>4448.15455072215j</v>
      </c>
      <c r="D144" s="136">
        <f t="shared" si="73"/>
        <v>0.99998747031915936</v>
      </c>
      <c r="E144" s="136" t="str">
        <f t="shared" si="74"/>
        <v>-0.00556019318840269j</v>
      </c>
      <c r="F144" s="136" t="str">
        <f t="shared" si="80"/>
        <v>0.999987470319159-0.00556019318840269j</v>
      </c>
      <c r="G144" s="136">
        <f t="shared" si="81"/>
        <v>2.5434571219876773E-5</v>
      </c>
      <c r="H144" s="136">
        <f t="shared" si="82"/>
        <v>-0.31857631160994759</v>
      </c>
      <c r="I144" s="136"/>
      <c r="J144" s="136">
        <f t="shared" si="75"/>
        <v>7.0726915520628681</v>
      </c>
      <c r="K144" s="136" t="str">
        <f t="shared" si="76"/>
        <v>1+0.326491578586639j</v>
      </c>
      <c r="L144" s="136">
        <f t="shared" si="77"/>
        <v>0.99417944714701822</v>
      </c>
      <c r="M144" s="136" t="str">
        <f t="shared" si="78"/>
        <v>0.0238940880053632j</v>
      </c>
      <c r="N144" s="136" t="str">
        <f t="shared" si="83"/>
        <v>0.994179447147018+0.0238940880053632j</v>
      </c>
      <c r="O144" s="136" t="str">
        <f t="shared" si="84"/>
        <v>1.00164475830165+0.107430418204008j</v>
      </c>
      <c r="P144" s="136" t="str">
        <f t="shared" si="85"/>
        <v>7.08432442020813+0.759822211266068j</v>
      </c>
      <c r="Q144" s="136"/>
      <c r="R144" s="136">
        <f t="shared" si="86"/>
        <v>11.787819253438114</v>
      </c>
      <c r="S144" s="136" t="str">
        <f t="shared" si="87"/>
        <v>1+0.000104165476270448j</v>
      </c>
      <c r="T144" s="136" t="str">
        <f t="shared" si="88"/>
        <v>0.999267235810269+0.00847794234782826j</v>
      </c>
      <c r="U144" s="136" t="str">
        <f t="shared" si="111"/>
        <v>1.00066215731072-0.00838553522298642j</v>
      </c>
      <c r="V144" s="136" t="str">
        <f t="shared" si="112"/>
        <v>11.7956246441342-0.0988471735519028j</v>
      </c>
      <c r="W144" s="136"/>
      <c r="X144" s="136" t="str">
        <f t="shared" si="89"/>
        <v>1.67110485345018+0.175898666989071j</v>
      </c>
      <c r="Y144" s="136">
        <f t="shared" si="113"/>
        <v>4.5079267907319096</v>
      </c>
      <c r="Z144" s="136">
        <f t="shared" si="114"/>
        <v>-173.99123504600044</v>
      </c>
      <c r="AA144" s="136"/>
      <c r="AB144" s="136" t="str">
        <f t="shared" si="90"/>
        <v>9.27286099192053-0.0777064485725941j</v>
      </c>
      <c r="AC144" s="136">
        <f t="shared" si="115"/>
        <v>19.344579956748966</v>
      </c>
      <c r="AD144" s="136">
        <f t="shared" si="116"/>
        <v>179.5198733881731</v>
      </c>
      <c r="AE144" s="136"/>
      <c r="AF144" s="136" t="str">
        <f t="shared" si="117"/>
        <v>3.45464814940856-0.256588374688678j</v>
      </c>
      <c r="AG144" s="136">
        <f t="shared" si="118"/>
        <v>10.791968597479016</v>
      </c>
      <c r="AH144" s="136">
        <f t="shared" si="119"/>
        <v>175.75224862653226</v>
      </c>
      <c r="AI144" s="136"/>
      <c r="AJ144" s="136" t="str">
        <f t="shared" si="91"/>
        <v>99975.0970056001-1577.87175678372j</v>
      </c>
      <c r="AK144" s="136" t="str">
        <f t="shared" si="92"/>
        <v>19047.6190185274-0.74439699825334j</v>
      </c>
      <c r="AL144" s="136" t="str">
        <f t="shared" si="93"/>
        <v>10000-14080160.9053149j</v>
      </c>
      <c r="AM144" s="136" t="str">
        <f t="shared" si="94"/>
        <v>963.138889028259-4369705.58029752j</v>
      </c>
      <c r="AN144" s="136" t="str">
        <f t="shared" si="120"/>
        <v>10963.1388890283-4369705.58029752j</v>
      </c>
      <c r="AO144" s="136" t="str">
        <f t="shared" si="121"/>
        <v>19047.0423210735-83.769308888305j</v>
      </c>
      <c r="AP144" s="136" t="str">
        <f t="shared" si="122"/>
        <v>0.160005412636504+0.00211592156938538j</v>
      </c>
      <c r="AQ144" s="136" t="str">
        <f t="shared" si="95"/>
        <v>1+0.0252522366716237j</v>
      </c>
      <c r="AR144" s="136" t="str">
        <f t="shared" si="96"/>
        <v>1+0.0000504036660112249j</v>
      </c>
      <c r="AS144" s="136" t="str">
        <f t="shared" si="97"/>
        <v>7.90710660780216E-08j</v>
      </c>
      <c r="AT144" s="136" t="str">
        <f t="shared" si="123"/>
        <v>-3.9854716057481E-12+7.90710660780216E-08j</v>
      </c>
      <c r="AU144" s="179" t="str">
        <f t="shared" si="124"/>
        <v>318723.828975812-12646867.1774077j</v>
      </c>
      <c r="AV144" s="136" t="str">
        <f t="shared" si="98"/>
        <v>7999.98691276569-10.2321895604317j</v>
      </c>
      <c r="AW144" s="136"/>
      <c r="AX144" s="136" t="str">
        <f t="shared" si="99"/>
        <v>0.499999182047856-0.000639511847526981j</v>
      </c>
      <c r="AY144" s="136"/>
      <c r="AZ144" s="136" t="str">
        <f t="shared" si="100"/>
        <v>4.89249183899012-126.429633112105j</v>
      </c>
      <c r="BA144" s="136" t="str">
        <f t="shared" si="101"/>
        <v>2.36538866941719-63.217841949158j</v>
      </c>
      <c r="BB144" s="136">
        <f t="shared" si="125"/>
        <v>36.02286916505939</v>
      </c>
      <c r="BC144" s="136">
        <f t="shared" si="126"/>
        <v>92.142806382960686</v>
      </c>
      <c r="BD144" s="136" t="str">
        <f t="shared" si="102"/>
        <v>17.0214863390768-586.394066556739j</v>
      </c>
      <c r="BE144" s="136">
        <f t="shared" si="127"/>
        <v>55.367449121808363</v>
      </c>
      <c r="BF144" s="136">
        <f t="shared" si="128"/>
        <v>91.662679771133782</v>
      </c>
      <c r="BG144" s="136"/>
      <c r="BH144" s="136" t="str">
        <f t="shared" si="103"/>
        <v>-8.04937772762612-219.002331933455j</v>
      </c>
      <c r="BI144" s="136">
        <f t="shared" si="129"/>
        <v>46.814837762538431</v>
      </c>
      <c r="BJ144" s="136">
        <f t="shared" si="130"/>
        <v>87.895055009492978</v>
      </c>
      <c r="BK144" s="136"/>
      <c r="BL144" s="136">
        <f t="shared" si="131"/>
        <v>-45.814837762538431</v>
      </c>
      <c r="BM144" s="136">
        <f t="shared" si="132"/>
        <v>-87.895055009492978</v>
      </c>
      <c r="BN144" s="136"/>
      <c r="BO144" s="189"/>
      <c r="BP144" s="189" t="str">
        <f t="shared" si="104"/>
        <v>0.00001+1.57826479197648E-07j</v>
      </c>
      <c r="BQ144" s="189" t="str">
        <f t="shared" si="105"/>
        <v>1.99146589395019E-09+7.88629506307465E-08j</v>
      </c>
      <c r="BR144" s="189" t="str">
        <f t="shared" si="106"/>
        <v>-0.00040306070806707-0.00197246663218732j</v>
      </c>
      <c r="BS144" s="189" t="str">
        <f t="shared" si="107"/>
        <v>0.000062501991465894+2.36689429828394E-07j</v>
      </c>
      <c r="BT144" s="189" t="str">
        <f t="shared" si="133"/>
        <v>-2.47252349333172E-08-1.23378492820911E-07j</v>
      </c>
      <c r="BU144" s="189" t="str">
        <f t="shared" si="134"/>
        <v>-1.99146589395019E-09-7.88629506307465E-08j</v>
      </c>
      <c r="BV144" s="189" t="str">
        <f t="shared" si="135"/>
        <v>-2.67167008272674E-08-2.02241443451657E-07j</v>
      </c>
      <c r="BW144" s="189" t="str">
        <f t="shared" si="108"/>
        <v>0.999999936904263-0.000251188639582425j</v>
      </c>
      <c r="BX144" s="189" t="str">
        <f t="shared" si="136"/>
        <v>-0.00001-1.57826479197648E-07j</v>
      </c>
      <c r="BY144" s="189" t="str">
        <f t="shared" si="137"/>
        <v>7.17472892265897-48.4982393307649j</v>
      </c>
      <c r="BZ144" s="136">
        <f t="shared" si="138"/>
        <v>33.808542366895978</v>
      </c>
      <c r="CA144" s="136">
        <f t="shared" si="139"/>
        <v>98.4151824802818</v>
      </c>
      <c r="CB144" s="189" t="str">
        <f t="shared" si="109"/>
        <v>62.7616380141109-450.274954371127j</v>
      </c>
      <c r="CC144" s="136" t="str">
        <f t="shared" si="110"/>
        <v>12.3420795900284-169.385304786698j</v>
      </c>
      <c r="CD144" s="136">
        <f t="shared" si="140"/>
        <v>44.600510964375026</v>
      </c>
      <c r="CE144" s="136">
        <f t="shared" si="141"/>
        <v>94.167431106814078</v>
      </c>
      <c r="CF144" s="136"/>
      <c r="CG144" s="136">
        <f t="shared" si="142"/>
        <v>-43.600510964375026</v>
      </c>
      <c r="CH144" s="136">
        <f t="shared" si="143"/>
        <v>-94.167431106814078</v>
      </c>
      <c r="CI144" s="77"/>
      <c r="CJ144" s="189"/>
      <c r="CK144" s="189"/>
      <c r="CL144" s="189"/>
      <c r="CM144" s="77"/>
      <c r="CN144" s="189">
        <v>4168.6938347033501</v>
      </c>
      <c r="CO144" s="189">
        <v>21.345719999858598</v>
      </c>
      <c r="CP144" s="189">
        <v>71.799217342638798</v>
      </c>
      <c r="CQ144" s="74"/>
      <c r="CR144" s="75"/>
      <c r="CS144" s="75"/>
      <c r="CT144" s="75"/>
      <c r="CU144" s="74"/>
      <c r="CV144" s="75"/>
      <c r="CW144" s="75"/>
      <c r="CX144" s="75"/>
      <c r="CY144" s="74"/>
      <c r="CZ144" s="75"/>
      <c r="DA144" s="75"/>
      <c r="DB144" s="75"/>
      <c r="DC144" s="74"/>
      <c r="DD144" s="75"/>
      <c r="DE144" s="75"/>
      <c r="DF144" s="75"/>
      <c r="DG144" s="74"/>
      <c r="DH144" s="75"/>
      <c r="DI144" s="75"/>
      <c r="DJ144" s="75"/>
      <c r="DK144" s="74"/>
      <c r="DL144" s="75"/>
      <c r="DM144" s="75"/>
      <c r="DN144" s="75"/>
      <c r="DO144" s="76"/>
    </row>
    <row r="145" spans="1:119" x14ac:dyDescent="0.25">
      <c r="A145" s="136">
        <v>96</v>
      </c>
      <c r="B145" s="136">
        <f t="shared" si="72"/>
        <v>758.57757502918378</v>
      </c>
      <c r="C145" s="136" t="str">
        <f t="shared" si="79"/>
        <v>4766.28347377929j</v>
      </c>
      <c r="D145" s="136">
        <f t="shared" si="73"/>
        <v>0.9999856140015666</v>
      </c>
      <c r="E145" s="136" t="str">
        <f t="shared" si="74"/>
        <v>-0.00595785434222411j</v>
      </c>
      <c r="F145" s="136" t="str">
        <f t="shared" si="80"/>
        <v>0.999985614001567-0.00595785434222411j</v>
      </c>
      <c r="G145" s="136">
        <f t="shared" si="81"/>
        <v>2.9202898372260405E-5</v>
      </c>
      <c r="H145" s="136">
        <f t="shared" si="82"/>
        <v>-0.34136078057493069</v>
      </c>
      <c r="I145" s="136"/>
      <c r="J145" s="136">
        <f t="shared" si="75"/>
        <v>7.0726915520628681</v>
      </c>
      <c r="K145" s="136" t="str">
        <f t="shared" si="76"/>
        <v>1+0.349842029453084j</v>
      </c>
      <c r="L145" s="136">
        <f t="shared" si="77"/>
        <v>0.99331711116273491</v>
      </c>
      <c r="M145" s="136" t="str">
        <f t="shared" si="78"/>
        <v>0.025602976578793j</v>
      </c>
      <c r="N145" s="136" t="str">
        <f t="shared" si="83"/>
        <v>0.993317111162735+0.025602976578793j</v>
      </c>
      <c r="O145" s="136" t="str">
        <f t="shared" si="84"/>
        <v>1.00188873393401+0.115124056331884j</v>
      </c>
      <c r="P145" s="136" t="str">
        <f t="shared" si="85"/>
        <v>7.08604998460203+0.814236940657726j</v>
      </c>
      <c r="Q145" s="136"/>
      <c r="R145" s="136">
        <f t="shared" si="86"/>
        <v>11.787819253438114</v>
      </c>
      <c r="S145" s="136" t="str">
        <f t="shared" si="87"/>
        <v>1+0.000111615318763054j</v>
      </c>
      <c r="T145" s="136" t="str">
        <f t="shared" si="88"/>
        <v>0.999158674141857+0.00908427889438941j</v>
      </c>
      <c r="U145" s="136" t="str">
        <f t="shared" si="111"/>
        <v>1.00076032392771-0.00898713167650577j</v>
      </c>
      <c r="V145" s="136" t="str">
        <f t="shared" si="112"/>
        <v>11.796781814472-0.105938683809498j</v>
      </c>
      <c r="W145" s="136"/>
      <c r="X145" s="136" t="str">
        <f t="shared" si="89"/>
        <v>1.67156382796098+0.188495074858182j</v>
      </c>
      <c r="Y145" s="136">
        <f t="shared" si="113"/>
        <v>4.5173364546274613</v>
      </c>
      <c r="Z145" s="136">
        <f t="shared" si="114"/>
        <v>-173.56618016104053</v>
      </c>
      <c r="AA145" s="136"/>
      <c r="AB145" s="136" t="str">
        <f t="shared" si="90"/>
        <v>9.27377067496065-0.0832812774456169j</v>
      </c>
      <c r="AC145" s="136">
        <f t="shared" si="115"/>
        <v>19.345477272516604</v>
      </c>
      <c r="AD145" s="136">
        <f t="shared" si="116"/>
        <v>179.48548032813727</v>
      </c>
      <c r="AE145" s="136"/>
      <c r="AF145" s="136" t="str">
        <f t="shared" si="117"/>
        <v>3.45190560284758-0.274726164045245j</v>
      </c>
      <c r="AG145" s="136">
        <f t="shared" si="118"/>
        <v>10.788599938578614</v>
      </c>
      <c r="AH145" s="136">
        <f t="shared" si="119"/>
        <v>175.44960286082602</v>
      </c>
      <c r="AI145" s="136"/>
      <c r="AJ145" s="136" t="str">
        <f t="shared" si="91"/>
        <v>99971.4085916648-1690.65767229549j</v>
      </c>
      <c r="AK145" s="136" t="str">
        <f t="shared" si="92"/>
        <v>19047.6190142174-0.797635754208892j</v>
      </c>
      <c r="AL145" s="136" t="str">
        <f t="shared" si="93"/>
        <v>10000-13140370.7207988j</v>
      </c>
      <c r="AM145" s="136" t="str">
        <f t="shared" si="94"/>
        <v>963.138854794877-4078046.59125598j</v>
      </c>
      <c r="AN145" s="136" t="str">
        <f t="shared" si="120"/>
        <v>10963.1388547949-4078046.59125598j</v>
      </c>
      <c r="AO145" s="136" t="str">
        <f t="shared" si="121"/>
        <v>19046.9568816296-89.7597992057668j</v>
      </c>
      <c r="AP145" s="136" t="str">
        <f t="shared" si="122"/>
        <v>0.160006214532178+0.00226724861196772j</v>
      </c>
      <c r="AQ145" s="136" t="str">
        <f t="shared" si="95"/>
        <v>1+0.0270582590940738j</v>
      </c>
      <c r="AR145" s="136" t="str">
        <f t="shared" si="96"/>
        <v>1+0.000054008501185776j</v>
      </c>
      <c r="AS145" s="136" t="str">
        <f t="shared" si="97"/>
        <v>8.47261737883185E-08j</v>
      </c>
      <c r="AT145" s="136" t="str">
        <f t="shared" si="123"/>
        <v>-4.57593365751266E-12+8.47261737883185E-08j</v>
      </c>
      <c r="AU145" s="179" t="str">
        <f t="shared" si="124"/>
        <v>318723.828855848-11802745.4061306j</v>
      </c>
      <c r="AV145" s="136" t="str">
        <f t="shared" si="98"/>
        <v>7999.98497384817-10.9639859915652j</v>
      </c>
      <c r="AW145" s="136"/>
      <c r="AX145" s="136" t="str">
        <f t="shared" si="99"/>
        <v>0.499999060865511-0.000685249124472825j</v>
      </c>
      <c r="AY145" s="136"/>
      <c r="AZ145" s="136" t="str">
        <f t="shared" si="100"/>
        <v>4.89250553345688-117.985623414492j</v>
      </c>
      <c r="BA145" s="136" t="str">
        <f t="shared" si="101"/>
        <v>2.3653986268626-58.9960534880111j</v>
      </c>
      <c r="BB145" s="136">
        <f t="shared" si="125"/>
        <v>35.423435081581395</v>
      </c>
      <c r="BC145" s="136">
        <f t="shared" si="126"/>
        <v>92.29599775064284</v>
      </c>
      <c r="BD145" s="136" t="str">
        <f t="shared" si="102"/>
        <v>17.0228977216591-547.31286419484j</v>
      </c>
      <c r="BE145" s="136">
        <f t="shared" si="127"/>
        <v>54.768912354098006</v>
      </c>
      <c r="BF145" s="136">
        <f t="shared" si="128"/>
        <v>91.781478078780125</v>
      </c>
      <c r="BG145" s="136"/>
      <c r="BH145" s="136" t="str">
        <f t="shared" si="103"/>
        <v>-8.04262669553435-204.298644472357j</v>
      </c>
      <c r="BI145" s="136">
        <f t="shared" si="129"/>
        <v>46.212035020160016</v>
      </c>
      <c r="BJ145" s="136">
        <f t="shared" si="130"/>
        <v>87.745600611468888</v>
      </c>
      <c r="BK145" s="136"/>
      <c r="BL145" s="136">
        <f t="shared" si="131"/>
        <v>-45.212035020160016</v>
      </c>
      <c r="BM145" s="136">
        <f t="shared" si="132"/>
        <v>-87.745600611468888</v>
      </c>
      <c r="BN145" s="136"/>
      <c r="BO145" s="189"/>
      <c r="BP145" s="189" t="str">
        <f t="shared" si="104"/>
        <v>0.00001+1.69114119337961E-07j</v>
      </c>
      <c r="BQ145" s="189" t="str">
        <f t="shared" si="105"/>
        <v>2.28629292079998E-09+8.44951965627646E-08j</v>
      </c>
      <c r="BR145" s="189" t="str">
        <f t="shared" si="106"/>
        <v>-0.000409859373708954-0.0021133664871487j</v>
      </c>
      <c r="BS145" s="189" t="str">
        <f t="shared" si="107"/>
        <v>0.0000625022862929208+2.53609315900726E-07j</v>
      </c>
      <c r="BT145" s="189" t="str">
        <f t="shared" si="133"/>
        <v>-2.5081178486341E-08-1.32194181377014E-07j</v>
      </c>
      <c r="BU145" s="189" t="str">
        <f t="shared" si="134"/>
        <v>-2.28629292079998E-09-8.44951965627646E-08j</v>
      </c>
      <c r="BV145" s="189" t="str">
        <f t="shared" si="135"/>
        <v>-2.7367471407141E-08-2.16689377939779E-07j</v>
      </c>
      <c r="BW145" s="189" t="str">
        <f t="shared" si="108"/>
        <v>0.999999927556402-0.00026915347405293j</v>
      </c>
      <c r="BX145" s="189" t="str">
        <f t="shared" si="136"/>
        <v>-0.00001-1.69114119337961E-07j</v>
      </c>
      <c r="BY145" s="189" t="str">
        <f t="shared" si="137"/>
        <v>6.49301349928305-45.3291597646227j</v>
      </c>
      <c r="BZ145" s="136">
        <f t="shared" si="138"/>
        <v>33.215760522844043</v>
      </c>
      <c r="CA145" s="136">
        <f t="shared" si="139"/>
        <v>98.151678657366006</v>
      </c>
      <c r="CB145" s="189" t="str">
        <f t="shared" si="109"/>
        <v>56.4396478510405-420.912979004456j</v>
      </c>
      <c r="CC145" s="136" t="str">
        <f t="shared" si="110"/>
        <v>9.96016349601129-158.255781255626j</v>
      </c>
      <c r="CD145" s="136">
        <f t="shared" si="140"/>
        <v>44.004360461422642</v>
      </c>
      <c r="CE145" s="136">
        <f t="shared" si="141"/>
        <v>93.601281518192039</v>
      </c>
      <c r="CF145" s="136"/>
      <c r="CG145" s="136">
        <f t="shared" si="142"/>
        <v>-43.004360461422642</v>
      </c>
      <c r="CH145" s="136">
        <f t="shared" si="143"/>
        <v>-93.601281518192039</v>
      </c>
      <c r="CI145" s="77"/>
      <c r="CJ145" s="189"/>
      <c r="CK145" s="189"/>
      <c r="CL145" s="189"/>
      <c r="CM145" s="77"/>
      <c r="CN145" s="189">
        <v>4365.1583224016504</v>
      </c>
      <c r="CO145" s="189">
        <v>20.805185010072201</v>
      </c>
      <c r="CP145" s="189">
        <v>71.621833784632699</v>
      </c>
      <c r="CQ145" s="74"/>
      <c r="CR145" s="75"/>
      <c r="CS145" s="75"/>
      <c r="CT145" s="75"/>
      <c r="CU145" s="74"/>
      <c r="CV145" s="75"/>
      <c r="CW145" s="75"/>
      <c r="CX145" s="75"/>
      <c r="CY145" s="74"/>
      <c r="CZ145" s="75"/>
      <c r="DA145" s="75"/>
      <c r="DB145" s="75"/>
      <c r="DC145" s="74"/>
      <c r="DD145" s="75"/>
      <c r="DE145" s="75"/>
      <c r="DF145" s="75"/>
      <c r="DG145" s="74"/>
      <c r="DH145" s="75"/>
      <c r="DI145" s="75"/>
      <c r="DJ145" s="75"/>
      <c r="DK145" s="74"/>
      <c r="DL145" s="75"/>
      <c r="DM145" s="75"/>
      <c r="DN145" s="75"/>
      <c r="DO145" s="76"/>
    </row>
    <row r="146" spans="1:119" x14ac:dyDescent="0.25">
      <c r="A146" s="136">
        <v>97</v>
      </c>
      <c r="B146" s="136">
        <f t="shared" si="72"/>
        <v>812.83051616409898</v>
      </c>
      <c r="C146" s="136" t="str">
        <f t="shared" si="79"/>
        <v>5107.16475638947j</v>
      </c>
      <c r="D146" s="136">
        <f t="shared" si="73"/>
        <v>0.99998348266379977</v>
      </c>
      <c r="E146" s="136" t="str">
        <f t="shared" si="74"/>
        <v>-0.00638395594548684j</v>
      </c>
      <c r="F146" s="136" t="str">
        <f t="shared" si="80"/>
        <v>0.9999834826638-0.00638395594548684j</v>
      </c>
      <c r="G146" s="136">
        <f t="shared" si="81"/>
        <v>3.3529549708390878E-5</v>
      </c>
      <c r="H146" s="136">
        <f t="shared" si="82"/>
        <v>-0.36577480483345781</v>
      </c>
      <c r="I146" s="136"/>
      <c r="J146" s="136">
        <f t="shared" si="75"/>
        <v>7.0726915520628681</v>
      </c>
      <c r="K146" s="136" t="str">
        <f t="shared" si="76"/>
        <v>1+0.374862488342483j</v>
      </c>
      <c r="L146" s="136">
        <f t="shared" si="77"/>
        <v>0.99232701697943304</v>
      </c>
      <c r="M146" s="136" t="str">
        <f t="shared" si="78"/>
        <v>0.027434083675723j</v>
      </c>
      <c r="N146" s="136" t="str">
        <f t="shared" si="83"/>
        <v>0.992327016979433+0.027434083675723j</v>
      </c>
      <c r="O146" s="136" t="str">
        <f t="shared" si="84"/>
        <v>1.00216895062549+0.12337030943536j</v>
      </c>
      <c r="P146" s="136" t="str">
        <f t="shared" si="85"/>
        <v>7.08803187082861+0.872560145318853j</v>
      </c>
      <c r="Q146" s="136"/>
      <c r="R146" s="136">
        <f t="shared" si="86"/>
        <v>11.787819253438114</v>
      </c>
      <c r="S146" s="136" t="str">
        <f t="shared" si="87"/>
        <v>1+0.000119597968814862j</v>
      </c>
      <c r="T146" s="136" t="str">
        <f t="shared" si="88"/>
        <v>0.999034028669114+0.00973398020950081j</v>
      </c>
      <c r="U146" s="136" t="str">
        <f t="shared" si="111"/>
        <v>1.00087305517941-0.00963218495704646j</v>
      </c>
      <c r="V146" s="136" t="str">
        <f t="shared" si="112"/>
        <v>11.7981106700913-0.113542455289349j</v>
      </c>
      <c r="W146" s="136"/>
      <c r="X146" s="136" t="str">
        <f t="shared" si="89"/>
        <v>1.67209097129762+0.201996115652913j</v>
      </c>
      <c r="Y146" s="136">
        <f t="shared" si="113"/>
        <v>4.5281197675051956</v>
      </c>
      <c r="Z146" s="136">
        <f t="shared" si="114"/>
        <v>-173.11179073952994</v>
      </c>
      <c r="AA146" s="136"/>
      <c r="AB146" s="136" t="str">
        <f t="shared" si="90"/>
        <v>9.27481532446484-0.0892588087823784j</v>
      </c>
      <c r="AC146" s="136">
        <f t="shared" si="115"/>
        <v>19.34650763107382</v>
      </c>
      <c r="AD146" s="136">
        <f t="shared" si="116"/>
        <v>179.44861488112792</v>
      </c>
      <c r="AE146" s="136"/>
      <c r="AF146" s="136" t="str">
        <f t="shared" si="117"/>
        <v>3.4487619780443-0.294112491154123j</v>
      </c>
      <c r="AG146" s="136">
        <f t="shared" si="118"/>
        <v>10.784735420078258</v>
      </c>
      <c r="AH146" s="136">
        <f t="shared" si="119"/>
        <v>175.12557558138244</v>
      </c>
      <c r="AI146" s="136"/>
      <c r="AJ146" s="136" t="str">
        <f t="shared" si="91"/>
        <v>99967.1740614569-1811.49560089576j</v>
      </c>
      <c r="AK146" s="136" t="str">
        <f t="shared" si="92"/>
        <v>19047.6190092688-0.85468210896054j</v>
      </c>
      <c r="AL146" s="136" t="str">
        <f t="shared" si="93"/>
        <v>10000-12263307.4892523j</v>
      </c>
      <c r="AM146" s="136" t="str">
        <f t="shared" si="94"/>
        <v>963.138815489694-3805854.59003182j</v>
      </c>
      <c r="AN146" s="136" t="str">
        <f t="shared" si="120"/>
        <v>10963.1388154897-3805854.59003182j</v>
      </c>
      <c r="AO146" s="136" t="str">
        <f t="shared" si="121"/>
        <v>19046.8587855128-96.1785796060738j</v>
      </c>
      <c r="AP146" s="136" t="str">
        <f t="shared" si="122"/>
        <v>0.160007135229684+0.00242939795337467j</v>
      </c>
      <c r="AQ146" s="136" t="str">
        <f t="shared" si="95"/>
        <v>1+0.0289934469854211j</v>
      </c>
      <c r="AR146" s="136" t="str">
        <f t="shared" si="96"/>
        <v>1+0.0000578711516675072j</v>
      </c>
      <c r="AS146" s="136" t="str">
        <f t="shared" si="97"/>
        <v>9.07857308730999E-08j</v>
      </c>
      <c r="AT146" s="136" t="str">
        <f t="shared" si="123"/>
        <v>-5.25387480060266E-12+9.07857308730999E-08j</v>
      </c>
      <c r="AU146" s="179" t="str">
        <f t="shared" si="124"/>
        <v>318723.82871811-11014965.2915489j</v>
      </c>
      <c r="AV146" s="136" t="str">
        <f t="shared" si="98"/>
        <v>7999.98274767416-11.74811938314j</v>
      </c>
      <c r="AW146" s="136"/>
      <c r="AX146" s="136" t="str">
        <f t="shared" si="99"/>
        <v>0.499998921729635-0.00073425746144625j</v>
      </c>
      <c r="AY146" s="136"/>
      <c r="AZ146" s="136" t="str">
        <f t="shared" si="100"/>
        <v>4.89252125678299-110.104830610648j</v>
      </c>
      <c r="BA146" s="136" t="str">
        <f t="shared" si="101"/>
        <v>2.36541005951367-55.0558889527862j</v>
      </c>
      <c r="BB146" s="136">
        <f t="shared" si="125"/>
        <v>34.824084785667765</v>
      </c>
      <c r="BC146" s="136">
        <f t="shared" si="126"/>
        <v>92.460131299306951</v>
      </c>
      <c r="BD146" s="136" t="str">
        <f t="shared" si="102"/>
        <v>17.0245184042401-510.84433624553j</v>
      </c>
      <c r="BE146" s="136">
        <f t="shared" si="127"/>
        <v>54.170592416741592</v>
      </c>
      <c r="BF146" s="136">
        <f t="shared" si="128"/>
        <v>91.908746180434861</v>
      </c>
      <c r="BG146" s="136"/>
      <c r="BH146" s="136" t="str">
        <f t="shared" si="103"/>
        <v>-8.03488837687447-190.570353133003j</v>
      </c>
      <c r="BI146" s="136">
        <f t="shared" si="129"/>
        <v>45.608820205746028</v>
      </c>
      <c r="BJ146" s="136">
        <f t="shared" si="130"/>
        <v>87.585706880689386</v>
      </c>
      <c r="BK146" s="136"/>
      <c r="BL146" s="136">
        <f t="shared" si="131"/>
        <v>-44.608820205746028</v>
      </c>
      <c r="BM146" s="136">
        <f t="shared" si="132"/>
        <v>-87.585706880689386</v>
      </c>
      <c r="BN146" s="136"/>
      <c r="BO146" s="189"/>
      <c r="BP146" s="189" t="str">
        <f t="shared" si="104"/>
        <v>0.00001+1.81209043658882E-07j</v>
      </c>
      <c r="BQ146" s="189" t="str">
        <f t="shared" si="105"/>
        <v>2.62473099901267E-09+9.05284218303701E-08j</v>
      </c>
      <c r="BR146" s="189" t="str">
        <f t="shared" si="106"/>
        <v>-0.000417663940938161-0.00226430438694286j</v>
      </c>
      <c r="BS146" s="189" t="str">
        <f t="shared" si="107"/>
        <v>0.000062502624730999+2.71737465489252E-07j</v>
      </c>
      <c r="BT146" s="189" t="str">
        <f t="shared" si="133"/>
        <v>-2.5489796228924E-08-1.41638462314581E-07j</v>
      </c>
      <c r="BU146" s="189" t="str">
        <f t="shared" si="134"/>
        <v>-2.62473099901267E-09-9.05284218303701E-08j</v>
      </c>
      <c r="BV146" s="189" t="str">
        <f t="shared" si="135"/>
        <v>-2.81145272279367E-08-2.32166884144951E-07j</v>
      </c>
      <c r="BW146" s="189" t="str">
        <f t="shared" si="108"/>
        <v>0.999999916823622-0.000288403140424116j</v>
      </c>
      <c r="BX146" s="189" t="str">
        <f t="shared" si="136"/>
        <v>-0.00001-1.81209043658882E-07j</v>
      </c>
      <c r="BY146" s="189" t="str">
        <f t="shared" si="137"/>
        <v>5.89754504036456-42.3585162677131j</v>
      </c>
      <c r="BZ146" s="136">
        <f t="shared" si="138"/>
        <v>32.622196269202675</v>
      </c>
      <c r="CA146" s="136">
        <f t="shared" si="139"/>
        <v>97.92629478974591</v>
      </c>
      <c r="CB146" s="189" t="str">
        <f t="shared" si="109"/>
        <v>50.9177704132497-393.393823646422j</v>
      </c>
      <c r="CC146" s="136" t="str">
        <f t="shared" si="110"/>
        <v>7.88106035792346-147.818982013975j</v>
      </c>
      <c r="CD146" s="136">
        <f t="shared" si="140"/>
        <v>43.406931689280924</v>
      </c>
      <c r="CE146" s="136">
        <f t="shared" si="141"/>
        <v>93.051870371128331</v>
      </c>
      <c r="CF146" s="136"/>
      <c r="CG146" s="136">
        <f t="shared" si="142"/>
        <v>-42.406931689280924</v>
      </c>
      <c r="CH146" s="136">
        <f t="shared" si="143"/>
        <v>-93.051870371128331</v>
      </c>
      <c r="CI146" s="77"/>
      <c r="CJ146" s="189"/>
      <c r="CK146" s="189"/>
      <c r="CL146" s="189"/>
      <c r="CM146" s="77"/>
      <c r="CN146" s="189">
        <v>4570.8818961487405</v>
      </c>
      <c r="CO146" s="189">
        <v>20.261010925793599</v>
      </c>
      <c r="CP146" s="189">
        <v>71.488270743902703</v>
      </c>
      <c r="CQ146" s="74"/>
      <c r="CR146" s="75"/>
      <c r="CS146" s="75"/>
      <c r="CT146" s="75"/>
      <c r="CU146" s="74"/>
      <c r="CV146" s="75"/>
      <c r="CW146" s="75"/>
      <c r="CX146" s="75"/>
      <c r="CY146" s="74"/>
      <c r="CZ146" s="75"/>
      <c r="DA146" s="75"/>
      <c r="DB146" s="75"/>
      <c r="DC146" s="74"/>
      <c r="DD146" s="75"/>
      <c r="DE146" s="75"/>
      <c r="DF146" s="75"/>
      <c r="DG146" s="74"/>
      <c r="DH146" s="75"/>
      <c r="DI146" s="75"/>
      <c r="DJ146" s="75"/>
      <c r="DK146" s="74"/>
      <c r="DL146" s="75"/>
      <c r="DM146" s="75"/>
      <c r="DN146" s="75"/>
      <c r="DO146" s="76"/>
    </row>
    <row r="147" spans="1:119" x14ac:dyDescent="0.25">
      <c r="A147" s="136">
        <v>98</v>
      </c>
      <c r="B147" s="136">
        <f t="shared" si="72"/>
        <v>870.96358995608091</v>
      </c>
      <c r="C147" s="136" t="str">
        <f t="shared" si="79"/>
        <v>5472.42563150043j</v>
      </c>
      <c r="D147" s="136">
        <f t="shared" si="73"/>
        <v>0.99998103556062423</v>
      </c>
      <c r="E147" s="136" t="str">
        <f t="shared" si="74"/>
        <v>-0.00684053203937554j</v>
      </c>
      <c r="F147" s="136" t="str">
        <f t="shared" si="80"/>
        <v>0.999981035560624-0.00684053203937554j</v>
      </c>
      <c r="G147" s="136">
        <f t="shared" si="81"/>
        <v>3.8497253451493924E-5</v>
      </c>
      <c r="H147" s="136">
        <f t="shared" si="82"/>
        <v>-0.39193493501228965</v>
      </c>
      <c r="I147" s="136"/>
      <c r="J147" s="136">
        <f t="shared" si="75"/>
        <v>7.0726915520628681</v>
      </c>
      <c r="K147" s="136" t="str">
        <f t="shared" si="76"/>
        <v>1+0.401672393068377j</v>
      </c>
      <c r="L147" s="136">
        <f t="shared" si="77"/>
        <v>0.99119023675725193</v>
      </c>
      <c r="M147" s="136" t="str">
        <f t="shared" si="78"/>
        <v>0.029396150280041j</v>
      </c>
      <c r="N147" s="136" t="str">
        <f t="shared" si="83"/>
        <v>0.991190236757252+0.029396150280041j</v>
      </c>
      <c r="O147" s="136" t="str">
        <f t="shared" si="84"/>
        <v>1.00249080797114+0.132209247031838j</v>
      </c>
      <c r="P147" s="136" t="str">
        <f t="shared" si="85"/>
        <v>7.09030826855816+0.935075224586673j</v>
      </c>
      <c r="Q147" s="136"/>
      <c r="R147" s="136">
        <f t="shared" si="86"/>
        <v>11.787819253438114</v>
      </c>
      <c r="S147" s="136" t="str">
        <f t="shared" si="87"/>
        <v>1+0.00012815153245233j</v>
      </c>
      <c r="T147" s="136" t="str">
        <f t="shared" si="88"/>
        <v>0.998890916518181+0.0104301477112809j</v>
      </c>
      <c r="U147" s="136" t="str">
        <f t="shared" si="111"/>
        <v>1.0010025155258-0.0103239026337245j</v>
      </c>
      <c r="V147" s="136" t="str">
        <f t="shared" si="112"/>
        <v>11.799636725255-0.121696298236438j</v>
      </c>
      <c r="W147" s="136"/>
      <c r="X147" s="136" t="str">
        <f t="shared" si="89"/>
        <v>1.67269643715033+0.216467352056403j</v>
      </c>
      <c r="Y147" s="136">
        <f t="shared" si="113"/>
        <v>4.5404738615031262</v>
      </c>
      <c r="Z147" s="136">
        <f t="shared" si="114"/>
        <v>-172.62620822655256</v>
      </c>
      <c r="AA147" s="136"/>
      <c r="AB147" s="136" t="str">
        <f t="shared" si="90"/>
        <v>9.27601499788832-0.0956687662436738j</v>
      </c>
      <c r="AC147" s="136">
        <f t="shared" si="115"/>
        <v>19.347690775744766</v>
      </c>
      <c r="AD147" s="136">
        <f t="shared" si="116"/>
        <v>179.40909731186966</v>
      </c>
      <c r="AE147" s="136"/>
      <c r="AF147" s="136" t="str">
        <f t="shared" si="117"/>
        <v>3.44515950292811-0.314825623126742j</v>
      </c>
      <c r="AG147" s="136">
        <f t="shared" si="118"/>
        <v>10.780302595589692</v>
      </c>
      <c r="AH147" s="136">
        <f t="shared" si="119"/>
        <v>174.77869769371742</v>
      </c>
      <c r="AI147" s="136"/>
      <c r="AJ147" s="136" t="str">
        <f t="shared" si="91"/>
        <v>99962.3126126266-1940.95811345257j</v>
      </c>
      <c r="AK147" s="136" t="str">
        <f t="shared" si="92"/>
        <v>19047.619003587-0.915808379319231j</v>
      </c>
      <c r="AL147" s="136" t="str">
        <f t="shared" si="93"/>
        <v>10000-11444784.4563407j</v>
      </c>
      <c r="AM147" s="136" t="str">
        <f t="shared" si="94"/>
        <v>963.138770361312-3551830.23924544j</v>
      </c>
      <c r="AN147" s="136" t="str">
        <f t="shared" si="120"/>
        <v>10963.1387703613-3551830.23924544j</v>
      </c>
      <c r="AO147" s="136" t="str">
        <f t="shared" si="121"/>
        <v>19046.7461580652-103.056247570911j</v>
      </c>
      <c r="AP147" s="136" t="str">
        <f t="shared" si="122"/>
        <v>0.160008192329331+0.00260314348035692j</v>
      </c>
      <c r="AQ147" s="136" t="str">
        <f t="shared" si="95"/>
        <v>1+0.0310670381702618j</v>
      </c>
      <c r="AR147" s="136" t="str">
        <f t="shared" si="96"/>
        <v>1+0.0000620100562280674j</v>
      </c>
      <c r="AS147" s="136" t="str">
        <f t="shared" si="97"/>
        <v>9.72786632706321E-08j</v>
      </c>
      <c r="AT147" s="136" t="str">
        <f t="shared" si="123"/>
        <v>-6.03225537920313E-12+9.72786632706321E-08j</v>
      </c>
      <c r="AU147" s="179" t="str">
        <f t="shared" si="124"/>
        <v>318723.828559967-10279766.2817538j</v>
      </c>
      <c r="AV147" s="136" t="str">
        <f t="shared" si="98"/>
        <v>7999.98019168594-12.588332697307j</v>
      </c>
      <c r="AW147" s="136"/>
      <c r="AX147" s="136" t="str">
        <f t="shared" si="99"/>
        <v>0.499998761980371-0.000786770793581688j</v>
      </c>
      <c r="AY147" s="136"/>
      <c r="AZ147" s="136" t="str">
        <f t="shared" si="100"/>
        <v>4.89253930954321-102.749634902753j</v>
      </c>
      <c r="BA147" s="136" t="str">
        <f t="shared" si="101"/>
        <v>2.36542318591924-51.3785395523468j</v>
      </c>
      <c r="BB147" s="136">
        <f t="shared" si="125"/>
        <v>34.224830673254282</v>
      </c>
      <c r="BC147" s="136">
        <f t="shared" si="126"/>
        <v>92.635986395063611</v>
      </c>
      <c r="BD147" s="136" t="str">
        <f t="shared" si="102"/>
        <v>17.0263794585648-476.814400575008j</v>
      </c>
      <c r="BE147" s="136">
        <f t="shared" si="127"/>
        <v>53.572521448999041</v>
      </c>
      <c r="BF147" s="136">
        <f t="shared" si="128"/>
        <v>92.045083706933269</v>
      </c>
      <c r="BG147" s="136"/>
      <c r="BH147" s="136" t="str">
        <f t="shared" si="103"/>
        <v>-8.02602056249338-177.751959613801j</v>
      </c>
      <c r="BI147" s="136">
        <f t="shared" si="129"/>
        <v>45.005133268843984</v>
      </c>
      <c r="BJ147" s="136">
        <f t="shared" si="130"/>
        <v>87.414684088781044</v>
      </c>
      <c r="BK147" s="136"/>
      <c r="BL147" s="136">
        <f t="shared" si="131"/>
        <v>-44.005133268843984</v>
      </c>
      <c r="BM147" s="136">
        <f t="shared" si="132"/>
        <v>-87.414684088781044</v>
      </c>
      <c r="BN147" s="136"/>
      <c r="BO147" s="189"/>
      <c r="BP147" s="189" t="str">
        <f t="shared" si="104"/>
        <v>0.00001+1.94168988564136E-07j</v>
      </c>
      <c r="BQ147" s="189" t="str">
        <f t="shared" si="105"/>
        <v>3.01321944812562E-09+9.69908824784577E-08j</v>
      </c>
      <c r="BR147" s="189" t="str">
        <f t="shared" si="106"/>
        <v>-0.00042662301004457-0.00242598927646891j</v>
      </c>
      <c r="BS147" s="189" t="str">
        <f t="shared" si="107"/>
        <v>0.0000625030132194481+2.91159871042594E-07j</v>
      </c>
      <c r="BT147" s="189" t="str">
        <f t="shared" si="133"/>
        <v>-2.59588729116491E-08-1.51755855317964E-07j</v>
      </c>
      <c r="BU147" s="189" t="str">
        <f t="shared" si="134"/>
        <v>-3.01321944812562E-09-9.69908824784577E-08j</v>
      </c>
      <c r="BV147" s="189" t="str">
        <f t="shared" si="135"/>
        <v>-2.89720923597747E-08-2.48746737796422E-07j</v>
      </c>
      <c r="BW147" s="189" t="str">
        <f t="shared" si="108"/>
        <v>0.999999904500741-0.000309029528847458j</v>
      </c>
      <c r="BX147" s="189" t="str">
        <f t="shared" si="136"/>
        <v>-0.00001-1.94168988564136E-07j</v>
      </c>
      <c r="BY147" s="189" t="str">
        <f t="shared" si="137"/>
        <v>5.37760470383098-39.5754279071647j</v>
      </c>
      <c r="BZ147" s="136">
        <f t="shared" si="138"/>
        <v>32.027969341907571</v>
      </c>
      <c r="CA147" s="136">
        <f t="shared" si="139"/>
        <v>97.738095644164488</v>
      </c>
      <c r="CB147" s="189" t="str">
        <f t="shared" si="109"/>
        <v>46.0966095240071-367.61673162207j</v>
      </c>
      <c r="CC147" s="136" t="str">
        <f t="shared" si="110"/>
        <v>6.06734719701364-138.036669288628j</v>
      </c>
      <c r="CD147" s="136">
        <f t="shared" si="140"/>
        <v>42.808271937497288</v>
      </c>
      <c r="CE147" s="136">
        <f t="shared" si="141"/>
        <v>92.516793337881907</v>
      </c>
      <c r="CF147" s="136"/>
      <c r="CG147" s="136">
        <f t="shared" si="142"/>
        <v>-41.808271937497288</v>
      </c>
      <c r="CH147" s="136">
        <f t="shared" si="143"/>
        <v>-92.516793337881907</v>
      </c>
      <c r="CI147" s="77"/>
      <c r="CJ147" s="189"/>
      <c r="CK147" s="189"/>
      <c r="CL147" s="189"/>
      <c r="CM147" s="77"/>
      <c r="CN147" s="189">
        <v>4786.3009232263803</v>
      </c>
      <c r="CO147" s="189">
        <v>19.7136381830062</v>
      </c>
      <c r="CP147" s="189">
        <v>71.401359345444106</v>
      </c>
      <c r="CQ147" s="74"/>
      <c r="CR147" s="75"/>
      <c r="CS147" s="75"/>
      <c r="CT147" s="75"/>
      <c r="CU147" s="74"/>
      <c r="CV147" s="75"/>
      <c r="CW147" s="75"/>
      <c r="CX147" s="75"/>
      <c r="CY147" s="74"/>
      <c r="CZ147" s="75"/>
      <c r="DA147" s="75"/>
      <c r="DB147" s="75"/>
      <c r="DC147" s="74"/>
      <c r="DD147" s="75"/>
      <c r="DE147" s="75"/>
      <c r="DF147" s="75"/>
      <c r="DG147" s="74"/>
      <c r="DH147" s="75"/>
      <c r="DI147" s="75"/>
      <c r="DJ147" s="75"/>
      <c r="DK147" s="74"/>
      <c r="DL147" s="75"/>
      <c r="DM147" s="75"/>
      <c r="DN147" s="75"/>
      <c r="DO147" s="76"/>
    </row>
    <row r="148" spans="1:119" x14ac:dyDescent="0.25">
      <c r="A148" s="136">
        <v>99</v>
      </c>
      <c r="B148" s="136">
        <f t="shared" si="72"/>
        <v>933.25430079699106</v>
      </c>
      <c r="C148" s="136" t="str">
        <f t="shared" si="79"/>
        <v>5863.80971062981j</v>
      </c>
      <c r="D148" s="136">
        <f t="shared" si="73"/>
        <v>0.9999782259102511</v>
      </c>
      <c r="E148" s="136" t="str">
        <f t="shared" si="74"/>
        <v>-0.00732976213828726j</v>
      </c>
      <c r="F148" s="136" t="str">
        <f t="shared" si="80"/>
        <v>0.999978225910251-0.00732976213828726j</v>
      </c>
      <c r="G148" s="136">
        <f t="shared" si="81"/>
        <v>4.4200997632039937E-5</v>
      </c>
      <c r="H148" s="136">
        <f t="shared" si="82"/>
        <v>-0.41996605873130533</v>
      </c>
      <c r="I148" s="136"/>
      <c r="J148" s="136">
        <f t="shared" si="75"/>
        <v>7.0726915520628681</v>
      </c>
      <c r="K148" s="136" t="str">
        <f t="shared" si="76"/>
        <v>1+0.430399723553754j</v>
      </c>
      <c r="L148" s="136">
        <f t="shared" si="77"/>
        <v>0.98988503842830877</v>
      </c>
      <c r="M148" s="136" t="str">
        <f t="shared" si="78"/>
        <v>0.0314985425247299j</v>
      </c>
      <c r="N148" s="136" t="str">
        <f t="shared" si="83"/>
        <v>0.989885038428309+0.0314985425247299j</v>
      </c>
      <c r="O148" s="136" t="str">
        <f t="shared" si="84"/>
        <v>1.00286051522447+0.141683930657305j</v>
      </c>
      <c r="P148" s="136" t="str">
        <f t="shared" si="85"/>
        <v>7.09292309392553+1.00208673942298j</v>
      </c>
      <c r="Q148" s="136"/>
      <c r="R148" s="136">
        <f t="shared" si="86"/>
        <v>11.787819253438114</v>
      </c>
      <c r="S148" s="136" t="str">
        <f t="shared" si="87"/>
        <v>1+0.000137316841018455j</v>
      </c>
      <c r="T148" s="136" t="str">
        <f t="shared" si="88"/>
        <v>0.998726601783808+0.0111761046291173j</v>
      </c>
      <c r="U148" s="136" t="str">
        <f t="shared" si="111"/>
        <v>1.00115119222138-0.0110657447324164j</v>
      </c>
      <c r="V148" s="136" t="str">
        <f t="shared" si="112"/>
        <v>11.8013892992697-0.130440998810409j</v>
      </c>
      <c r="W148" s="136"/>
      <c r="X148" s="136" t="str">
        <f t="shared" si="89"/>
        <v>1.67339190082614+0.231979235206573j</v>
      </c>
      <c r="Y148" s="136">
        <f t="shared" si="113"/>
        <v>4.5546231057907232</v>
      </c>
      <c r="Z148" s="136">
        <f t="shared" si="114"/>
        <v>-172.10749393402557</v>
      </c>
      <c r="AA148" s="136"/>
      <c r="AB148" s="136" t="str">
        <f t="shared" si="90"/>
        <v>9.27739274393456-0.102543212937663j</v>
      </c>
      <c r="AC148" s="136">
        <f t="shared" si="115"/>
        <v>19.34904938527168</v>
      </c>
      <c r="AD148" s="136">
        <f t="shared" si="116"/>
        <v>179.36673435752408</v>
      </c>
      <c r="AE148" s="136"/>
      <c r="AF148" s="136" t="str">
        <f t="shared" si="117"/>
        <v>3.44103236172341-0.33694695800229j</v>
      </c>
      <c r="AG148" s="136">
        <f t="shared" si="118"/>
        <v>10.775218605333114</v>
      </c>
      <c r="AH148" s="136">
        <f t="shared" si="119"/>
        <v>174.4074086363533</v>
      </c>
      <c r="AI148" s="136"/>
      <c r="AJ148" s="136" t="str">
        <f t="shared" si="91"/>
        <v>99956.7315056087-2079.65797104244j</v>
      </c>
      <c r="AK148" s="136" t="str">
        <f t="shared" si="92"/>
        <v>19047.6189970635-0.98130635800284j</v>
      </c>
      <c r="AL148" s="136" t="str">
        <f t="shared" si="93"/>
        <v>10000-10680894.3155745j</v>
      </c>
      <c r="AM148" s="136" t="str">
        <f t="shared" si="94"/>
        <v>963.138718547002-3314760.92672296j</v>
      </c>
      <c r="AN148" s="136" t="str">
        <f t="shared" si="120"/>
        <v>10963.138718547-3314760.92672296j</v>
      </c>
      <c r="AO148" s="136" t="str">
        <f t="shared" si="121"/>
        <v>19046.616847043-110.425581174275j</v>
      </c>
      <c r="AP148" s="136" t="str">
        <f t="shared" si="122"/>
        <v>0.160009406038789+0.00278931440067281j</v>
      </c>
      <c r="AQ148" s="136" t="str">
        <f t="shared" si="95"/>
        <v>1+0.0332889311559891j</v>
      </c>
      <c r="AR148" s="136" t="str">
        <f t="shared" si="96"/>
        <v>1+0.0000664449723672438j</v>
      </c>
      <c r="AS148" s="136" t="str">
        <f t="shared" si="97"/>
        <v>1.04235965682191E-07j</v>
      </c>
      <c r="AT148" s="136" t="str">
        <f t="shared" si="123"/>
        <v>-6.92595585942615E-12+1.04235965682191E-07j</v>
      </c>
      <c r="AU148" s="179" t="str">
        <f t="shared" si="124"/>
        <v>318723.828378393-9593638.82631559j</v>
      </c>
      <c r="AV148" s="136" t="str">
        <f t="shared" si="98"/>
        <v>7999.97725702082-13.4886365578253j</v>
      </c>
      <c r="AW148" s="136"/>
      <c r="AX148" s="136" t="str">
        <f t="shared" si="99"/>
        <v>0.499998578563801-0.000843039784864081j</v>
      </c>
      <c r="AY148" s="136"/>
      <c r="AZ148" s="136" t="str">
        <f t="shared" si="100"/>
        <v>4.89256003684097-95.8849254869811j</v>
      </c>
      <c r="BA148" s="136" t="str">
        <f t="shared" si="101"/>
        <v>2.36543825700429-47.9464510719474j</v>
      </c>
      <c r="BB148" s="136">
        <f t="shared" si="125"/>
        <v>33.625686971219324</v>
      </c>
      <c r="BC148" s="136">
        <f t="shared" si="126"/>
        <v>92.824397405695535</v>
      </c>
      <c r="BD148" s="136" t="str">
        <f t="shared" si="102"/>
        <v>17.0285165798809-445.060616911177j</v>
      </c>
      <c r="BE148" s="136">
        <f t="shared" si="127"/>
        <v>52.974736356490993</v>
      </c>
      <c r="BF148" s="136">
        <f t="shared" si="128"/>
        <v>92.191131763219616</v>
      </c>
      <c r="BG148" s="136"/>
      <c r="BH148" s="136" t="str">
        <f t="shared" si="103"/>
        <v>-8.01586124368791-165.782316993399j</v>
      </c>
      <c r="BI148" s="136">
        <f t="shared" si="129"/>
        <v>44.400905576552447</v>
      </c>
      <c r="BJ148" s="136">
        <f t="shared" si="130"/>
        <v>87.231806042048831</v>
      </c>
      <c r="BK148" s="136"/>
      <c r="BL148" s="136">
        <f t="shared" si="131"/>
        <v>-43.400905576552447</v>
      </c>
      <c r="BM148" s="136">
        <f t="shared" si="132"/>
        <v>-87.231806042048831</v>
      </c>
      <c r="BN148" s="136"/>
      <c r="BO148" s="189"/>
      <c r="BP148" s="189" t="str">
        <f t="shared" si="104"/>
        <v>0.00001+2.08055819724932E-07j</v>
      </c>
      <c r="BQ148" s="189" t="str">
        <f t="shared" si="105"/>
        <v>3.45914466838753E-09+1.03912758633741E-07j</v>
      </c>
      <c r="BR148" s="189" t="str">
        <f t="shared" si="106"/>
        <v>-0.000436907061132287-0.00259917874467567j</v>
      </c>
      <c r="BS148" s="189" t="str">
        <f t="shared" si="107"/>
        <v>0.0000625034591446684+3.11968578358673E-07j</v>
      </c>
      <c r="BT148" s="189" t="str">
        <f t="shared" si="133"/>
        <v>-2.64973405476225E-08-1.62593963752263E-07j</v>
      </c>
      <c r="BU148" s="189" t="str">
        <f t="shared" si="134"/>
        <v>-3.45914466838753E-09-1.03912758633741E-07j</v>
      </c>
      <c r="BV148" s="189" t="str">
        <f t="shared" si="135"/>
        <v>-2.995648521601E-08-2.66506722386004E-07j</v>
      </c>
      <c r="BW148" s="189" t="str">
        <f t="shared" si="108"/>
        <v>0.999999890352182-0.000331131101363505j</v>
      </c>
      <c r="BX148" s="189" t="str">
        <f t="shared" si="136"/>
        <v>-0.00001-2.08055819724932E-07j</v>
      </c>
      <c r="BY148" s="189" t="str">
        <f t="shared" si="137"/>
        <v>4.92375959927454-36.9693086066376j</v>
      </c>
      <c r="BZ148" s="136">
        <f t="shared" si="138"/>
        <v>31.433187585634084</v>
      </c>
      <c r="CA148" s="136">
        <f t="shared" si="139"/>
        <v>97.586296184033756</v>
      </c>
      <c r="CB148" s="189" t="str">
        <f t="shared" si="109"/>
        <v>41.8886998945792-343.483693544539j</v>
      </c>
      <c r="CC148" s="136" t="str">
        <f t="shared" si="110"/>
        <v>4.4861200479956-128.87163312489j</v>
      </c>
      <c r="CD148" s="136">
        <f t="shared" si="140"/>
        <v>42.208406190967203</v>
      </c>
      <c r="CE148" s="136">
        <f t="shared" si="141"/>
        <v>91.993704820387052</v>
      </c>
      <c r="CF148" s="136"/>
      <c r="CG148" s="136">
        <f t="shared" si="142"/>
        <v>-41.208406190967203</v>
      </c>
      <c r="CH148" s="136">
        <f t="shared" si="143"/>
        <v>-91.993704820387052</v>
      </c>
      <c r="CI148" s="77"/>
      <c r="CJ148" s="189"/>
      <c r="CK148" s="189"/>
      <c r="CL148" s="189"/>
      <c r="CM148" s="77"/>
      <c r="CN148" s="189">
        <v>5011.8723362727196</v>
      </c>
      <c r="CO148" s="189">
        <v>19.1635553080847</v>
      </c>
      <c r="CP148" s="189">
        <v>71.363713788143897</v>
      </c>
      <c r="CQ148" s="74"/>
      <c r="CR148" s="75"/>
      <c r="CS148" s="75"/>
      <c r="CT148" s="75"/>
      <c r="CU148" s="74"/>
      <c r="CV148" s="75"/>
      <c r="CW148" s="75"/>
      <c r="CX148" s="75"/>
      <c r="CY148" s="74"/>
      <c r="CZ148" s="75"/>
      <c r="DA148" s="75"/>
      <c r="DB148" s="75"/>
      <c r="DC148" s="74"/>
      <c r="DD148" s="75"/>
      <c r="DE148" s="75"/>
      <c r="DF148" s="75"/>
      <c r="DG148" s="74"/>
      <c r="DH148" s="75"/>
      <c r="DI148" s="75"/>
      <c r="DJ148" s="75"/>
      <c r="DK148" s="74"/>
      <c r="DL148" s="75"/>
      <c r="DM148" s="75"/>
      <c r="DN148" s="75"/>
      <c r="DO148" s="76"/>
    </row>
    <row r="149" spans="1:119" x14ac:dyDescent="0.25">
      <c r="A149" s="136">
        <v>100</v>
      </c>
      <c r="B149" s="136">
        <f t="shared" si="72"/>
        <v>1000</v>
      </c>
      <c r="C149" s="136" t="str">
        <f t="shared" si="79"/>
        <v>6283.18530717959j</v>
      </c>
      <c r="D149" s="136">
        <f t="shared" si="73"/>
        <v>0.99997499999999995</v>
      </c>
      <c r="E149" s="136" t="str">
        <f t="shared" si="74"/>
        <v>-0.00785398163397449j</v>
      </c>
      <c r="F149" s="136" t="str">
        <f t="shared" si="80"/>
        <v>0.999975-0.00785398163397449j</v>
      </c>
      <c r="G149" s="136">
        <f t="shared" si="81"/>
        <v>5.0749847488075043E-5</v>
      </c>
      <c r="H149" s="136">
        <f t="shared" si="82"/>
        <v>-0.45000199717562184</v>
      </c>
      <c r="I149" s="136"/>
      <c r="J149" s="136">
        <f t="shared" si="75"/>
        <v>7.0726915520628681</v>
      </c>
      <c r="K149" s="136" t="str">
        <f t="shared" si="76"/>
        <v>1+0.461181612756777j</v>
      </c>
      <c r="L149" s="136">
        <f t="shared" si="77"/>
        <v>0.9883864702401608</v>
      </c>
      <c r="M149" s="136" t="str">
        <f t="shared" si="78"/>
        <v>0.0337512964020958j</v>
      </c>
      <c r="N149" s="136" t="str">
        <f t="shared" si="83"/>
        <v>0.988386470240161+0.0337512964020958j</v>
      </c>
      <c r="O149" s="136" t="str">
        <f t="shared" si="84"/>
        <v>1.0032852143501+0.151840657073239j</v>
      </c>
      <c r="P149" s="136" t="str">
        <f t="shared" si="85"/>
        <v>7.09592685984354+1.07392213254157j</v>
      </c>
      <c r="Q149" s="136"/>
      <c r="R149" s="136">
        <f t="shared" si="86"/>
        <v>11.787819253438114</v>
      </c>
      <c r="S149" s="136" t="str">
        <f t="shared" si="87"/>
        <v>1+0.000147137646085517j</v>
      </c>
      <c r="T149" s="136" t="str">
        <f t="shared" si="88"/>
        <v>0.998537943226471+0.0119754118674546j</v>
      </c>
      <c r="U149" s="136" t="str">
        <f t="shared" si="111"/>
        <v>1.00132194381545-0.0118614471521774j</v>
      </c>
      <c r="V149" s="136" t="str">
        <f t="shared" si="112"/>
        <v>11.8034020881978-0.139820595114075j</v>
      </c>
      <c r="W149" s="136"/>
      <c r="X149" s="136" t="str">
        <f t="shared" si="89"/>
        <v>1.67419079021763+0.248607500455691j</v>
      </c>
      <c r="Y149" s="136">
        <f t="shared" si="113"/>
        <v>4.5708225457784879</v>
      </c>
      <c r="Z149" s="136">
        <f t="shared" si="114"/>
        <v>-171.5536345345657</v>
      </c>
      <c r="AA149" s="136"/>
      <c r="AB149" s="136" t="str">
        <f t="shared" si="90"/>
        <v>9.27897505199365-0.109916768413377j</v>
      </c>
      <c r="AC149" s="136">
        <f t="shared" si="115"/>
        <v>19.350609512015215</v>
      </c>
      <c r="AD149" s="136">
        <f t="shared" si="116"/>
        <v>179.32131810419526</v>
      </c>
      <c r="AE149" s="136"/>
      <c r="AF149" s="136" t="str">
        <f t="shared" si="117"/>
        <v>3.4363056625335-0.360560709992984j</v>
      </c>
      <c r="AG149" s="136">
        <f t="shared" si="118"/>
        <v>10.769388733173233</v>
      </c>
      <c r="AH149" s="136">
        <f t="shared" si="119"/>
        <v>174.01005287498555</v>
      </c>
      <c r="AI149" s="136"/>
      <c r="AJ149" s="136" t="str">
        <f t="shared" si="91"/>
        <v>99950.3243058708-2228.25082482574j</v>
      </c>
      <c r="AK149" s="136" t="str">
        <f t="shared" si="92"/>
        <v>19047.6189895735-1.05148870653897j</v>
      </c>
      <c r="AL149" s="136" t="str">
        <f t="shared" si="93"/>
        <v>10000-9967990.55636804j</v>
      </c>
      <c r="AM149" s="136" t="str">
        <f t="shared" si="94"/>
        <v>963.138659056226-3093514.97696355j</v>
      </c>
      <c r="AN149" s="136" t="str">
        <f t="shared" si="120"/>
        <v>10963.1386590562-3093514.97696355j</v>
      </c>
      <c r="AO149" s="136" t="str">
        <f t="shared" si="121"/>
        <v>19046.4683815378-118.321693260458j</v>
      </c>
      <c r="AP149" s="136" t="str">
        <f t="shared" si="122"/>
        <v>0.160010799559306+0.00298879919342932j</v>
      </c>
      <c r="AQ149" s="136" t="str">
        <f t="shared" si="95"/>
        <v>1+0.0356697323843678j</v>
      </c>
      <c r="AR149" s="136" t="str">
        <f t="shared" si="96"/>
        <v>1+0.0000711970706274807j</v>
      </c>
      <c r="AS149" s="136" t="str">
        <f t="shared" si="97"/>
        <v>1.11690849528552E-07j</v>
      </c>
      <c r="AT149" s="136" t="str">
        <f t="shared" si="123"/>
        <v>-7.95206130232764E-12+1.11690849528552E-07j</v>
      </c>
      <c r="AU149" s="179" t="str">
        <f t="shared" si="124"/>
        <v>318723.828169919-8953307.62307243j</v>
      </c>
      <c r="AV149" s="136" t="str">
        <f t="shared" si="98"/>
        <v>7999.97388757709-14.453328385564j</v>
      </c>
      <c r="AW149" s="136"/>
      <c r="AX149" s="136" t="str">
        <f t="shared" si="99"/>
        <v>0.499998367973568-0.00090333302409775j</v>
      </c>
      <c r="AY149" s="136"/>
      <c r="AZ149" s="136" t="str">
        <f t="shared" si="100"/>
        <v>4.89258383490457-89.4779329484687j</v>
      </c>
      <c r="BA149" s="136" t="str">
        <f t="shared" si="101"/>
        <v>2.36545556086579-44.7432400764339j</v>
      </c>
      <c r="BB149" s="136">
        <f t="shared" si="125"/>
        <v>33.026670006878092</v>
      </c>
      <c r="BC149" s="136">
        <f t="shared" si="126"/>
        <v>93.026257464948571</v>
      </c>
      <c r="BD149" s="136" t="str">
        <f t="shared" si="102"/>
        <v>17.0309707783278-415.431411645668j</v>
      </c>
      <c r="BE149" s="136">
        <f t="shared" si="127"/>
        <v>52.377279518893296</v>
      </c>
      <c r="BF149" s="136">
        <f t="shared" si="128"/>
        <v>92.347575569143828</v>
      </c>
      <c r="BG149" s="136"/>
      <c r="BH149" s="136" t="str">
        <f t="shared" si="103"/>
        <v>-8.00422607107105-154.604339571228j</v>
      </c>
      <c r="BI149" s="136">
        <f t="shared" si="129"/>
        <v>43.796058740051308</v>
      </c>
      <c r="BJ149" s="136">
        <f t="shared" si="130"/>
        <v>87.036310339934118</v>
      </c>
      <c r="BK149" s="136"/>
      <c r="BL149" s="136">
        <f t="shared" si="131"/>
        <v>-42.796058740051308</v>
      </c>
      <c r="BM149" s="136">
        <f t="shared" si="132"/>
        <v>-87.036310339934118</v>
      </c>
      <c r="BN149" s="136"/>
      <c r="BO149" s="189"/>
      <c r="BP149" s="189" t="str">
        <f t="shared" si="104"/>
        <v>0.00001+2.22935827402299E-07j</v>
      </c>
      <c r="BQ149" s="189" t="str">
        <f t="shared" si="105"/>
        <v>3.97097825715881E-09+1.11326269969412E-07j</v>
      </c>
      <c r="BR149" s="189" t="str">
        <f t="shared" si="106"/>
        <v>-0.00044871165258569-0.0027846820318947j</v>
      </c>
      <c r="BS149" s="189" t="str">
        <f t="shared" si="107"/>
        <v>0.0000625039709782572+3.34262097371711E-07j</v>
      </c>
      <c r="BT149" s="189" t="str">
        <f t="shared" si="133"/>
        <v>-2.71154464543274E-08-1.74203672203329E-07j</v>
      </c>
      <c r="BU149" s="189" t="str">
        <f t="shared" si="134"/>
        <v>-3.97097825715881E-09-1.11326269969412E-07j</v>
      </c>
      <c r="BV149" s="189" t="str">
        <f t="shared" si="135"/>
        <v>-3.10864247114862E-08-2.85529942172741E-07j</v>
      </c>
      <c r="BW149" s="189" t="str">
        <f t="shared" si="108"/>
        <v>0.999999874107462-0.000354813361911741j</v>
      </c>
      <c r="BX149" s="189" t="str">
        <f t="shared" si="136"/>
        <v>-0.00001-2.22935827402299E-07j</v>
      </c>
      <c r="BY149" s="189" t="str">
        <f t="shared" si="137"/>
        <v>4.52771972293312-34.529924071636j</v>
      </c>
      <c r="BZ149" s="136">
        <f t="shared" si="138"/>
        <v>30.837948827373616</v>
      </c>
      <c r="CA149" s="136">
        <f t="shared" si="139"/>
        <v>97.470262475956844</v>
      </c>
      <c r="CB149" s="189" t="str">
        <f t="shared" si="109"/>
        <v>38.2171806840025-320.899976328172j</v>
      </c>
      <c r="CC149" s="136" t="str">
        <f t="shared" si="110"/>
        <v>3.10849498300676-120.287891452165j</v>
      </c>
      <c r="CD149" s="136">
        <f t="shared" si="140"/>
        <v>41.607337560546881</v>
      </c>
      <c r="CE149" s="136">
        <f t="shared" si="141"/>
        <v>91.480315350942362</v>
      </c>
      <c r="CF149" s="136"/>
      <c r="CG149" s="136">
        <f t="shared" si="142"/>
        <v>-40.607337560546881</v>
      </c>
      <c r="CH149" s="136">
        <f t="shared" si="143"/>
        <v>-91.480315350942362</v>
      </c>
      <c r="CI149" s="77"/>
      <c r="CJ149" s="189"/>
      <c r="CK149" s="189"/>
      <c r="CL149" s="189"/>
      <c r="CM149" s="77"/>
      <c r="CN149" s="189">
        <v>5248.0746024977198</v>
      </c>
      <c r="CO149" s="189">
        <v>18.611295392987</v>
      </c>
      <c r="CP149" s="189">
        <v>71.377692631167903</v>
      </c>
      <c r="CQ149" s="74"/>
      <c r="CR149" s="75"/>
      <c r="CS149" s="75"/>
      <c r="CT149" s="75"/>
      <c r="CU149" s="74"/>
      <c r="CV149" s="75"/>
      <c r="CW149" s="75"/>
      <c r="CX149" s="75"/>
      <c r="CY149" s="74"/>
      <c r="CZ149" s="75"/>
      <c r="DA149" s="75"/>
      <c r="DB149" s="75"/>
      <c r="DC149" s="74"/>
      <c r="DD149" s="75"/>
      <c r="DE149" s="75"/>
      <c r="DF149" s="75"/>
      <c r="DG149" s="74"/>
      <c r="DH149" s="75"/>
      <c r="DI149" s="75"/>
      <c r="DJ149" s="75"/>
      <c r="DK149" s="74"/>
      <c r="DL149" s="75"/>
      <c r="DM149" s="75"/>
      <c r="DN149" s="75"/>
      <c r="DO149" s="76"/>
    </row>
    <row r="150" spans="1:119" x14ac:dyDescent="0.25">
      <c r="A150" s="136">
        <v>101</v>
      </c>
      <c r="B150" s="136">
        <f t="shared" si="72"/>
        <v>1071.5193052376069</v>
      </c>
      <c r="C150" s="136" t="str">
        <f t="shared" si="79"/>
        <v>6732.55435502821j</v>
      </c>
      <c r="D150" s="136">
        <f t="shared" si="73"/>
        <v>0.99997129615946256</v>
      </c>
      <c r="E150" s="136" t="str">
        <f t="shared" si="74"/>
        <v>-0.00841569294378526j</v>
      </c>
      <c r="F150" s="136" t="str">
        <f t="shared" si="80"/>
        <v>0.999971296159463-0.00841569294378526j</v>
      </c>
      <c r="G150" s="136">
        <f t="shared" si="81"/>
        <v>5.8269032460498449E-5</v>
      </c>
      <c r="H150" s="136">
        <f t="shared" si="82"/>
        <v>-0.4821861444069146</v>
      </c>
      <c r="I150" s="136"/>
      <c r="J150" s="136">
        <f t="shared" si="75"/>
        <v>7.0726915520628681</v>
      </c>
      <c r="K150" s="136" t="str">
        <f t="shared" si="76"/>
        <v>1+0.494165001289501j</v>
      </c>
      <c r="L150" s="136">
        <f t="shared" si="77"/>
        <v>0.98666588374787889</v>
      </c>
      <c r="M150" s="136" t="str">
        <f t="shared" si="78"/>
        <v>0.0361651656716422j</v>
      </c>
      <c r="N150" s="136" t="str">
        <f t="shared" si="83"/>
        <v>0.986665883747879+0.0361651656716422j</v>
      </c>
      <c r="O150" s="136" t="str">
        <f t="shared" si="84"/>
        <v>1.00377312230107+0.162729225654928j</v>
      </c>
      <c r="P150" s="136" t="str">
        <f t="shared" si="85"/>
        <v>7.09937768228655+1.15093361956334j</v>
      </c>
      <c r="Q150" s="136"/>
      <c r="R150" s="136">
        <f t="shared" si="86"/>
        <v>11.787819253438114</v>
      </c>
      <c r="S150" s="136" t="str">
        <f t="shared" si="87"/>
        <v>1+0.000157660828307851j</v>
      </c>
      <c r="T150" s="136" t="str">
        <f t="shared" si="88"/>
        <v>0.998321334220639+0.0128318850041491j</v>
      </c>
      <c r="U150" s="136" t="str">
        <f t="shared" si="111"/>
        <v>1.00151805605419-0.0127150480125401j</v>
      </c>
      <c r="V150" s="136" t="str">
        <f t="shared" si="112"/>
        <v>11.8057138238215-0.14988268777061j</v>
      </c>
      <c r="W150" s="136"/>
      <c r="X150" s="136" t="str">
        <f t="shared" si="89"/>
        <v>1.67510855276582+0.266433602146692j</v>
      </c>
      <c r="Y150" s="136">
        <f t="shared" si="113"/>
        <v>4.5893616771504018</v>
      </c>
      <c r="Z150" s="136">
        <f t="shared" si="114"/>
        <v>-170.96255017068881</v>
      </c>
      <c r="AA150" s="136"/>
      <c r="AB150" s="136" t="str">
        <f t="shared" si="90"/>
        <v>9.28079237017181-0.11782685281389j</v>
      </c>
      <c r="AC150" s="136">
        <f t="shared" si="115"/>
        <v>19.352401086131763</v>
      </c>
      <c r="AD150" s="136">
        <f t="shared" si="116"/>
        <v>179.27262474672958</v>
      </c>
      <c r="AE150" s="136"/>
      <c r="AF150" s="136" t="str">
        <f t="shared" si="117"/>
        <v>3.43089430027893-0.385753459894117j</v>
      </c>
      <c r="AG150" s="136">
        <f t="shared" si="118"/>
        <v>10.762704780653179</v>
      </c>
      <c r="AH150" s="136">
        <f t="shared" si="119"/>
        <v>173.58487680617142</v>
      </c>
      <c r="AI150" s="136"/>
      <c r="AJ150" s="136" t="str">
        <f t="shared" si="91"/>
        <v>99942.9688691676-2387.4380690089j</v>
      </c>
      <c r="AK150" s="136" t="str">
        <f t="shared" si="92"/>
        <v>19047.6189809739-1.12669044778716j</v>
      </c>
      <c r="AL150" s="136" t="str">
        <f t="shared" si="93"/>
        <v>10000-9302670.05703431j</v>
      </c>
      <c r="AM150" s="136" t="str">
        <f t="shared" si="94"/>
        <v>963.138590751671-2887036.24896626j</v>
      </c>
      <c r="AN150" s="136" t="str">
        <f t="shared" si="120"/>
        <v>10963.1385907517-2887036.24896626j</v>
      </c>
      <c r="AO150" s="136" t="str">
        <f t="shared" si="121"/>
        <v>19046.2979248301-126.78219624003j</v>
      </c>
      <c r="AP150" s="136" t="str">
        <f t="shared" si="122"/>
        <v>0.160012399529144+0.00320254984052655j</v>
      </c>
      <c r="AQ150" s="136" t="str">
        <f t="shared" si="95"/>
        <v>1+0.0382208068625093j</v>
      </c>
      <c r="AR150" s="136" t="str">
        <f t="shared" si="96"/>
        <v>1+0.0000762890356537111j</v>
      </c>
      <c r="AS150" s="136" t="str">
        <f t="shared" si="97"/>
        <v>1.19678901488232E-07j</v>
      </c>
      <c r="AT150" s="136" t="str">
        <f t="shared" si="123"/>
        <v>-9.13018798263271E-12+1.19678901488232E-07j</v>
      </c>
      <c r="AU150" s="179" t="str">
        <f t="shared" si="124"/>
        <v>318723.827930561-8355715.98312835j</v>
      </c>
      <c r="AV150" s="136" t="str">
        <f t="shared" si="98"/>
        <v>7999.97001894157-15.4870129008415j</v>
      </c>
      <c r="AW150" s="136"/>
      <c r="AX150" s="136" t="str">
        <f t="shared" si="99"/>
        <v>0.499998126183848-0.000967938306302594j</v>
      </c>
      <c r="AY150" s="136"/>
      <c r="AZ150" s="136" t="str">
        <f t="shared" si="100"/>
        <v>4.89261115866057-83.4980728331904j</v>
      </c>
      <c r="BA150" s="136" t="str">
        <f t="shared" si="101"/>
        <v>2.36547542827878-41.753615702316j</v>
      </c>
      <c r="BB150" s="136">
        <f t="shared" si="125"/>
        <v>32.427798516844554</v>
      </c>
      <c r="BC150" s="136">
        <f t="shared" si="126"/>
        <v>93.242522467267122</v>
      </c>
      <c r="BD150" s="136" t="str">
        <f t="shared" si="102"/>
        <v>17.0337891747941-387.785354562263j</v>
      </c>
      <c r="BE150" s="136">
        <f t="shared" si="127"/>
        <v>51.780199602976317</v>
      </c>
      <c r="BF150" s="136">
        <f t="shared" si="128"/>
        <v>92.515147213996713</v>
      </c>
      <c r="BG150" s="136"/>
      <c r="BH150" s="136" t="str">
        <f t="shared" si="103"/>
        <v>-7.99090555592621-144.164732459866j</v>
      </c>
      <c r="BI150" s="136">
        <f t="shared" si="129"/>
        <v>43.190503297497742</v>
      </c>
      <c r="BJ150" s="136">
        <f t="shared" si="130"/>
        <v>86.827399273438559</v>
      </c>
      <c r="BK150" s="136"/>
      <c r="BL150" s="136">
        <f t="shared" si="131"/>
        <v>-42.190503297497742</v>
      </c>
      <c r="BM150" s="136">
        <f t="shared" si="132"/>
        <v>-86.827399273438559</v>
      </c>
      <c r="BN150" s="136"/>
      <c r="BO150" s="189"/>
      <c r="BP150" s="189" t="str">
        <f t="shared" si="104"/>
        <v>0.00001+2.38880042890683E-07j</v>
      </c>
      <c r="BQ150" s="189" t="str">
        <f t="shared" si="105"/>
        <v>4.55843489252034E-09+1.1926579438572E-07j</v>
      </c>
      <c r="BR150" s="189" t="str">
        <f t="shared" si="106"/>
        <v>-0.000462261079746961-0.00298336314468163j</v>
      </c>
      <c r="BS150" s="189" t="str">
        <f t="shared" si="107"/>
        <v>0.0000625045584348925+3.58145837276403E-07j</v>
      </c>
      <c r="BT150" s="189" t="str">
        <f t="shared" si="133"/>
        <v>-2.78249455798689E-08-1.86639352890704E-07j</v>
      </c>
      <c r="BU150" s="189" t="str">
        <f t="shared" si="134"/>
        <v>-4.55843489252034E-09-1.1926579438572E-07j</v>
      </c>
      <c r="BV150" s="189" t="str">
        <f t="shared" si="135"/>
        <v>-3.23833804723892E-08-3.05905147276424E-07j</v>
      </c>
      <c r="BW150" s="189" t="str">
        <f t="shared" si="108"/>
        <v>0.99999985545603-0.000380189359953611j</v>
      </c>
      <c r="BX150" s="189" t="str">
        <f t="shared" si="136"/>
        <v>-0.00001-2.38880042890683E-07j</v>
      </c>
      <c r="BY150" s="189" t="str">
        <f t="shared" si="137"/>
        <v>4.18220803347036-32.2474316894524j</v>
      </c>
      <c r="BZ150" s="136">
        <f t="shared" si="138"/>
        <v>30.242342601905825</v>
      </c>
      <c r="CA150" s="136">
        <f t="shared" si="139"/>
        <v>97.389512408284418</v>
      </c>
      <c r="CB150" s="189" t="str">
        <f t="shared" si="109"/>
        <v>35.0145910202039-299.774494391503j</v>
      </c>
      <c r="CC150" s="136" t="str">
        <f t="shared" si="110"/>
        <v>1.90915535770876-112.250830800884j</v>
      </c>
      <c r="CD150" s="136">
        <f t="shared" si="140"/>
        <v>41.005047382558971</v>
      </c>
      <c r="CE150" s="136">
        <f t="shared" si="141"/>
        <v>90.974389214455869</v>
      </c>
      <c r="CF150" s="136"/>
      <c r="CG150" s="136">
        <f t="shared" si="142"/>
        <v>-40.005047382558971</v>
      </c>
      <c r="CH150" s="136">
        <f t="shared" si="143"/>
        <v>-90.974389214455869</v>
      </c>
      <c r="CI150" s="77"/>
      <c r="CJ150" s="189"/>
      <c r="CK150" s="189"/>
      <c r="CL150" s="189"/>
      <c r="CM150" s="77"/>
      <c r="CN150" s="189">
        <v>5495.4087385762396</v>
      </c>
      <c r="CO150" s="189">
        <v>18.057431748408501</v>
      </c>
      <c r="CP150" s="189">
        <v>71.445363354212404</v>
      </c>
      <c r="CQ150" s="74"/>
      <c r="CR150" s="75"/>
      <c r="CS150" s="75"/>
      <c r="CT150" s="75"/>
      <c r="CU150" s="74"/>
      <c r="CV150" s="75"/>
      <c r="CW150" s="75"/>
      <c r="CX150" s="75"/>
      <c r="CY150" s="74"/>
      <c r="CZ150" s="75"/>
      <c r="DA150" s="75"/>
      <c r="DB150" s="75"/>
      <c r="DC150" s="74"/>
      <c r="DD150" s="75"/>
      <c r="DE150" s="75"/>
      <c r="DF150" s="75"/>
      <c r="DG150" s="74"/>
      <c r="DH150" s="75"/>
      <c r="DI150" s="75"/>
      <c r="DJ150" s="75"/>
      <c r="DK150" s="74"/>
      <c r="DL150" s="75"/>
      <c r="DM150" s="75"/>
      <c r="DN150" s="75"/>
      <c r="DO150" s="76"/>
    </row>
    <row r="151" spans="1:119" x14ac:dyDescent="0.25">
      <c r="A151" s="136">
        <v>102</v>
      </c>
      <c r="B151" s="136">
        <f t="shared" si="72"/>
        <v>1148.1536214968839</v>
      </c>
      <c r="C151" s="136" t="str">
        <f t="shared" si="79"/>
        <v>7214.06196497425j</v>
      </c>
      <c r="D151" s="136">
        <f t="shared" si="73"/>
        <v>0.9999670435815361</v>
      </c>
      <c r="E151" s="136" t="str">
        <f t="shared" si="74"/>
        <v>-0.00901757745621781j</v>
      </c>
      <c r="F151" s="136" t="str">
        <f t="shared" si="80"/>
        <v>0.999967043581536-0.00901757745621781j</v>
      </c>
      <c r="G151" s="136">
        <f t="shared" si="81"/>
        <v>6.6902342798259075E-5</v>
      </c>
      <c r="H151" s="136">
        <f t="shared" si="82"/>
        <v>-0.51667215248738352</v>
      </c>
      <c r="I151" s="136"/>
      <c r="J151" s="136">
        <f t="shared" si="75"/>
        <v>7.0726915520628681</v>
      </c>
      <c r="K151" s="136" t="str">
        <f t="shared" si="76"/>
        <v>1+0.529507338854467j</v>
      </c>
      <c r="L151" s="136">
        <f t="shared" si="77"/>
        <v>0.98469038613566673</v>
      </c>
      <c r="M151" s="136" t="str">
        <f t="shared" si="78"/>
        <v>0.038751673194281j</v>
      </c>
      <c r="N151" s="136" t="str">
        <f t="shared" si="83"/>
        <v>0.984690386135667+0.038751673194281j</v>
      </c>
      <c r="O151" s="136" t="str">
        <f t="shared" si="84"/>
        <v>1.00433369568953+0.174403233277946j</v>
      </c>
      <c r="P151" s="136" t="str">
        <f t="shared" si="85"/>
        <v>7.10334244495542+1.23350027465738j</v>
      </c>
      <c r="Q151" s="136"/>
      <c r="R151" s="136">
        <f t="shared" si="86"/>
        <v>11.787819253438114</v>
      </c>
      <c r="S151" s="136" t="str">
        <f t="shared" si="87"/>
        <v>1+0.000168936621211614j</v>
      </c>
      <c r="T151" s="136" t="str">
        <f t="shared" si="88"/>
        <v>0.998072633806143+0.0137496125045347j</v>
      </c>
      <c r="U151" s="136" t="str">
        <f t="shared" si="111"/>
        <v>1.00174330635071-0.0136309174395863j</v>
      </c>
      <c r="V151" s="136" t="str">
        <f t="shared" si="112"/>
        <v>11.8083690336037-0.160678791036381j</v>
      </c>
      <c r="W151" s="136"/>
      <c r="X151" s="136" t="str">
        <f t="shared" si="89"/>
        <v>1.67616296432191+0.285545192699609j</v>
      </c>
      <c r="Y151" s="136">
        <f t="shared" si="113"/>
        <v>4.6105685559353979</v>
      </c>
      <c r="Z151" s="136">
        <f t="shared" si="114"/>
        <v>-170.33210574143285</v>
      </c>
      <c r="AA151" s="136"/>
      <c r="AB151" s="136" t="str">
        <f t="shared" si="90"/>
        <v>9.28287970271736-0.126313962895652j</v>
      </c>
      <c r="AC151" s="136">
        <f t="shared" si="115"/>
        <v>19.354458495841079</v>
      </c>
      <c r="AD151" s="136">
        <f t="shared" si="116"/>
        <v>179.22041321491344</v>
      </c>
      <c r="AE151" s="136"/>
      <c r="AF151" s="136" t="str">
        <f t="shared" si="117"/>
        <v>3.42470171367914-0.412613539753784j</v>
      </c>
      <c r="AG151" s="136">
        <f t="shared" si="118"/>
        <v>10.755043240214711</v>
      </c>
      <c r="AH151" s="136">
        <f t="shared" si="119"/>
        <v>173.13002623640179</v>
      </c>
      <c r="AI151" s="136"/>
      <c r="AJ151" s="136" t="str">
        <f t="shared" si="91"/>
        <v>99934.5250328181-2557.96984870177j</v>
      </c>
      <c r="AK151" s="136" t="str">
        <f t="shared" si="92"/>
        <v>19047.6189711002-1.20727056520492j</v>
      </c>
      <c r="AL151" s="136" t="str">
        <f t="shared" si="93"/>
        <v>10000-8681756.83962267j</v>
      </c>
      <c r="AM151" s="136" t="str">
        <f t="shared" si="94"/>
        <v>963.138512327571-2694339.09462913j</v>
      </c>
      <c r="AN151" s="136" t="str">
        <f t="shared" si="120"/>
        <v>10963.1385123276-2694339.09462913j</v>
      </c>
      <c r="AO151" s="136" t="str">
        <f t="shared" si="121"/>
        <v>19046.102220275-135.847378169193j</v>
      </c>
      <c r="AP151" s="136" t="str">
        <f t="shared" si="122"/>
        <v>0.160014236532673+0.00343158635898123j</v>
      </c>
      <c r="AQ151" s="136" t="str">
        <f t="shared" si="95"/>
        <v>1+0.0409543324149366j</v>
      </c>
      <c r="AR151" s="136" t="str">
        <f t="shared" si="96"/>
        <v>1+0.0000817451744809114j</v>
      </c>
      <c r="AS151" s="136" t="str">
        <f t="shared" si="97"/>
        <v>1.2823825337427E-07j</v>
      </c>
      <c r="AT151" s="136" t="str">
        <f t="shared" si="123"/>
        <v>-1.0482858397207E-11+1.2823825337427E-07j</v>
      </c>
      <c r="AU151" s="179" t="str">
        <f t="shared" si="124"/>
        <v>318723.827655739-7798011.23942473j</v>
      </c>
      <c r="AV151" s="136" t="str">
        <f t="shared" si="98"/>
        <v>7999.9655771583-16.5946240899603j</v>
      </c>
      <c r="AW151" s="136"/>
      <c r="AX151" s="136" t="str">
        <f t="shared" si="99"/>
        <v>0.499997848572394-0.00103716400562252j</v>
      </c>
      <c r="AY151" s="136"/>
      <c r="AZ151" s="136" t="str">
        <f t="shared" si="100"/>
        <v>4.89264253042849-77.9167996500059j</v>
      </c>
      <c r="BA151" s="136" t="str">
        <f t="shared" si="101"/>
        <v>2.36549823901775-38.9633066653741j</v>
      </c>
      <c r="BB151" s="136">
        <f t="shared" si="125"/>
        <v>31.82909400091448</v>
      </c>
      <c r="BC151" s="136">
        <f t="shared" si="126"/>
        <v>93.474215300620898</v>
      </c>
      <c r="BD151" s="136" t="str">
        <f t="shared" si="102"/>
        <v>17.0370259173695-361.990484051546j</v>
      </c>
      <c r="BE151" s="136">
        <f t="shared" si="127"/>
        <v>51.183552496755553</v>
      </c>
      <c r="BF151" s="136">
        <f t="shared" si="128"/>
        <v>92.694628515534333</v>
      </c>
      <c r="BG151" s="136"/>
      <c r="BH151" s="136" t="str">
        <f t="shared" si="103"/>
        <v>-7.97566201084315-134.413739709195j</v>
      </c>
      <c r="BI151" s="136">
        <f t="shared" si="129"/>
        <v>42.584137241129191</v>
      </c>
      <c r="BJ151" s="136">
        <f t="shared" si="130"/>
        <v>86.604241537022688</v>
      </c>
      <c r="BK151" s="136"/>
      <c r="BL151" s="136">
        <f t="shared" si="131"/>
        <v>-41.584137241129191</v>
      </c>
      <c r="BM151" s="136">
        <f t="shared" si="132"/>
        <v>-86.604241537022688</v>
      </c>
      <c r="BN151" s="136"/>
      <c r="BO151" s="189"/>
      <c r="BP151" s="189" t="str">
        <f t="shared" si="104"/>
        <v>0.00001+2.55964577593354E-07j</v>
      </c>
      <c r="BQ151" s="189" t="str">
        <f t="shared" si="105"/>
        <v>5.23265269344718E-09+1.27767988998858E-07j</v>
      </c>
      <c r="BR151" s="189" t="str">
        <f t="shared" si="106"/>
        <v>-0.000477812557675973-0.00319614406150757j</v>
      </c>
      <c r="BS151" s="189" t="str">
        <f t="shared" si="107"/>
        <v>0.0000625052326526935+3.83732566592212E-07j</v>
      </c>
      <c r="BT151" s="189" t="str">
        <f t="shared" si="133"/>
        <v>-2.86393205179945E-08-1.99959080395162E-07j</v>
      </c>
      <c r="BU151" s="189" t="str">
        <f t="shared" si="134"/>
        <v>-5.23265269344718E-09-1.27767988998858E-07j</v>
      </c>
      <c r="BV151" s="189" t="str">
        <f t="shared" si="135"/>
        <v>-3.38719732114417E-08-3.2772706939402E-07j</v>
      </c>
      <c r="BW151" s="189" t="str">
        <f t="shared" si="108"/>
        <v>0.999999834041321-0.000407380230112293j</v>
      </c>
      <c r="BX151" s="189" t="str">
        <f t="shared" si="136"/>
        <v>-0.00001-2.55964577593354E-07j</v>
      </c>
      <c r="BY151" s="189" t="str">
        <f t="shared" si="137"/>
        <v>3.88084319091144-30.1124066955131j</v>
      </c>
      <c r="BZ151" s="136">
        <f t="shared" si="138"/>
        <v>29.646451751659978</v>
      </c>
      <c r="CA151" s="136">
        <f t="shared" si="139"/>
        <v>97.343716367467891</v>
      </c>
      <c r="CB151" s="189" t="str">
        <f t="shared" si="109"/>
        <v>32.2217830643049-280.020053596569j</v>
      </c>
      <c r="CC151" s="136" t="str">
        <f t="shared" si="110"/>
        <v>0.865943609293259-104.727299259358j</v>
      </c>
      <c r="CD151" s="136">
        <f t="shared" si="140"/>
        <v>40.401494991874671</v>
      </c>
      <c r="CE151" s="136">
        <f t="shared" si="141"/>
        <v>90.473742603869695</v>
      </c>
      <c r="CF151" s="136"/>
      <c r="CG151" s="136">
        <f t="shared" si="142"/>
        <v>-39.401494991874671</v>
      </c>
      <c r="CH151" s="136">
        <f t="shared" si="143"/>
        <v>-90.473742603869695</v>
      </c>
      <c r="CI151" s="77"/>
      <c r="CJ151" s="189"/>
      <c r="CK151" s="189"/>
      <c r="CL151" s="189"/>
      <c r="CM151" s="77"/>
      <c r="CN151" s="189">
        <v>5754.3993733715597</v>
      </c>
      <c r="CO151" s="189">
        <v>17.502572821120101</v>
      </c>
      <c r="CP151" s="189">
        <v>71.568471087450007</v>
      </c>
      <c r="CQ151" s="74"/>
      <c r="CR151" s="75"/>
      <c r="CS151" s="75"/>
      <c r="CT151" s="75"/>
      <c r="CU151" s="74"/>
      <c r="CV151" s="75"/>
      <c r="CW151" s="75"/>
      <c r="CX151" s="75"/>
      <c r="CY151" s="74"/>
      <c r="CZ151" s="75"/>
      <c r="DA151" s="75"/>
      <c r="DB151" s="75"/>
      <c r="DC151" s="74"/>
      <c r="DD151" s="75"/>
      <c r="DE151" s="75"/>
      <c r="DF151" s="75"/>
      <c r="DG151" s="74"/>
      <c r="DH151" s="75"/>
      <c r="DI151" s="75"/>
      <c r="DJ151" s="75"/>
      <c r="DK151" s="74"/>
      <c r="DL151" s="75"/>
      <c r="DM151" s="75"/>
      <c r="DN151" s="75"/>
      <c r="DO151" s="76"/>
    </row>
    <row r="152" spans="1:119" x14ac:dyDescent="0.25">
      <c r="A152" s="136">
        <v>103</v>
      </c>
      <c r="B152" s="136">
        <f t="shared" si="72"/>
        <v>1230.2687708123824</v>
      </c>
      <c r="C152" s="136" t="str">
        <f t="shared" si="79"/>
        <v>7730.00666465025j</v>
      </c>
      <c r="D152" s="136">
        <f t="shared" si="73"/>
        <v>0.99996216096878909</v>
      </c>
      <c r="E152" s="136" t="str">
        <f t="shared" si="74"/>
        <v>-0.00966250833081281j</v>
      </c>
      <c r="F152" s="136" t="str">
        <f t="shared" si="80"/>
        <v>0.999962160968789-0.00966250833081281j</v>
      </c>
      <c r="G152" s="136">
        <f t="shared" si="81"/>
        <v>7.6814881875207747E-5</v>
      </c>
      <c r="H152" s="136">
        <f t="shared" si="82"/>
        <v>-0.55362466571342384</v>
      </c>
      <c r="I152" s="136"/>
      <c r="J152" s="136">
        <f t="shared" si="75"/>
        <v>7.0726915520628681</v>
      </c>
      <c r="K152" s="136" t="str">
        <f t="shared" si="76"/>
        <v>1+0.567377335847552j</v>
      </c>
      <c r="L152" s="136">
        <f t="shared" si="77"/>
        <v>0.98242221139794683</v>
      </c>
      <c r="M152" s="136" t="str">
        <f t="shared" si="78"/>
        <v>0.0415231659379307j</v>
      </c>
      <c r="N152" s="136" t="str">
        <f t="shared" si="83"/>
        <v>0.982422211397947+0.0415231659379307j</v>
      </c>
      <c r="O152" s="136" t="str">
        <f t="shared" si="84"/>
        <v>1.00497782159295+0.186920400632443j</v>
      </c>
      <c r="P152" s="136" t="str">
        <f t="shared" si="85"/>
        <v>7.107898148791+1.32203033846129j</v>
      </c>
      <c r="Q152" s="136"/>
      <c r="R152" s="136">
        <f t="shared" si="86"/>
        <v>11.787819253438114</v>
      </c>
      <c r="S152" s="136" t="str">
        <f t="shared" si="87"/>
        <v>1+0.000181018850989857j</v>
      </c>
      <c r="T152" s="136" t="str">
        <f t="shared" si="88"/>
        <v>0.997787087524573+0.0147329752381453j</v>
      </c>
      <c r="U152" s="136" t="str">
        <f t="shared" si="111"/>
        <v>1.00200203818376-0.0146137914074614j</v>
      </c>
      <c r="V152" s="136" t="str">
        <f t="shared" si="112"/>
        <v>11.8114189176868-0.172264731718602j</v>
      </c>
      <c r="W152" s="136"/>
      <c r="X152" s="136" t="str">
        <f t="shared" si="89"/>
        <v>1.67737448687321+0.306036652271398j</v>
      </c>
      <c r="Y152" s="136">
        <f t="shared" si="113"/>
        <v>4.6348142339818192</v>
      </c>
      <c r="Z152" s="136">
        <f t="shared" si="114"/>
        <v>-169.66012600602843</v>
      </c>
      <c r="AA152" s="136"/>
      <c r="AB152" s="136" t="str">
        <f t="shared" si="90"/>
        <v>9.28527729945321-0.135421985628496j</v>
      </c>
      <c r="AC152" s="136">
        <f t="shared" si="115"/>
        <v>19.356821255501515</v>
      </c>
      <c r="AD152" s="136">
        <f t="shared" si="116"/>
        <v>179.16442364592154</v>
      </c>
      <c r="AE152" s="136"/>
      <c r="AF152" s="136" t="str">
        <f t="shared" si="117"/>
        <v>3.41761853870915-0.441230215551708j</v>
      </c>
      <c r="AG152" s="136">
        <f t="shared" si="118"/>
        <v>10.746263249865031</v>
      </c>
      <c r="AH152" s="136">
        <f t="shared" si="119"/>
        <v>172.64354463967581</v>
      </c>
      <c r="AI152" s="136"/>
      <c r="AJ152" s="136" t="str">
        <f t="shared" si="91"/>
        <v>99924.8319708772-2740.64822253374j</v>
      </c>
      <c r="AK152" s="136" t="str">
        <f t="shared" si="92"/>
        <v>19047.6189597636-1.29361371649227j</v>
      </c>
      <c r="AL152" s="136" t="str">
        <f t="shared" si="93"/>
        <v>10000-8102286.9090515j</v>
      </c>
      <c r="AM152" s="136" t="str">
        <f t="shared" si="94"/>
        <v>963.138422284679-2514503.65365335j</v>
      </c>
      <c r="AN152" s="136" t="str">
        <f t="shared" si="120"/>
        <v>10963.1384222847-2514503.65365335j</v>
      </c>
      <c r="AO152" s="136" t="str">
        <f t="shared" si="121"/>
        <v>19045.8775291998-145.56039080398j</v>
      </c>
      <c r="AP152" s="136" t="str">
        <f t="shared" si="122"/>
        <v>0.160016345684865+0.00367700165524666j</v>
      </c>
      <c r="AQ152" s="136" t="str">
        <f t="shared" si="95"/>
        <v>1+0.0438833578157229j</v>
      </c>
      <c r="AR152" s="136" t="str">
        <f t="shared" si="96"/>
        <v>1+0.0000875915325663131j</v>
      </c>
      <c r="AS152" s="136" t="str">
        <f t="shared" si="97"/>
        <v>1.37409764160482E-07j</v>
      </c>
      <c r="AT152" s="136" t="str">
        <f t="shared" si="123"/>
        <v>-1.20359318323923E-11+1.37409764160482E-07j</v>
      </c>
      <c r="AU152" s="179" t="str">
        <f t="shared" si="124"/>
        <v>318723.827340202-7277531.12923145j</v>
      </c>
      <c r="AV152" s="136" t="str">
        <f t="shared" si="98"/>
        <v>7999.96047731483-17.7814487401718j</v>
      </c>
      <c r="AW152" s="136"/>
      <c r="AX152" s="136" t="str">
        <f t="shared" si="99"/>
        <v>0.499997529832177-0.00111134054626074j</v>
      </c>
      <c r="AY152" s="136"/>
      <c r="AZ152" s="136" t="str">
        <f t="shared" si="100"/>
        <v>4.89267854990373-72.7074706059548j</v>
      </c>
      <c r="BA152" s="136" t="str">
        <f t="shared" si="101"/>
        <v>2.36552442911428-36.3589931353753j</v>
      </c>
      <c r="BB152" s="136">
        <f t="shared" si="125"/>
        <v>31.230581127407433</v>
      </c>
      <c r="BC152" s="136">
        <f t="shared" si="126"/>
        <v>93.722430323622248</v>
      </c>
      <c r="BD152" s="136" t="str">
        <f t="shared" si="102"/>
        <v>17.0407432371114-337.923677606119j</v>
      </c>
      <c r="BE152" s="136">
        <f t="shared" si="127"/>
        <v>50.587402382908948</v>
      </c>
      <c r="BF152" s="136">
        <f t="shared" si="128"/>
        <v>92.886853969543793</v>
      </c>
      <c r="BG152" s="136"/>
      <c r="BH152" s="136" t="str">
        <f t="shared" si="103"/>
        <v>-7.95822623565442-125.304909842008j</v>
      </c>
      <c r="BI152" s="136">
        <f t="shared" si="129"/>
        <v>41.976844377272442</v>
      </c>
      <c r="BJ152" s="136">
        <f t="shared" si="130"/>
        <v>86.365974963298044</v>
      </c>
      <c r="BK152" s="136"/>
      <c r="BL152" s="136">
        <f t="shared" si="131"/>
        <v>-40.976844377272442</v>
      </c>
      <c r="BM152" s="136">
        <f t="shared" si="132"/>
        <v>-86.365974963298044</v>
      </c>
      <c r="BN152" s="136"/>
      <c r="BO152" s="189"/>
      <c r="BP152" s="189" t="str">
        <f t="shared" si="104"/>
        <v>0.00001+2.74270986348268E-07j</v>
      </c>
      <c r="BQ152" s="189" t="str">
        <f t="shared" si="105"/>
        <v>6.00639909857877E-09+1.36871912213307E-07j</v>
      </c>
      <c r="BR152" s="189" t="str">
        <f t="shared" si="106"/>
        <v>-0.000495660999971474-0.00342400800601959j</v>
      </c>
      <c r="BS152" s="189" t="str">
        <f t="shared" si="107"/>
        <v>0.0000625060063990986+4.11142898561575E-07j</v>
      </c>
      <c r="BT152" s="189" t="str">
        <f t="shared" si="133"/>
        <v>-2.95740330597076E-08-2.14224853835058E-07j</v>
      </c>
      <c r="BU152" s="189" t="str">
        <f t="shared" si="134"/>
        <v>-6.00639909857877E-09-1.36871912213307E-07j</v>
      </c>
      <c r="BV152" s="189" t="str">
        <f t="shared" si="135"/>
        <v>-3.55804321582864E-08-3.51096766048365E-07j</v>
      </c>
      <c r="BW152" s="189" t="str">
        <f t="shared" si="108"/>
        <v>0.999999809453946-0.000436515770404682j</v>
      </c>
      <c r="BX152" s="189" t="str">
        <f t="shared" si="136"/>
        <v>-0.00001-2.74270986348268E-07j</v>
      </c>
      <c r="BY152" s="189" t="str">
        <f t="shared" si="137"/>
        <v>3.61803427071625-28.1158573641632j</v>
      </c>
      <c r="BZ152" s="136">
        <f t="shared" si="138"/>
        <v>29.05035392337404</v>
      </c>
      <c r="CA152" s="136">
        <f t="shared" si="139"/>
        <v>97.332697990226421</v>
      </c>
      <c r="CB152" s="189" t="str">
        <f t="shared" si="109"/>
        <v>29.7869462506228-261.553493523141j</v>
      </c>
      <c r="CC152" s="136" t="str">
        <f t="shared" si="110"/>
        <v>-0.0405048079259109-97.6856614006078j</v>
      </c>
      <c r="CD152" s="136">
        <f t="shared" si="140"/>
        <v>39.796617173239056</v>
      </c>
      <c r="CE152" s="136">
        <f t="shared" si="141"/>
        <v>89.976242629902231</v>
      </c>
      <c r="CF152" s="136"/>
      <c r="CG152" s="136">
        <f t="shared" si="142"/>
        <v>-38.796617173239056</v>
      </c>
      <c r="CH152" s="136">
        <f t="shared" si="143"/>
        <v>-89.976242629902231</v>
      </c>
      <c r="CI152" s="77"/>
      <c r="CJ152" s="189"/>
      <c r="CK152" s="189"/>
      <c r="CL152" s="189"/>
      <c r="CM152" s="77"/>
      <c r="CN152" s="189">
        <v>6025.5958607435696</v>
      </c>
      <c r="CO152" s="189">
        <v>16.947356489218901</v>
      </c>
      <c r="CP152" s="189">
        <v>71.748412257323906</v>
      </c>
      <c r="CQ152" s="74"/>
      <c r="CR152" s="75"/>
      <c r="CS152" s="75"/>
      <c r="CT152" s="75"/>
      <c r="CU152" s="74"/>
      <c r="CV152" s="75"/>
      <c r="CW152" s="75"/>
      <c r="CX152" s="75"/>
      <c r="CY152" s="74"/>
      <c r="CZ152" s="75"/>
      <c r="DA152" s="75"/>
      <c r="DB152" s="75"/>
      <c r="DC152" s="74"/>
      <c r="DD152" s="75"/>
      <c r="DE152" s="75"/>
      <c r="DF152" s="75"/>
      <c r="DG152" s="74"/>
      <c r="DH152" s="75"/>
      <c r="DI152" s="75"/>
      <c r="DJ152" s="75"/>
      <c r="DK152" s="74"/>
      <c r="DL152" s="75"/>
      <c r="DM152" s="75"/>
      <c r="DN152" s="75"/>
      <c r="DO152" s="76"/>
    </row>
    <row r="153" spans="1:119" x14ac:dyDescent="0.25">
      <c r="A153" s="136">
        <v>104</v>
      </c>
      <c r="B153" s="136">
        <f t="shared" si="72"/>
        <v>1318.2567385564089</v>
      </c>
      <c r="C153" s="136" t="str">
        <f t="shared" si="79"/>
        <v>8282.85137078811j</v>
      </c>
      <c r="D153" s="136">
        <f t="shared" si="73"/>
        <v>0.99995655497928126</v>
      </c>
      <c r="E153" s="136" t="str">
        <f t="shared" si="74"/>
        <v>-0.0103535642134851j</v>
      </c>
      <c r="F153" s="136" t="str">
        <f t="shared" si="80"/>
        <v>0.999956554979281-0.0103535642134851j</v>
      </c>
      <c r="G153" s="136">
        <f t="shared" si="81"/>
        <v>8.8196226967093388E-5</v>
      </c>
      <c r="H153" s="136">
        <f t="shared" si="82"/>
        <v>-0.59322010749666865</v>
      </c>
      <c r="I153" s="136"/>
      <c r="J153" s="136">
        <f t="shared" si="75"/>
        <v>7.0726915520628681</v>
      </c>
      <c r="K153" s="136" t="str">
        <f t="shared" si="76"/>
        <v>1+0.607955768714934j</v>
      </c>
      <c r="L153" s="136">
        <f t="shared" si="77"/>
        <v>0.97981799835864591</v>
      </c>
      <c r="M153" s="136" t="str">
        <f t="shared" si="78"/>
        <v>0.0444928739170774j</v>
      </c>
      <c r="N153" s="136" t="str">
        <f t="shared" si="83"/>
        <v>0.979817998358646+0.0444928739170774j</v>
      </c>
      <c r="O153" s="136" t="str">
        <f t="shared" si="84"/>
        <v>1.00571803893055+0.200342934642218j</v>
      </c>
      <c r="P153" s="136" t="str">
        <f t="shared" si="85"/>
        <v>7.11313347770134+1.4169637813595j</v>
      </c>
      <c r="Q153" s="136"/>
      <c r="R153" s="136">
        <f t="shared" si="86"/>
        <v>11.787819253438114</v>
      </c>
      <c r="S153" s="136" t="str">
        <f t="shared" si="87"/>
        <v>1+0.000193965193447561j</v>
      </c>
      <c r="T153" s="136" t="str">
        <f t="shared" si="88"/>
        <v>0.997459236527283+0.0157866673912603j</v>
      </c>
      <c r="U153" s="136" t="str">
        <f t="shared" si="111"/>
        <v>1.00229924701756-0.0156688103868211j</v>
      </c>
      <c r="V153" s="136" t="str">
        <f t="shared" si="112"/>
        <v>11.8149223617001-0.184701104756241j</v>
      </c>
      <c r="W153" s="136"/>
      <c r="X153" s="136" t="str">
        <f t="shared" si="89"/>
        <v>1.67876668337679+0.328009676434077j</v>
      </c>
      <c r="Y153" s="136">
        <f t="shared" si="113"/>
        <v>4.6625174932590854</v>
      </c>
      <c r="Z153" s="136">
        <f t="shared" si="114"/>
        <v>-168.94441521980917</v>
      </c>
      <c r="AA153" s="136"/>
      <c r="AB153" s="136" t="str">
        <f t="shared" si="90"/>
        <v>9.28803145197233-0.145198556340166j</v>
      </c>
      <c r="AC153" s="136">
        <f t="shared" si="115"/>
        <v>19.359534775093845</v>
      </c>
      <c r="AD153" s="136">
        <f t="shared" si="116"/>
        <v>179.10437567888323</v>
      </c>
      <c r="AE153" s="136"/>
      <c r="AF153" s="136" t="str">
        <f t="shared" si="117"/>
        <v>3.40952116624187-0.471692625832382j</v>
      </c>
      <c r="AG153" s="136">
        <f t="shared" si="118"/>
        <v>10.73620431238778</v>
      </c>
      <c r="AH153" s="136">
        <f t="shared" si="119"/>
        <v>172.12337244016879</v>
      </c>
      <c r="AI153" s="136"/>
      <c r="AJ153" s="136" t="str">
        <f t="shared" si="91"/>
        <v>99913.7051652934-2936.33047734072j</v>
      </c>
      <c r="AK153" s="136" t="str">
        <f t="shared" si="92"/>
        <v>19047.6189467475-1.38613206979443j</v>
      </c>
      <c r="AL153" s="136" t="str">
        <f t="shared" si="93"/>
        <v>10000-7561494.10416351j</v>
      </c>
      <c r="AM153" s="136" t="str">
        <f t="shared" si="94"/>
        <v>963.138318901614-2346671.46249264j</v>
      </c>
      <c r="AN153" s="136" t="str">
        <f t="shared" si="120"/>
        <v>10963.1383189016-2346671.46249264j</v>
      </c>
      <c r="AO153" s="136" t="str">
        <f t="shared" si="121"/>
        <v>19045.6195596347-155.967450343624j</v>
      </c>
      <c r="AP153" s="136" t="str">
        <f t="shared" si="122"/>
        <v>0.16001876730233+0.00393996672406081j</v>
      </c>
      <c r="AQ153" s="136" t="str">
        <f t="shared" si="95"/>
        <v>1+0.0470218650781966j</v>
      </c>
      <c r="AR153" s="136" t="str">
        <f t="shared" si="96"/>
        <v>1+0.000093856018120153j</v>
      </c>
      <c r="AS153" s="136" t="str">
        <f t="shared" si="97"/>
        <v>1.47237215026103E-07j</v>
      </c>
      <c r="AT153" s="136" t="str">
        <f t="shared" si="123"/>
        <v>-1.38190987214508E-11+1.47237215026103E-07j</v>
      </c>
      <c r="AU153" s="179" t="str">
        <f t="shared" si="124"/>
        <v>318723.826977916-6791791.08555363j</v>
      </c>
      <c r="AV153" s="136" t="str">
        <f t="shared" si="98"/>
        <v>7999.95462191911-19.0531516546402j</v>
      </c>
      <c r="AW153" s="136"/>
      <c r="AX153" s="136" t="str">
        <f t="shared" si="99"/>
        <v>0.499997163869944-0.00119082197841501j</v>
      </c>
      <c r="AY153" s="136"/>
      <c r="AZ153" s="136" t="str">
        <f t="shared" si="100"/>
        <v>4.89271990561839-67.8452184243343j</v>
      </c>
      <c r="BA153" s="136" t="str">
        <f t="shared" si="101"/>
        <v>2.36555449918915-33.9282431527019j</v>
      </c>
      <c r="BB153" s="136">
        <f t="shared" si="125"/>
        <v>30.632288197284492</v>
      </c>
      <c r="BC153" s="136">
        <f t="shared" si="126"/>
        <v>93.98833809113637</v>
      </c>
      <c r="BD153" s="136" t="str">
        <f t="shared" si="102"/>
        <v>17.045012664893-315.470064610686j</v>
      </c>
      <c r="BE153" s="136">
        <f t="shared" si="127"/>
        <v>49.99182297237833</v>
      </c>
      <c r="BF153" s="136">
        <f t="shared" si="128"/>
        <v>93.0927137700196</v>
      </c>
      <c r="BG153" s="136"/>
      <c r="BH153" s="136" t="str">
        <f t="shared" si="103"/>
        <v>-7.9382939676934-116.79487777581j</v>
      </c>
      <c r="BI153" s="136">
        <f t="shared" si="129"/>
        <v>41.368492509672265</v>
      </c>
      <c r="BJ153" s="136">
        <f t="shared" si="130"/>
        <v>86.111710531305192</v>
      </c>
      <c r="BK153" s="136"/>
      <c r="BL153" s="136">
        <f t="shared" si="131"/>
        <v>-40.368492509672265</v>
      </c>
      <c r="BM153" s="136">
        <f t="shared" si="132"/>
        <v>-86.111710531305192</v>
      </c>
      <c r="BN153" s="136"/>
      <c r="BO153" s="189"/>
      <c r="BP153" s="189" t="str">
        <f t="shared" si="104"/>
        <v>0.00001+2.93886656738729E-07j</v>
      </c>
      <c r="BQ153" s="189" t="str">
        <f t="shared" si="105"/>
        <v>6.89430566622663E-09+1.4661914525852E-07j</v>
      </c>
      <c r="BR153" s="189" t="str">
        <f t="shared" si="106"/>
        <v>-0.000516144474519503-0.00366800275630976j</v>
      </c>
      <c r="BS153" s="189" t="str">
        <f t="shared" si="107"/>
        <v>0.0000625068943056662+4.40505801997249E-07j</v>
      </c>
      <c r="BT153" s="189" t="str">
        <f t="shared" si="133"/>
        <v>-3.06468116193478E-08-2.29502825237241E-07j</v>
      </c>
      <c r="BU153" s="189" t="str">
        <f t="shared" si="134"/>
        <v>-6.89430566622663E-09-1.4661914525852E-07j</v>
      </c>
      <c r="BV153" s="189" t="str">
        <f t="shared" si="135"/>
        <v>-3.75411172855744E-08-3.76121970495761E-07j</v>
      </c>
      <c r="BW153" s="189" t="str">
        <f t="shared" si="108"/>
        <v>0.999999781223864-0.00046773506182508j</v>
      </c>
      <c r="BX153" s="189" t="str">
        <f t="shared" si="136"/>
        <v>-0.00001-2.93886656738729E-07j</v>
      </c>
      <c r="BY153" s="189" t="str">
        <f t="shared" si="137"/>
        <v>3.38888664018759-26.2492315178825j</v>
      </c>
      <c r="BZ153" s="136">
        <f t="shared" si="138"/>
        <v>28.454122983757323</v>
      </c>
      <c r="CA153" s="136">
        <f t="shared" si="139"/>
        <v>97.356435085788874</v>
      </c>
      <c r="CB153" s="189" t="str">
        <f t="shared" si="109"/>
        <v>27.6647351797958-244.295749375952j</v>
      </c>
      <c r="CC153" s="136" t="str">
        <f t="shared" si="110"/>
        <v>-0.827088211038259-91.0958232957622j</v>
      </c>
      <c r="CD153" s="136">
        <f t="shared" si="140"/>
        <v>39.190327296145128</v>
      </c>
      <c r="CE153" s="136">
        <f t="shared" si="141"/>
        <v>89.479807525957668</v>
      </c>
      <c r="CF153" s="136"/>
      <c r="CG153" s="136">
        <f t="shared" si="142"/>
        <v>-38.190327296145128</v>
      </c>
      <c r="CH153" s="136">
        <f t="shared" si="143"/>
        <v>-89.479807525957668</v>
      </c>
      <c r="CI153" s="77"/>
      <c r="CJ153" s="189"/>
      <c r="CK153" s="189"/>
      <c r="CL153" s="189"/>
      <c r="CM153" s="77"/>
      <c r="CN153" s="189">
        <v>6309.5734448019302</v>
      </c>
      <c r="CO153" s="189">
        <v>16.3924438620929</v>
      </c>
      <c r="CP153" s="189">
        <v>71.986213758959593</v>
      </c>
      <c r="CQ153" s="74"/>
      <c r="CR153" s="75"/>
      <c r="CS153" s="75"/>
      <c r="CT153" s="75"/>
      <c r="CU153" s="74"/>
      <c r="CV153" s="75"/>
      <c r="CW153" s="75"/>
      <c r="CX153" s="75"/>
      <c r="CY153" s="74"/>
      <c r="CZ153" s="75"/>
      <c r="DA153" s="75"/>
      <c r="DB153" s="75"/>
      <c r="DC153" s="74"/>
      <c r="DD153" s="75"/>
      <c r="DE153" s="75"/>
      <c r="DF153" s="75"/>
      <c r="DG153" s="74"/>
      <c r="DH153" s="75"/>
      <c r="DI153" s="75"/>
      <c r="DJ153" s="75"/>
      <c r="DK153" s="74"/>
      <c r="DL153" s="75"/>
      <c r="DM153" s="75"/>
      <c r="DN153" s="75"/>
      <c r="DO153" s="76"/>
    </row>
    <row r="154" spans="1:119" x14ac:dyDescent="0.25">
      <c r="A154" s="136">
        <v>105</v>
      </c>
      <c r="B154" s="136">
        <f t="shared" si="72"/>
        <v>1412.5375446227545</v>
      </c>
      <c r="C154" s="136" t="str">
        <f t="shared" si="79"/>
        <v>8875.23514621322j</v>
      </c>
      <c r="D154" s="136">
        <f t="shared" si="73"/>
        <v>0.99995011844212578</v>
      </c>
      <c r="E154" s="136" t="str">
        <f t="shared" si="74"/>
        <v>-0.0110940439327665j</v>
      </c>
      <c r="F154" s="136" t="str">
        <f t="shared" si="80"/>
        <v>0.999950118442126-0.0110940439327665j</v>
      </c>
      <c r="G154" s="136">
        <f t="shared" si="81"/>
        <v>1.0126405939821299E-4</v>
      </c>
      <c r="H154" s="136">
        <f t="shared" si="82"/>
        <v>-0.63564752368885924</v>
      </c>
      <c r="I154" s="136"/>
      <c r="J154" s="136">
        <f t="shared" si="75"/>
        <v>7.0726915520628681</v>
      </c>
      <c r="K154" s="136" t="str">
        <f t="shared" si="76"/>
        <v>1+0.65143634290862j</v>
      </c>
      <c r="L154" s="136">
        <f t="shared" si="77"/>
        <v>0.97682796172642339</v>
      </c>
      <c r="M154" s="136" t="str">
        <f t="shared" si="78"/>
        <v>0.0476749733476511j</v>
      </c>
      <c r="N154" s="136" t="str">
        <f t="shared" si="83"/>
        <v>0.976827961726423+0.0476749733476511j</v>
      </c>
      <c r="O154" s="136" t="str">
        <f t="shared" si="84"/>
        <v>1.00656879568586+0.2147379325797j</v>
      </c>
      <c r="P154" s="136" t="str">
        <f t="shared" si="85"/>
        <v>7.11915061781748+1.51877516166389j</v>
      </c>
      <c r="Q154" s="136"/>
      <c r="R154" s="136">
        <f t="shared" si="86"/>
        <v>11.787819253438114</v>
      </c>
      <c r="S154" s="136" t="str">
        <f t="shared" si="87"/>
        <v>1+0.000207837449323209j</v>
      </c>
      <c r="T154" s="136" t="str">
        <f t="shared" si="88"/>
        <v>0.997082813217433+0.0169157188751005j</v>
      </c>
      <c r="U154" s="136" t="str">
        <f t="shared" si="111"/>
        <v>1.00264067960968-0.0168015637193023j</v>
      </c>
      <c r="V154" s="136" t="str">
        <f t="shared" si="112"/>
        <v>11.8189471073833-0.198053796298259j</v>
      </c>
      <c r="W154" s="136"/>
      <c r="X154" s="136" t="str">
        <f t="shared" si="89"/>
        <v>1.68036669949412+0.351573930759983j</v>
      </c>
      <c r="Y154" s="136">
        <f t="shared" si="113"/>
        <v>4.6941498316635482</v>
      </c>
      <c r="Z154" s="136">
        <f t="shared" si="114"/>
        <v>-168.18278208485901</v>
      </c>
      <c r="AA154" s="136"/>
      <c r="AB154" s="136" t="str">
        <f t="shared" si="90"/>
        <v>9.2911954138967-0.155695469922331j</v>
      </c>
      <c r="AC154" s="136">
        <f t="shared" si="115"/>
        <v>19.362651246914989</v>
      </c>
      <c r="AD154" s="136">
        <f t="shared" si="116"/>
        <v>179.03996654253379</v>
      </c>
      <c r="AE154" s="136"/>
      <c r="AF154" s="136" t="str">
        <f t="shared" si="117"/>
        <v>3.40027021880408-0.504088428142461j</v>
      </c>
      <c r="AG154" s="136">
        <f t="shared" si="118"/>
        <v>10.724683764069427</v>
      </c>
      <c r="AH154" s="136">
        <f t="shared" si="119"/>
        <v>171.56734761669131</v>
      </c>
      <c r="AI154" s="136"/>
      <c r="AJ154" s="136" t="str">
        <f t="shared" si="91"/>
        <v>99900.9329386322-3145.93258893549j</v>
      </c>
      <c r="AK154" s="136" t="str">
        <f t="shared" si="92"/>
        <v>19047.6189318031-1.48526727122838j</v>
      </c>
      <c r="AL154" s="136" t="str">
        <f t="shared" si="93"/>
        <v>10000-7056796.89316166j</v>
      </c>
      <c r="AM154" s="136" t="str">
        <f t="shared" si="94"/>
        <v>963.138200202014-2190041.35638647j</v>
      </c>
      <c r="AN154" s="136" t="str">
        <f t="shared" si="120"/>
        <v>10963.138200202-2190041.35638647j</v>
      </c>
      <c r="AO154" s="136" t="str">
        <f t="shared" si="121"/>
        <v>19045.3233845299-167.118051595917j</v>
      </c>
      <c r="AP154" s="136" t="str">
        <f t="shared" si="122"/>
        <v>0.160021547673706+0.00422173621585422j</v>
      </c>
      <c r="AQ154" s="136" t="str">
        <f t="shared" si="95"/>
        <v>1+0.0503848361995658j</v>
      </c>
      <c r="AR154" s="136" t="str">
        <f t="shared" si="96"/>
        <v>1+0.000100568535328475j</v>
      </c>
      <c r="AS154" s="136" t="str">
        <f t="shared" si="97"/>
        <v>1.5776751834989E-07j</v>
      </c>
      <c r="AT154" s="136" t="str">
        <f t="shared" si="123"/>
        <v>-1.58664482428567E-11+1.5776751834989E-07j</v>
      </c>
      <c r="AU154" s="179" t="str">
        <f t="shared" si="124"/>
        <v>318723.826561957-6338472.37678753j</v>
      </c>
      <c r="AV154" s="136" t="str">
        <f t="shared" si="98"/>
        <v>7999.94789903587-20.4158026668228j</v>
      </c>
      <c r="AW154" s="136"/>
      <c r="AX154" s="136" t="str">
        <f t="shared" si="99"/>
        <v>0.499996743689742-0.00127598766667642j</v>
      </c>
      <c r="AY154" s="136"/>
      <c r="AZ154" s="136" t="str">
        <f t="shared" si="100"/>
        <v>4.89276738809957-63.3068326384564j</v>
      </c>
      <c r="BA154" s="136" t="str">
        <f t="shared" si="101"/>
        <v>2.36558902401813-31.6594532833828j</v>
      </c>
      <c r="BB154" s="136">
        <f t="shared" si="125"/>
        <v>30.034247675346997</v>
      </c>
      <c r="BC154" s="136">
        <f t="shared" si="126"/>
        <v>94.273190329910022</v>
      </c>
      <c r="BD154" s="136" t="str">
        <f t="shared" si="102"/>
        <v>17.0499164346813-294.522478647781j</v>
      </c>
      <c r="BE154" s="136">
        <f t="shared" si="127"/>
        <v>49.39689892226199</v>
      </c>
      <c r="BF154" s="136">
        <f t="shared" si="128"/>
        <v>93.313156872443827</v>
      </c>
      <c r="BG154" s="136"/>
      <c r="BH154" s="136" t="str">
        <f t="shared" si="103"/>
        <v>-7.91552213317146-108.843162195854j</v>
      </c>
      <c r="BI154" s="136">
        <f t="shared" si="129"/>
        <v>40.758931439416429</v>
      </c>
      <c r="BJ154" s="136">
        <f t="shared" si="130"/>
        <v>85.840537946601344</v>
      </c>
      <c r="BK154" s="136"/>
      <c r="BL154" s="136">
        <f t="shared" si="131"/>
        <v>-39.758931439416429</v>
      </c>
      <c r="BM154" s="136">
        <f t="shared" si="132"/>
        <v>-85.840537946601344</v>
      </c>
      <c r="BN154" s="136"/>
      <c r="BO154" s="189"/>
      <c r="BP154" s="189" t="str">
        <f t="shared" si="104"/>
        <v>0.00001+3.14905226247286E-07j</v>
      </c>
      <c r="BQ154" s="189" t="str">
        <f t="shared" si="105"/>
        <v>7.91313558443808E-09+1.57053911083396E-07j</v>
      </c>
      <c r="BR154" s="189" t="str">
        <f t="shared" si="106"/>
        <v>-0.000539650426686482-0.00392924394834081j</v>
      </c>
      <c r="BS154" s="189" t="str">
        <f t="shared" si="107"/>
        <v>0.0000625079131355844+4.71959137330682E-07j</v>
      </c>
      <c r="BT154" s="189" t="str">
        <f t="shared" si="133"/>
        <v>-3.18779794106789E-08-2.45863532361247E-07j</v>
      </c>
      <c r="BU154" s="189" t="str">
        <f t="shared" si="134"/>
        <v>-7.91313558443808E-09-1.57053911083396E-07j</v>
      </c>
      <c r="BV154" s="189" t="str">
        <f t="shared" si="135"/>
        <v>-3.9791114995117E-08-4.02917443444643E-07j</v>
      </c>
      <c r="BW154" s="189" t="str">
        <f t="shared" si="108"/>
        <v>0.999999748811395-0.000501187132237363j</v>
      </c>
      <c r="BX154" s="189" t="str">
        <f t="shared" si="136"/>
        <v>-0.00001-3.14905226247286E-07j</v>
      </c>
      <c r="BY154" s="189" t="str">
        <f t="shared" si="137"/>
        <v>3.18911812240601-24.5044162501643j</v>
      </c>
      <c r="BZ154" s="136">
        <f t="shared" si="138"/>
        <v>27.857830376124344</v>
      </c>
      <c r="CA154" s="136">
        <f t="shared" si="139"/>
        <v>97.415060801976779</v>
      </c>
      <c r="CB154" s="189" t="str">
        <f t="shared" si="109"/>
        <v>25.8154930700318-228.171851128448j</v>
      </c>
      <c r="CC154" s="136" t="str">
        <f t="shared" si="110"/>
        <v>-1.50852929422838-84.9292343460966j</v>
      </c>
      <c r="CD154" s="136">
        <f t="shared" si="140"/>
        <v>38.582514140193766</v>
      </c>
      <c r="CE154" s="136">
        <f t="shared" si="141"/>
        <v>88.982408418668086</v>
      </c>
      <c r="CF154" s="136"/>
      <c r="CG154" s="136">
        <f t="shared" si="142"/>
        <v>-37.582514140193766</v>
      </c>
      <c r="CH154" s="136">
        <f t="shared" si="143"/>
        <v>-88.982408418668086</v>
      </c>
      <c r="CI154" s="77"/>
      <c r="CJ154" s="189"/>
      <c r="CK154" s="189"/>
      <c r="CL154" s="189"/>
      <c r="CM154" s="77"/>
      <c r="CN154" s="189">
        <v>6606.93448007596</v>
      </c>
      <c r="CO154" s="189">
        <v>15.838512729386199</v>
      </c>
      <c r="CP154" s="189">
        <v>72.282518105867098</v>
      </c>
      <c r="CQ154" s="74"/>
      <c r="CR154" s="75"/>
      <c r="CS154" s="75"/>
      <c r="CT154" s="75"/>
      <c r="CU154" s="74"/>
      <c r="CV154" s="75"/>
      <c r="CW154" s="75"/>
      <c r="CX154" s="75"/>
      <c r="CY154" s="74"/>
      <c r="CZ154" s="75"/>
      <c r="DA154" s="75"/>
      <c r="DB154" s="75"/>
      <c r="DC154" s="74"/>
      <c r="DD154" s="75"/>
      <c r="DE154" s="75"/>
      <c r="DF154" s="75"/>
      <c r="DG154" s="74"/>
      <c r="DH154" s="75"/>
      <c r="DI154" s="75"/>
      <c r="DJ154" s="75"/>
      <c r="DK154" s="74"/>
      <c r="DL154" s="75"/>
      <c r="DM154" s="75"/>
      <c r="DN154" s="75"/>
      <c r="DO154" s="76"/>
    </row>
    <row r="155" spans="1:119" x14ac:dyDescent="0.25">
      <c r="A155" s="136">
        <v>106</v>
      </c>
      <c r="B155" s="136">
        <f t="shared" si="72"/>
        <v>1513.561248436208</v>
      </c>
      <c r="C155" s="136" t="str">
        <f t="shared" si="79"/>
        <v>9509.98579769077j</v>
      </c>
      <c r="D155" s="136">
        <f t="shared" si="73"/>
        <v>0.99994272830868081</v>
      </c>
      <c r="E155" s="136" t="str">
        <f t="shared" si="74"/>
        <v>-0.0118874822471135j</v>
      </c>
      <c r="F155" s="136" t="str">
        <f t="shared" si="80"/>
        <v>0.999942728308681-0.0118874822471135j</v>
      </c>
      <c r="G155" s="136">
        <f t="shared" si="81"/>
        <v>1.1626833378952832E-4</v>
      </c>
      <c r="H155" s="136">
        <f t="shared" si="82"/>
        <v>-0.68110948642569824</v>
      </c>
      <c r="I155" s="136"/>
      <c r="J155" s="136">
        <f t="shared" si="75"/>
        <v>7.0726915520628681</v>
      </c>
      <c r="K155" s="136" t="str">
        <f t="shared" si="76"/>
        <v>1+0.698026617559971j</v>
      </c>
      <c r="L155" s="136">
        <f t="shared" si="77"/>
        <v>0.97339494033872864</v>
      </c>
      <c r="M155" s="136" t="str">
        <f t="shared" si="78"/>
        <v>0.0510846543186965j</v>
      </c>
      <c r="N155" s="136" t="str">
        <f t="shared" si="83"/>
        <v>0.973394940338729+0.0510846543186965j</v>
      </c>
      <c r="O155" s="136" t="str">
        <f t="shared" si="84"/>
        <v>1.00754674827765+0.230177834589454j</v>
      </c>
      <c r="P155" s="136" t="str">
        <f t="shared" si="85"/>
        <v>7.12606737485175+1.62797682617296j</v>
      </c>
      <c r="Q155" s="136"/>
      <c r="R155" s="136">
        <f t="shared" si="86"/>
        <v>11.787819253438114</v>
      </c>
      <c r="S155" s="136" t="str">
        <f t="shared" si="87"/>
        <v>1+0.000222701839301161j</v>
      </c>
      <c r="T155" s="136" t="str">
        <f t="shared" si="88"/>
        <v>0.996650621431013+0.0181255193366423j</v>
      </c>
      <c r="U155" s="136" t="str">
        <f t="shared" si="111"/>
        <v>1.00303294890273-0.0180181408461276j</v>
      </c>
      <c r="V155" s="136" t="str">
        <f t="shared" si="112"/>
        <v>11.8235711069084-0.212394587577143j</v>
      </c>
      <c r="W155" s="136"/>
      <c r="X155" s="136" t="str">
        <f t="shared" si="89"/>
        <v>1.68220582390736+0.376847782972535j</v>
      </c>
      <c r="Y155" s="136">
        <f t="shared" si="113"/>
        <v>4.730240626795938</v>
      </c>
      <c r="Z155" s="136">
        <f t="shared" si="114"/>
        <v>-167.37307084801256</v>
      </c>
      <c r="AA155" s="136"/>
      <c r="AB155" s="136" t="str">
        <f t="shared" si="90"/>
        <v>9.29483046554649-0.166969155551974j</v>
      </c>
      <c r="AC155" s="136">
        <f t="shared" si="115"/>
        <v>19.366230667877456</v>
      </c>
      <c r="AD155" s="136">
        <f t="shared" si="116"/>
        <v>178.97086890087371</v>
      </c>
      <c r="AE155" s="136"/>
      <c r="AF155" s="136" t="str">
        <f t="shared" si="117"/>
        <v>3.38970897101281-0.538502099028382j</v>
      </c>
      <c r="AG155" s="136">
        <f t="shared" si="118"/>
        <v>10.711493981209504</v>
      </c>
      <c r="AH155" s="136">
        <f t="shared" si="119"/>
        <v>170.97320798255564</v>
      </c>
      <c r="AI155" s="136"/>
      <c r="AJ155" s="136" t="str">
        <f t="shared" si="91"/>
        <v>99886.2724866704-3370.43281874522j</v>
      </c>
      <c r="AK155" s="136" t="str">
        <f t="shared" si="92"/>
        <v>19047.6189146445-1.59149255312513j</v>
      </c>
      <c r="AL155" s="136" t="str">
        <f t="shared" si="93"/>
        <v>10000-6585786.050394j</v>
      </c>
      <c r="AM155" s="136" t="str">
        <f t="shared" si="94"/>
        <v>963.13806391666-2043865.64491515j</v>
      </c>
      <c r="AN155" s="136" t="str">
        <f t="shared" si="120"/>
        <v>10963.1380639167-2043865.64491515j</v>
      </c>
      <c r="AO155" s="136" t="str">
        <f t="shared" si="121"/>
        <v>19044.9833479184-179.065196309782j</v>
      </c>
      <c r="AP155" s="136" t="str">
        <f t="shared" si="122"/>
        <v>0.160024739944118+0.00452365439832644j</v>
      </c>
      <c r="AQ155" s="136" t="str">
        <f t="shared" si="95"/>
        <v>1+0.0539883246790693j</v>
      </c>
      <c r="AR155" s="136" t="str">
        <f t="shared" si="96"/>
        <v>1+0.000107761127103931j</v>
      </c>
      <c r="AS155" s="136" t="str">
        <f t="shared" si="97"/>
        <v>1.69050941651336E-07j</v>
      </c>
      <c r="AT155" s="136" t="str">
        <f t="shared" si="123"/>
        <v>-1.82171200103288E-11+1.69050941651336E-07j</v>
      </c>
      <c r="AU155" s="179" t="str">
        <f t="shared" si="124"/>
        <v>318723.82608437-5915411.03800936j</v>
      </c>
      <c r="AV155" s="136" t="str">
        <f t="shared" si="98"/>
        <v>7999.94018014707-21.8759055820539j</v>
      </c>
      <c r="AW155" s="136"/>
      <c r="AX155" s="136" t="str">
        <f t="shared" si="99"/>
        <v>0.499996261259192-0.00136724409887837j</v>
      </c>
      <c r="AY155" s="136"/>
      <c r="AZ155" s="136" t="str">
        <f t="shared" si="100"/>
        <v>4.89282190497593-59.0706487944397j</v>
      </c>
      <c r="BA155" s="136" t="str">
        <f t="shared" si="101"/>
        <v>2.36562866351393-29.5417932292511j</v>
      </c>
      <c r="BB155" s="136">
        <f t="shared" si="125"/>
        <v>29.436496797925095</v>
      </c>
      <c r="BC155" s="136">
        <f t="shared" si="126"/>
        <v>94.57832516222021</v>
      </c>
      <c r="BD155" s="136" t="str">
        <f t="shared" si="102"/>
        <v>17.0555491028202-274.980946734414j</v>
      </c>
      <c r="BE155" s="136">
        <f t="shared" si="127"/>
        <v>48.802727465802533</v>
      </c>
      <c r="BF155" s="136">
        <f t="shared" si="128"/>
        <v>93.549194063093935</v>
      </c>
      <c r="BG155" s="136"/>
      <c r="BH155" s="136" t="str">
        <f t="shared" si="103"/>
        <v>-7.88952496021593-101.411977529822j</v>
      </c>
      <c r="BI155" s="136">
        <f t="shared" si="129"/>
        <v>40.147990779134602</v>
      </c>
      <c r="BJ155" s="136">
        <f t="shared" si="130"/>
        <v>85.55153314477586</v>
      </c>
      <c r="BK155" s="136"/>
      <c r="BL155" s="136">
        <f t="shared" si="131"/>
        <v>-39.147990779134602</v>
      </c>
      <c r="BM155" s="136">
        <f t="shared" si="132"/>
        <v>-85.55153314477586</v>
      </c>
      <c r="BN155" s="136"/>
      <c r="BO155" s="189"/>
      <c r="BP155" s="189" t="str">
        <f t="shared" si="104"/>
        <v>0.00001+3.37427029244183E-07j</v>
      </c>
      <c r="BQ155" s="189" t="str">
        <f t="shared" si="105"/>
        <v>9.08208808698441E-09+1.68223187901688E-07j</v>
      </c>
      <c r="BR155" s="189" t="str">
        <f t="shared" si="106"/>
        <v>-0.000566622770834655-0.00420891831893648j</v>
      </c>
      <c r="BS155" s="189" t="str">
        <f t="shared" si="107"/>
        <v>0.000062509082088087+5.05650217145871E-07j</v>
      </c>
      <c r="BT155" s="189" t="str">
        <f t="shared" si="133"/>
        <v>-3.32908288331633E-08-2.63382133627566E-07j</v>
      </c>
      <c r="BU155" s="189" t="str">
        <f t="shared" si="134"/>
        <v>-9.08208808698441E-09-1.68223187901688E-07j</v>
      </c>
      <c r="BV155" s="189" t="str">
        <f t="shared" si="135"/>
        <v>-4.23729169201477E-08-4.31605321529254E-07j</v>
      </c>
      <c r="BW155" s="189" t="str">
        <f t="shared" si="108"/>
        <v>0.999999711596905-0.000537031667743642j</v>
      </c>
      <c r="BX155" s="189" t="str">
        <f t="shared" si="136"/>
        <v>-0.00001-3.37427029244183E-07j</v>
      </c>
      <c r="BY155" s="189" t="str">
        <f t="shared" si="137"/>
        <v>3.01498455590119-22.87373241805j</v>
      </c>
      <c r="BZ155" s="136">
        <f t="shared" si="138"/>
        <v>27.261546439799801</v>
      </c>
      <c r="CA155" s="136">
        <f t="shared" si="139"/>
        <v>97.508865090985964</v>
      </c>
      <c r="CB155" s="189" t="str">
        <f t="shared" si="109"/>
        <v>24.2045625171789-213.110874365351j</v>
      </c>
      <c r="CC155" s="136" t="str">
        <f t="shared" si="110"/>
        <v>-2.09763272313017-79.1588714899018j</v>
      </c>
      <c r="CD155" s="136">
        <f t="shared" si="140"/>
        <v>37.97304042100933</v>
      </c>
      <c r="CE155" s="136">
        <f t="shared" si="141"/>
        <v>88.482073073541571</v>
      </c>
      <c r="CF155" s="136"/>
      <c r="CG155" s="136">
        <f t="shared" si="142"/>
        <v>-36.97304042100933</v>
      </c>
      <c r="CH155" s="136">
        <f t="shared" si="143"/>
        <v>-88.482073073541571</v>
      </c>
      <c r="CI155" s="77"/>
      <c r="CJ155" s="189"/>
      <c r="CK155" s="189"/>
      <c r="CL155" s="189"/>
      <c r="CM155" s="77"/>
      <c r="CN155" s="189">
        <v>6918.3097091893596</v>
      </c>
      <c r="CO155" s="189">
        <v>15.286250812996901</v>
      </c>
      <c r="CP155" s="189">
        <v>72.637574844327105</v>
      </c>
      <c r="CQ155" s="74"/>
      <c r="CR155" s="75"/>
      <c r="CS155" s="75"/>
      <c r="CT155" s="75"/>
      <c r="CU155" s="74"/>
      <c r="CV155" s="75"/>
      <c r="CW155" s="75"/>
      <c r="CX155" s="75"/>
      <c r="CY155" s="74"/>
      <c r="CZ155" s="75"/>
      <c r="DA155" s="75"/>
      <c r="DB155" s="75"/>
      <c r="DC155" s="74"/>
      <c r="DD155" s="75"/>
      <c r="DE155" s="75"/>
      <c r="DF155" s="75"/>
      <c r="DG155" s="74"/>
      <c r="DH155" s="75"/>
      <c r="DI155" s="75"/>
      <c r="DJ155" s="75"/>
      <c r="DK155" s="74"/>
      <c r="DL155" s="75"/>
      <c r="DM155" s="75"/>
      <c r="DN155" s="75"/>
      <c r="DO155" s="76"/>
    </row>
    <row r="156" spans="1:119" x14ac:dyDescent="0.25">
      <c r="A156" s="136">
        <v>107</v>
      </c>
      <c r="B156" s="136">
        <f t="shared" si="72"/>
        <v>1621.8100973589308</v>
      </c>
      <c r="C156" s="136" t="str">
        <f t="shared" si="79"/>
        <v>10190.1333747611j</v>
      </c>
      <c r="D156" s="136">
        <f t="shared" si="73"/>
        <v>0.99993424330020264</v>
      </c>
      <c r="E156" s="136" t="str">
        <f t="shared" si="74"/>
        <v>-0.0127376667184514j</v>
      </c>
      <c r="F156" s="136" t="str">
        <f t="shared" si="80"/>
        <v>0.999934243300203-0.0127376667184514j</v>
      </c>
      <c r="G156" s="136">
        <f t="shared" si="81"/>
        <v>1.3349606682449929E-4</v>
      </c>
      <c r="H156" s="136">
        <f t="shared" si="82"/>
        <v>-0.72982306286510956</v>
      </c>
      <c r="I156" s="136"/>
      <c r="J156" s="136">
        <f t="shared" si="75"/>
        <v>7.0726915520628681</v>
      </c>
      <c r="K156" s="136" t="str">
        <f t="shared" si="76"/>
        <v>1+0.747948996285215j</v>
      </c>
      <c r="L156" s="136">
        <f t="shared" si="77"/>
        <v>0.96945330439977084</v>
      </c>
      <c r="M156" s="136" t="str">
        <f t="shared" si="78"/>
        <v>0.0547381933038729j</v>
      </c>
      <c r="N156" s="136" t="str">
        <f t="shared" si="83"/>
        <v>0.969453304399771+0.0547381933038729j</v>
      </c>
      <c r="O156" s="136" t="str">
        <f t="shared" si="84"/>
        <v>1.00867111064226+0.246740932712502j</v>
      </c>
      <c r="P156" s="136" t="str">
        <f t="shared" si="85"/>
        <v>7.13401964304938+1.74512251034383j</v>
      </c>
      <c r="Q156" s="136"/>
      <c r="R156" s="136">
        <f t="shared" si="86"/>
        <v>11.787819253438114</v>
      </c>
      <c r="S156" s="136" t="str">
        <f t="shared" si="87"/>
        <v>1+0.000238629320123117j</v>
      </c>
      <c r="T156" s="136" t="str">
        <f t="shared" si="88"/>
        <v>0.996154398866253+0.0194218438866698j</v>
      </c>
      <c r="U156" s="136" t="str">
        <f t="shared" si="111"/>
        <v>1.00348366708944-0.0193251907804862j</v>
      </c>
      <c r="V156" s="136" t="str">
        <f t="shared" si="112"/>
        <v>11.8288840914276-0.22780185595858j</v>
      </c>
      <c r="W156" s="136"/>
      <c r="X156" s="136" t="str">
        <f t="shared" si="89"/>
        <v>1.68432014121112+0.403959125495599j</v>
      </c>
      <c r="Y156" s="136">
        <f t="shared" si="113"/>
        <v>4.7713823720705637</v>
      </c>
      <c r="Z156" s="136">
        <f t="shared" si="114"/>
        <v>-166.51319939975474</v>
      </c>
      <c r="AA156" s="136"/>
      <c r="AB156" s="136" t="str">
        <f t="shared" si="90"/>
        <v>9.29900714701823-0.179081227805589j</v>
      </c>
      <c r="AC156" s="136">
        <f t="shared" si="115"/>
        <v>19.370342018868641</v>
      </c>
      <c r="AD156" s="136">
        <f t="shared" si="116"/>
        <v>178.89672841427961</v>
      </c>
      <c r="AE156" s="136"/>
      <c r="AF156" s="136" t="str">
        <f t="shared" si="117"/>
        <v>3.37766175084247-0.575012827717129j</v>
      </c>
      <c r="AG156" s="136">
        <f t="shared" si="118"/>
        <v>10.696399317845239</v>
      </c>
      <c r="AH156" s="136">
        <f t="shared" si="119"/>
        <v>170.33859555796158</v>
      </c>
      <c r="AI156" s="136"/>
      <c r="AJ156" s="136" t="str">
        <f t="shared" si="91"/>
        <v>99869.4453410479-3610.87543072834j</v>
      </c>
      <c r="AK156" s="136" t="str">
        <f t="shared" si="92"/>
        <v>19047.6188949438-1.70531499305169j</v>
      </c>
      <c r="AL156" s="136" t="str">
        <f t="shared" si="93"/>
        <v>10000-6146213.15565899j</v>
      </c>
      <c r="AM156" s="136" t="str">
        <f t="shared" si="94"/>
        <v>963.1379074402-1907446.54282024j</v>
      </c>
      <c r="AN156" s="136" t="str">
        <f t="shared" si="120"/>
        <v>10963.1379074402-1907446.54282024j</v>
      </c>
      <c r="AO156" s="136" t="str">
        <f t="shared" si="121"/>
        <v>19044.5929572568-191.865636424316j</v>
      </c>
      <c r="AP156" s="136" t="str">
        <f t="shared" si="122"/>
        <v>0.160028405130567+0.0048471615394595j</v>
      </c>
      <c r="AQ156" s="136" t="str">
        <f t="shared" si="95"/>
        <v>1+0.0578495321510587j</v>
      </c>
      <c r="AR156" s="136" t="str">
        <f t="shared" si="96"/>
        <v>1+0.000115468128046025j</v>
      </c>
      <c r="AS156" s="136" t="str">
        <f t="shared" si="97"/>
        <v>1.81141347548003E-07j</v>
      </c>
      <c r="AT156" s="136" t="str">
        <f t="shared" si="123"/>
        <v>-2.09160523131023E-11+1.81141347548003E-07j</v>
      </c>
      <c r="AU156" s="179" t="str">
        <f t="shared" si="124"/>
        <v>318723.825536029-5520587.54105936j</v>
      </c>
      <c r="AV156" s="136" t="str">
        <f t="shared" si="98"/>
        <v>7999.93131769531-23.4404291830438j</v>
      </c>
      <c r="AW156" s="136"/>
      <c r="AX156" s="136" t="str">
        <f t="shared" si="99"/>
        <v>0.499995707355957-0.00146502682394024j</v>
      </c>
      <c r="AY156" s="136"/>
      <c r="AZ156" s="136" t="str">
        <f t="shared" si="100"/>
        <v>4.89288449832115-55.1164450341554j</v>
      </c>
      <c r="BA156" s="136" t="str">
        <f t="shared" si="101"/>
        <v>2.36567417533381-27.5651541288347j</v>
      </c>
      <c r="BB156" s="136">
        <f t="shared" si="125"/>
        <v>28.839078267693097</v>
      </c>
      <c r="BC156" s="136">
        <f t="shared" si="126"/>
        <v>94.905172570976276</v>
      </c>
      <c r="BD156" s="136" t="str">
        <f t="shared" si="102"/>
        <v>17.0620194179035-256.7522130886j</v>
      </c>
      <c r="BE156" s="136">
        <f t="shared" si="127"/>
        <v>48.209420286561752</v>
      </c>
      <c r="BF156" s="136">
        <f t="shared" si="128"/>
        <v>93.80190098525587</v>
      </c>
      <c r="BG156" s="136"/>
      <c r="BH156" s="136" t="str">
        <f t="shared" si="103"/>
        <v>-7.85987004509893-94.4660597540586j</v>
      </c>
      <c r="BI156" s="136">
        <f t="shared" si="129"/>
        <v>39.535477585538359</v>
      </c>
      <c r="BJ156" s="136">
        <f t="shared" si="130"/>
        <v>85.243768128937873</v>
      </c>
      <c r="BK156" s="136"/>
      <c r="BL156" s="136">
        <f t="shared" si="131"/>
        <v>-38.535477585538359</v>
      </c>
      <c r="BM156" s="136">
        <f t="shared" si="132"/>
        <v>-85.243768128937873</v>
      </c>
      <c r="BN156" s="136"/>
      <c r="BO156" s="189"/>
      <c r="BP156" s="189" t="str">
        <f t="shared" si="104"/>
        <v>0.00001+3.61559575944117E-07j</v>
      </c>
      <c r="BQ156" s="189" t="str">
        <f t="shared" si="105"/>
        <v>1.04231443912146E-08+1.80176813945484E-07j</v>
      </c>
      <c r="BR156" s="189" t="str">
        <f t="shared" si="106"/>
        <v>-0.00059756996199247-0.00450828681804517j</v>
      </c>
      <c r="BS156" s="189" t="str">
        <f t="shared" si="107"/>
        <v>0.0000625104231443912+5.41736389889601E-07j</v>
      </c>
      <c r="BT156" s="189" t="str">
        <f t="shared" si="133"/>
        <v>-3.49120481571324E-08-2.82138642046201E-07j</v>
      </c>
      <c r="BU156" s="189" t="str">
        <f t="shared" si="134"/>
        <v>-1.04231443912146E-08-1.80176813945484E-07j</v>
      </c>
      <c r="BV156" s="189" t="str">
        <f t="shared" si="135"/>
        <v>-4.5335192548347E-08-4.62315455991685E-07j</v>
      </c>
      <c r="BW156" s="189" t="str">
        <f t="shared" si="108"/>
        <v>0.999999668868956-0.000575439774923891j</v>
      </c>
      <c r="BX156" s="189" t="str">
        <f t="shared" si="136"/>
        <v>-0.00001-3.61559575944117E-07j</v>
      </c>
      <c r="BY156" s="189" t="str">
        <f t="shared" si="137"/>
        <v>2.86321387263607-21.3499251740462j</v>
      </c>
      <c r="BZ156" s="136">
        <f t="shared" si="138"/>
        <v>26.665341714045102</v>
      </c>
      <c r="CA156" s="136">
        <f t="shared" si="139"/>
        <v>97.638296514726235</v>
      </c>
      <c r="CB156" s="189" t="str">
        <f t="shared" si="109"/>
        <v>22.8016754513589-199.045854637542j</v>
      </c>
      <c r="CC156" s="136" t="str">
        <f t="shared" si="110"/>
        <v>-2.60551286379303-73.7592103489882j</v>
      </c>
      <c r="CD156" s="136">
        <f t="shared" si="140"/>
        <v>37.361741031890368</v>
      </c>
      <c r="CE156" s="136">
        <f t="shared" si="141"/>
        <v>87.976892072687818</v>
      </c>
      <c r="CF156" s="136"/>
      <c r="CG156" s="136">
        <f t="shared" si="142"/>
        <v>-36.361741031890368</v>
      </c>
      <c r="CH156" s="136">
        <f t="shared" si="143"/>
        <v>-87.976892072687818</v>
      </c>
      <c r="CI156" s="77"/>
      <c r="CJ156" s="189"/>
      <c r="CK156" s="189"/>
      <c r="CL156" s="189"/>
      <c r="CM156" s="77"/>
      <c r="CN156" s="189">
        <v>7244.3596007499</v>
      </c>
      <c r="CO156" s="189">
        <v>14.736348980746101</v>
      </c>
      <c r="CP156" s="189">
        <v>73.051238332867797</v>
      </c>
      <c r="CQ156" s="74"/>
      <c r="CR156" s="75"/>
      <c r="CS156" s="75"/>
      <c r="CT156" s="75"/>
      <c r="CU156" s="74"/>
      <c r="CV156" s="75"/>
      <c r="CW156" s="75"/>
      <c r="CX156" s="75"/>
      <c r="CY156" s="74"/>
      <c r="CZ156" s="75"/>
      <c r="DA156" s="75"/>
      <c r="DB156" s="75"/>
      <c r="DC156" s="74"/>
      <c r="DD156" s="75"/>
      <c r="DE156" s="75"/>
      <c r="DF156" s="75"/>
      <c r="DG156" s="74"/>
      <c r="DH156" s="75"/>
      <c r="DI156" s="75"/>
      <c r="DJ156" s="75"/>
      <c r="DK156" s="74"/>
      <c r="DL156" s="75"/>
      <c r="DM156" s="75"/>
      <c r="DN156" s="75"/>
      <c r="DO156" s="76"/>
    </row>
    <row r="157" spans="1:119" x14ac:dyDescent="0.25">
      <c r="A157" s="136">
        <v>108</v>
      </c>
      <c r="B157" s="136">
        <f t="shared" si="72"/>
        <v>1737.8008287493758</v>
      </c>
      <c r="C157" s="136" t="str">
        <f t="shared" si="79"/>
        <v>10918.9246340026j</v>
      </c>
      <c r="D157" s="136">
        <f t="shared" si="73"/>
        <v>0.99992450120698995</v>
      </c>
      <c r="E157" s="136" t="str">
        <f t="shared" si="74"/>
        <v>-0.0136486557925032j</v>
      </c>
      <c r="F157" s="136" t="str">
        <f t="shared" si="80"/>
        <v>0.99992450120699-0.0136486557925032j</v>
      </c>
      <c r="G157" s="136">
        <f t="shared" si="81"/>
        <v>1.5327683776551071E-4</v>
      </c>
      <c r="H157" s="136">
        <f t="shared" si="82"/>
        <v>-0.78202085351913508</v>
      </c>
      <c r="I157" s="136"/>
      <c r="J157" s="136">
        <f t="shared" si="75"/>
        <v>7.0726915520628681</v>
      </c>
      <c r="K157" s="136" t="str">
        <f t="shared" si="76"/>
        <v>1+0.801441788852702j</v>
      </c>
      <c r="L157" s="136">
        <f t="shared" si="77"/>
        <v>0.96492770082183366</v>
      </c>
      <c r="M157" s="136" t="str">
        <f t="shared" si="78"/>
        <v>0.0586530308589279j</v>
      </c>
      <c r="N157" s="136" t="str">
        <f t="shared" si="83"/>
        <v>0.964927700821834+0.0586530308589279j</v>
      </c>
      <c r="O157" s="136" t="str">
        <f t="shared" si="84"/>
        <v>1.00996406214709+0.264511946206362j</v>
      </c>
      <c r="P157" s="136" t="str">
        <f t="shared" si="85"/>
        <v>7.14316429023482+1.87081140735344j</v>
      </c>
      <c r="Q157" s="136"/>
      <c r="R157" s="136">
        <f t="shared" si="86"/>
        <v>11.787819253438114</v>
      </c>
      <c r="S157" s="136" t="str">
        <f t="shared" si="87"/>
        <v>1+0.000255695923307645j</v>
      </c>
      <c r="T157" s="136" t="str">
        <f t="shared" si="88"/>
        <v>0.995584659131456+0.0208108806678777j</v>
      </c>
      <c r="U157" s="136" t="str">
        <f t="shared" si="111"/>
        <v>1.00400159991597-0.0207299915417608j</v>
      </c>
      <c r="V157" s="136" t="str">
        <f t="shared" si="112"/>
        <v>11.8349893899721-0.244361393419577j</v>
      </c>
      <c r="W157" s="136"/>
      <c r="X157" s="136" t="str">
        <f t="shared" si="89"/>
        <v>1.68675129422432+0.433046303915229j</v>
      </c>
      <c r="Y157" s="136">
        <f t="shared" si="113"/>
        <v>4.8182358414636504</v>
      </c>
      <c r="Z157" s="136">
        <f t="shared" si="114"/>
        <v>-165.60120520381801</v>
      </c>
      <c r="AA157" s="136"/>
      <c r="AB157" s="136" t="str">
        <f t="shared" si="90"/>
        <v>9.30380668807055-0.192099130087066j</v>
      </c>
      <c r="AC157" s="136">
        <f t="shared" si="115"/>
        <v>19.375064626241588</v>
      </c>
      <c r="AD157" s="136">
        <f t="shared" si="116"/>
        <v>178.81716096422386</v>
      </c>
      <c r="AE157" s="136"/>
      <c r="AF157" s="136" t="str">
        <f t="shared" si="117"/>
        <v>3.36393237495471-0.613691939118619j</v>
      </c>
      <c r="AG157" s="136">
        <f t="shared" si="118"/>
        <v>10.67913277569116</v>
      </c>
      <c r="AH157" s="136">
        <f t="shared" si="119"/>
        <v>169.66106352120201</v>
      </c>
      <c r="AI157" s="136"/>
      <c r="AJ157" s="136" t="str">
        <f t="shared" si="91"/>
        <v>99850.1321831721-3868.37450620706j</v>
      </c>
      <c r="AK157" s="136" t="str">
        <f t="shared" si="92"/>
        <v>19047.6188723244-1.82727793439609j</v>
      </c>
      <c r="AL157" s="136" t="str">
        <f t="shared" si="93"/>
        <v>10000-5735979.8611338j</v>
      </c>
      <c r="AM157" s="136" t="str">
        <f t="shared" si="94"/>
        <v>963.137727781239-1780132.83905277j</v>
      </c>
      <c r="AN157" s="136" t="str">
        <f t="shared" si="120"/>
        <v>10963.1377277812-1780132.83905277j</v>
      </c>
      <c r="AO157" s="136" t="str">
        <f t="shared" si="121"/>
        <v>19044.1447599196-205.580132976668j</v>
      </c>
      <c r="AP157" s="136" t="str">
        <f t="shared" si="122"/>
        <v>0.160032613287606+0.00519380074097348j</v>
      </c>
      <c r="AQ157" s="136" t="str">
        <f t="shared" si="95"/>
        <v>1+0.061986890498823j</v>
      </c>
      <c r="AR157" s="136" t="str">
        <f t="shared" si="96"/>
        <v>1+0.000123726328340964j</v>
      </c>
      <c r="AS157" s="136" t="str">
        <f t="shared" si="97"/>
        <v>1.9409645087444E-07j</v>
      </c>
      <c r="AT157" s="136" t="str">
        <f t="shared" si="123"/>
        <v>-2.40148412107068E-11+1.9409645087444E-07j</v>
      </c>
      <c r="AU157" s="179" t="str">
        <f t="shared" si="124"/>
        <v>318723.824906448-5152117.15410987j</v>
      </c>
      <c r="AV157" s="136" t="str">
        <f t="shared" si="98"/>
        <v>7999.92114226344-25.1168404455342j</v>
      </c>
      <c r="AW157" s="136"/>
      <c r="AX157" s="136" t="str">
        <f t="shared" si="99"/>
        <v>0.499995071391465-0.00156980252784589j</v>
      </c>
      <c r="AY157" s="136"/>
      <c r="AZ157" s="136" t="str">
        <f t="shared" si="100"/>
        <v>4.89295636456481-51.4253455646725j</v>
      </c>
      <c r="BA157" s="136" t="str">
        <f t="shared" si="101"/>
        <v>2.36572642935313-25.7201003022089j</v>
      </c>
      <c r="BB157" s="136">
        <f t="shared" si="125"/>
        <v>28.242041047607298</v>
      </c>
      <c r="BC157" s="136">
        <f t="shared" si="126"/>
        <v>95.255260093856975</v>
      </c>
      <c r="BD157" s="136" t="str">
        <f t="shared" si="102"/>
        <v>17.0694524817545-239.749295198639j</v>
      </c>
      <c r="BE157" s="136">
        <f t="shared" si="127"/>
        <v>47.617105673848883</v>
      </c>
      <c r="BF157" s="136">
        <f t="shared" si="128"/>
        <v>94.072421058080849</v>
      </c>
      <c r="BG157" s="136"/>
      <c r="BH157" s="136" t="str">
        <f t="shared" si="103"/>
        <v>-7.82607450280094-87.9725053335368j</v>
      </c>
      <c r="BI157" s="136">
        <f t="shared" si="129"/>
        <v>38.921173823298453</v>
      </c>
      <c r="BJ157" s="136">
        <f t="shared" si="130"/>
        <v>84.916323615059014</v>
      </c>
      <c r="BK157" s="136"/>
      <c r="BL157" s="136">
        <f t="shared" si="131"/>
        <v>-37.921173823298453</v>
      </c>
      <c r="BM157" s="136">
        <f t="shared" si="132"/>
        <v>-84.916323615059014</v>
      </c>
      <c r="BN157" s="136"/>
      <c r="BO157" s="189"/>
      <c r="BP157" s="189" t="str">
        <f t="shared" si="104"/>
        <v>0.00001+3.87418065617644E-07j</v>
      </c>
      <c r="BQ157" s="189" t="str">
        <f t="shared" si="105"/>
        <v>1.19614601945979E-08+1.92967579085533E-07j</v>
      </c>
      <c r="BR157" s="189" t="str">
        <f t="shared" si="106"/>
        <v>-0.000633074170865794-0.00482868750072497j</v>
      </c>
      <c r="BS157" s="189" t="str">
        <f t="shared" si="107"/>
        <v>0.0000625119614601946+5.80385644703177E-07j</v>
      </c>
      <c r="BT157" s="189" t="str">
        <f t="shared" si="133"/>
        <v>-3.67722072624287E-08-3.02218154109446E-07j</v>
      </c>
      <c r="BU157" s="189" t="str">
        <f t="shared" si="134"/>
        <v>-1.19614601945979E-08-1.92967579085533E-07j</v>
      </c>
      <c r="BV157" s="189" t="str">
        <f t="shared" si="135"/>
        <v>-4.87336674570266E-08-4.95185733194979E-07j</v>
      </c>
      <c r="BW157" s="189" t="str">
        <f t="shared" si="108"/>
        <v>0.999999619810711-0.000616594797583463j</v>
      </c>
      <c r="BX157" s="189" t="str">
        <f t="shared" si="136"/>
        <v>-0.00001-3.87418065617644E-07j</v>
      </c>
      <c r="BY157" s="189" t="str">
        <f t="shared" si="137"/>
        <v>2.73094785223795-19.9261515672792j</v>
      </c>
      <c r="BZ157" s="136">
        <f t="shared" si="138"/>
        <v>26.069288248367187</v>
      </c>
      <c r="CA157" s="136">
        <f t="shared" si="139"/>
        <v>97.803964414846575</v>
      </c>
      <c r="CB157" s="189" t="str">
        <f t="shared" si="109"/>
        <v>21.580414510366-185.913674925888j</v>
      </c>
      <c r="CC157" s="136" t="str">
        <f t="shared" si="110"/>
        <v>-3.04179470003881-68.7061870484969j</v>
      </c>
      <c r="CD157" s="136">
        <f t="shared" si="140"/>
        <v>36.748421024058366</v>
      </c>
      <c r="CE157" s="136">
        <f t="shared" si="141"/>
        <v>87.465027936048614</v>
      </c>
      <c r="CF157" s="136"/>
      <c r="CG157" s="136">
        <f t="shared" si="142"/>
        <v>-35.748421024058366</v>
      </c>
      <c r="CH157" s="136">
        <f t="shared" si="143"/>
        <v>-87.465027936048614</v>
      </c>
      <c r="CI157" s="77"/>
      <c r="CJ157" s="189"/>
      <c r="CK157" s="189"/>
      <c r="CL157" s="189"/>
      <c r="CM157" s="77"/>
      <c r="CN157" s="189">
        <v>7585.7757502918303</v>
      </c>
      <c r="CO157" s="189">
        <v>14.189494581758</v>
      </c>
      <c r="CP157" s="189">
        <v>73.522971784454796</v>
      </c>
      <c r="CQ157" s="74"/>
      <c r="CR157" s="75"/>
      <c r="CS157" s="75"/>
      <c r="CT157" s="75"/>
      <c r="CU157" s="74"/>
      <c r="CV157" s="75"/>
      <c r="CW157" s="75"/>
      <c r="CX157" s="75"/>
      <c r="CY157" s="74"/>
      <c r="CZ157" s="75"/>
      <c r="DA157" s="75"/>
      <c r="DB157" s="75"/>
      <c r="DC157" s="74"/>
      <c r="DD157" s="75"/>
      <c r="DE157" s="75"/>
      <c r="DF157" s="75"/>
      <c r="DG157" s="74"/>
      <c r="DH157" s="75"/>
      <c r="DI157" s="75"/>
      <c r="DJ157" s="75"/>
      <c r="DK157" s="74"/>
      <c r="DL157" s="75"/>
      <c r="DM157" s="75"/>
      <c r="DN157" s="75"/>
      <c r="DO157" s="76"/>
    </row>
    <row r="158" spans="1:119" x14ac:dyDescent="0.25">
      <c r="A158" s="136">
        <v>109</v>
      </c>
      <c r="B158" s="136">
        <f t="shared" si="72"/>
        <v>1862.0871366628687</v>
      </c>
      <c r="C158" s="136" t="str">
        <f t="shared" si="79"/>
        <v>11699.8385377682j</v>
      </c>
      <c r="D158" s="136">
        <f t="shared" si="73"/>
        <v>0.99991331578738685</v>
      </c>
      <c r="E158" s="136" t="str">
        <f t="shared" si="74"/>
        <v>-0.0146247981722103j</v>
      </c>
      <c r="F158" s="136" t="str">
        <f t="shared" si="80"/>
        <v>0.999913315787387-0.0146247981722103j</v>
      </c>
      <c r="G158" s="136">
        <f t="shared" si="81"/>
        <v>1.7598910702770323E-4</v>
      </c>
      <c r="H158" s="136">
        <f t="shared" si="82"/>
        <v>-0.83795210522798158</v>
      </c>
      <c r="I158" s="136"/>
      <c r="J158" s="136">
        <f t="shared" si="75"/>
        <v>7.0726915520628681</v>
      </c>
      <c r="K158" s="136" t="str">
        <f t="shared" si="76"/>
        <v>1+0.858760348779828j</v>
      </c>
      <c r="L158" s="136">
        <f t="shared" si="77"/>
        <v>0.95973161268436658</v>
      </c>
      <c r="M158" s="136" t="str">
        <f t="shared" si="78"/>
        <v>0.062847854876038j</v>
      </c>
      <c r="N158" s="136" t="str">
        <f t="shared" si="83"/>
        <v>0.959731612684367+0.062847854876038j</v>
      </c>
      <c r="O158" s="136" t="str">
        <f t="shared" si="84"/>
        <v>1.01145122539112+0.283582675062861j</v>
      </c>
      <c r="P158" s="136" t="str">
        <f t="shared" si="85"/>
        <v>7.15368253714741+2.00569279022849j</v>
      </c>
      <c r="Q158" s="136"/>
      <c r="R158" s="136">
        <f t="shared" si="86"/>
        <v>11.787819253438114</v>
      </c>
      <c r="S158" s="136" t="str">
        <f t="shared" si="87"/>
        <v>1+0.000273983118094696j</v>
      </c>
      <c r="T158" s="136" t="str">
        <f t="shared" si="88"/>
        <v>0.994930510391638+0.022299260394627j</v>
      </c>
      <c r="U158" s="136" t="str">
        <f t="shared" si="111"/>
        <v>1.00459684586337-0.0222405316836884j</v>
      </c>
      <c r="V158" s="136" t="str">
        <f t="shared" si="112"/>
        <v>11.8420060416114-0.262167367587682j</v>
      </c>
      <c r="W158" s="136"/>
      <c r="X158" s="136" t="str">
        <f t="shared" si="89"/>
        <v>1.68954737610369+0.464259170181218j</v>
      </c>
      <c r="Y158" s="136">
        <f t="shared" si="113"/>
        <v>4.8715349958229428</v>
      </c>
      <c r="Z158" s="136">
        <f t="shared" si="114"/>
        <v>-164.63529979986009</v>
      </c>
      <c r="AA158" s="136"/>
      <c r="AB158" s="136" t="str">
        <f t="shared" si="90"/>
        <v>9.30932266855-0.206096890126733j</v>
      </c>
      <c r="AC158" s="136">
        <f t="shared" si="115"/>
        <v>19.380489734809782</v>
      </c>
      <c r="AD158" s="136">
        <f t="shared" si="116"/>
        <v>178.7317494781918</v>
      </c>
      <c r="AE158" s="136"/>
      <c r="AF158" s="136" t="str">
        <f t="shared" si="117"/>
        <v>3.34830269143515-0.654599779431467j</v>
      </c>
      <c r="AG158" s="136">
        <f t="shared" si="118"/>
        <v>10.659392417914672</v>
      </c>
      <c r="AH158" s="136">
        <f t="shared" si="119"/>
        <v>168.9380862980905</v>
      </c>
      <c r="AI158" s="136"/>
      <c r="AJ158" s="136" t="str">
        <f t="shared" si="91"/>
        <v>99827.9669206588-4144.11782575398j</v>
      </c>
      <c r="AK158" s="136" t="str">
        <f t="shared" si="92"/>
        <v>19047.6188463539-1.95796358007052j</v>
      </c>
      <c r="AL158" s="136" t="str">
        <f t="shared" si="93"/>
        <v>10000-5353127.87468805j</v>
      </c>
      <c r="AM158" s="136" t="str">
        <f t="shared" si="94"/>
        <v>963.137521505237-1661316.78814812j</v>
      </c>
      <c r="AN158" s="136" t="str">
        <f t="shared" si="120"/>
        <v>10963.1375215052-1661316.78814812j</v>
      </c>
      <c r="AO158" s="136" t="str">
        <f t="shared" si="121"/>
        <v>19043.6302015364-220.273731390056j</v>
      </c>
      <c r="AP158" s="136" t="str">
        <f t="shared" si="122"/>
        <v>0.160037444845544+0.00556522525304353j</v>
      </c>
      <c r="AQ158" s="136" t="str">
        <f t="shared" si="95"/>
        <v>1+0.0664201498411384j</v>
      </c>
      <c r="AR158" s="136" t="str">
        <f t="shared" si="96"/>
        <v>1+0.00013257514938351j</v>
      </c>
      <c r="AS158" s="136" t="str">
        <f t="shared" si="97"/>
        <v>2.07978094190065E-07j</v>
      </c>
      <c r="AT158" s="136" t="str">
        <f t="shared" si="123"/>
        <v>-2.75727269057456E-11+2.07978094190065E-07j</v>
      </c>
      <c r="AU158" s="179" t="str">
        <f t="shared" si="124"/>
        <v>318723.824183594-4808240.94469817j</v>
      </c>
      <c r="AV158" s="136" t="str">
        <f t="shared" si="98"/>
        <v>7999.9094593364-26.9131401204862j</v>
      </c>
      <c r="AW158" s="136"/>
      <c r="AX158" s="136" t="str">
        <f t="shared" si="99"/>
        <v>0.499994341208525-0.00168207125753039j</v>
      </c>
      <c r="AY158" s="136"/>
      <c r="AZ158" s="136" t="str">
        <f t="shared" si="100"/>
        <v>4.89303887735097-47.9797305534352j</v>
      </c>
      <c r="BA158" s="136" t="str">
        <f t="shared" si="101"/>
        <v>2.36578642428081-23.9978242094849j</v>
      </c>
      <c r="BB158" s="136">
        <f t="shared" si="125"/>
        <v>27.645441267454952</v>
      </c>
      <c r="BC158" s="136">
        <f t="shared" si="126"/>
        <v>95.630218726641289</v>
      </c>
      <c r="BD158" s="136" t="str">
        <f t="shared" si="102"/>
        <v>17.0779922491223-223.891070133984j</v>
      </c>
      <c r="BE158" s="136">
        <f t="shared" si="127"/>
        <v>47.025931002264734</v>
      </c>
      <c r="BF158" s="136">
        <f t="shared" si="128"/>
        <v>94.361968204833076</v>
      </c>
      <c r="BG158" s="136"/>
      <c r="BH158" s="136" t="str">
        <f t="shared" si="103"/>
        <v>-7.78760138258375-81.9006226607221j</v>
      </c>
      <c r="BI158" s="136">
        <f t="shared" si="129"/>
        <v>38.304833685369637</v>
      </c>
      <c r="BJ158" s="136">
        <f t="shared" si="130"/>
        <v>84.568305024731814</v>
      </c>
      <c r="BK158" s="136"/>
      <c r="BL158" s="136">
        <f t="shared" si="131"/>
        <v>-37.304833685369637</v>
      </c>
      <c r="BM158" s="136">
        <f t="shared" si="132"/>
        <v>-84.568305024731814</v>
      </c>
      <c r="BN158" s="136"/>
      <c r="BO158" s="189"/>
      <c r="BP158" s="189" t="str">
        <f t="shared" si="104"/>
        <v>0.00001+4.15125936507115E-07j</v>
      </c>
      <c r="BQ158" s="189" t="str">
        <f t="shared" si="105"/>
        <v>1.37258101704105E-08+2.06651297885347E-07j</v>
      </c>
      <c r="BR158" s="189" t="str">
        <f t="shared" si="106"/>
        <v>-0.00067380169682053-0.00517153808576416j</v>
      </c>
      <c r="BS158" s="189" t="str">
        <f t="shared" si="107"/>
        <v>0.0000625137258101704+6.21777234392462E-07j</v>
      </c>
      <c r="BT158" s="189" t="str">
        <f t="shared" si="133"/>
        <v>-3.89063098769445E-08-3.23711068465892E-07j</v>
      </c>
      <c r="BU158" s="189" t="str">
        <f t="shared" si="134"/>
        <v>-1.37258101704105E-08-2.06651297885347E-07j</v>
      </c>
      <c r="BV158" s="189" t="str">
        <f t="shared" si="135"/>
        <v>-5.2632120047355E-08-5.30362366351239E-07j</v>
      </c>
      <c r="BW158" s="189" t="str">
        <f t="shared" si="108"/>
        <v>0.999999563484316-0.000660693191905272j</v>
      </c>
      <c r="BX158" s="189" t="str">
        <f t="shared" si="136"/>
        <v>-0.00001-4.15125936507115E-07j</v>
      </c>
      <c r="BY158" s="189" t="str">
        <f t="shared" si="137"/>
        <v>2.615690759033-18.5959660440073j</v>
      </c>
      <c r="BZ158" s="136">
        <f t="shared" si="138"/>
        <v>25.473460941382335</v>
      </c>
      <c r="CA158" s="136">
        <f t="shared" si="139"/>
        <v>98.006641458488829</v>
      </c>
      <c r="CB158" s="189" t="str">
        <f t="shared" si="109"/>
        <v>20.5177385064104-173.654933968033j</v>
      </c>
      <c r="CC158" s="136" t="str">
        <f t="shared" si="110"/>
        <v>-3.41479086228998-63.9771537489102j</v>
      </c>
      <c r="CD158" s="136">
        <f t="shared" si="140"/>
        <v>36.132853359297002</v>
      </c>
      <c r="CE158" s="136">
        <f t="shared" si="141"/>
        <v>86.94472775657934</v>
      </c>
      <c r="CF158" s="136"/>
      <c r="CG158" s="136">
        <f t="shared" si="142"/>
        <v>-35.132853359297002</v>
      </c>
      <c r="CH158" s="136">
        <f t="shared" si="143"/>
        <v>-86.94472775657934</v>
      </c>
      <c r="CI158" s="77"/>
      <c r="CJ158" s="189"/>
      <c r="CK158" s="189"/>
      <c r="CL158" s="189"/>
      <c r="CM158" s="77"/>
      <c r="CN158" s="189">
        <v>7943.2823472428099</v>
      </c>
      <c r="CO158" s="189">
        <v>13.6463650563957</v>
      </c>
      <c r="CP158" s="189">
        <v>74.051857327468198</v>
      </c>
      <c r="CQ158" s="74"/>
      <c r="CR158" s="75"/>
      <c r="CS158" s="75"/>
      <c r="CT158" s="75"/>
      <c r="CU158" s="74"/>
      <c r="CV158" s="75"/>
      <c r="CW158" s="75"/>
      <c r="CX158" s="75"/>
      <c r="CY158" s="74"/>
      <c r="CZ158" s="75"/>
      <c r="DA158" s="75"/>
      <c r="DB158" s="75"/>
      <c r="DC158" s="74"/>
      <c r="DD158" s="75"/>
      <c r="DE158" s="75"/>
      <c r="DF158" s="75"/>
      <c r="DG158" s="74"/>
      <c r="DH158" s="75"/>
      <c r="DI158" s="75"/>
      <c r="DJ158" s="75"/>
      <c r="DK158" s="74"/>
      <c r="DL158" s="75"/>
      <c r="DM158" s="75"/>
      <c r="DN158" s="75"/>
      <c r="DO158" s="76"/>
    </row>
    <row r="159" spans="1:119" x14ac:dyDescent="0.25">
      <c r="A159" s="136">
        <v>110</v>
      </c>
      <c r="B159" s="136">
        <f t="shared" si="72"/>
        <v>1995.2623149688804</v>
      </c>
      <c r="C159" s="136" t="str">
        <f t="shared" si="79"/>
        <v>12536.6028613816j</v>
      </c>
      <c r="D159" s="136">
        <f t="shared" si="73"/>
        <v>0.99990047320736164</v>
      </c>
      <c r="E159" s="136" t="str">
        <f t="shared" si="74"/>
        <v>-0.015670753576727j</v>
      </c>
      <c r="F159" s="136" t="str">
        <f t="shared" si="80"/>
        <v>0.999900473207362-0.015670753576727j</v>
      </c>
      <c r="G159" s="136">
        <f t="shared" si="81"/>
        <v>2.0206747484685842E-4</v>
      </c>
      <c r="H159" s="136">
        <f t="shared" si="82"/>
        <v>-0.89788390420231012</v>
      </c>
      <c r="I159" s="136"/>
      <c r="J159" s="136">
        <f t="shared" si="75"/>
        <v>7.0726915520628681</v>
      </c>
      <c r="K159" s="136" t="str">
        <f t="shared" si="76"/>
        <v>1+0.920178292290169j</v>
      </c>
      <c r="L159" s="136">
        <f t="shared" si="77"/>
        <v>0.95376570527171611</v>
      </c>
      <c r="M159" s="136" t="str">
        <f t="shared" si="78"/>
        <v>0.0673426897924464j</v>
      </c>
      <c r="N159" s="136" t="str">
        <f t="shared" si="83"/>
        <v>0.953765705271716+0.0673426897924464j</v>
      </c>
      <c r="O159" s="136" t="str">
        <f t="shared" si="84"/>
        <v>1.01316222737002+0.304052746241744j</v>
      </c>
      <c r="P159" s="136" t="str">
        <f t="shared" si="85"/>
        <v>7.16578392638914+2.1504712897255j</v>
      </c>
      <c r="Q159" s="136"/>
      <c r="R159" s="136">
        <f t="shared" si="86"/>
        <v>11.787819253438114</v>
      </c>
      <c r="S159" s="136" t="str">
        <f t="shared" si="87"/>
        <v>1+0.000293578200347662j</v>
      </c>
      <c r="T159" s="136" t="str">
        <f t="shared" si="88"/>
        <v>0.994179447147018+0.0238940880053632j</v>
      </c>
      <c r="U159" s="136" t="str">
        <f t="shared" si="111"/>
        <v>1.00528104454815-0.0238656065726337j</v>
      </c>
      <c r="V159" s="136" t="str">
        <f t="shared" si="112"/>
        <v>11.8500712520411-0.281323456651871j</v>
      </c>
      <c r="W159" s="136"/>
      <c r="X159" s="136" t="str">
        <f t="shared" si="89"/>
        <v>1.69276397705548+0.497760283484416j</v>
      </c>
      <c r="Y159" s="136">
        <f t="shared" si="113"/>
        <v>4.9320913965204705</v>
      </c>
      <c r="Z159" s="136">
        <f t="shared" si="114"/>
        <v>-163.61393244849745</v>
      </c>
      <c r="AA159" s="136"/>
      <c r="AB159" s="136" t="str">
        <f t="shared" si="90"/>
        <v>9.31566294958144-0.221156012165633j</v>
      </c>
      <c r="AC159" s="136">
        <f t="shared" si="115"/>
        <v>19.386722326844506</v>
      </c>
      <c r="AD159" s="136">
        <f t="shared" si="116"/>
        <v>178.6400402769178</v>
      </c>
      <c r="AE159" s="136"/>
      <c r="AF159" s="136" t="str">
        <f t="shared" si="117"/>
        <v>3.3305313278444-0.697781998748299j</v>
      </c>
      <c r="AG159" s="136">
        <f t="shared" si="118"/>
        <v>10.636837552750372</v>
      </c>
      <c r="AH159" s="136">
        <f t="shared" si="119"/>
        <v>168.16707342293967</v>
      </c>
      <c r="AI159" s="136"/>
      <c r="AJ159" s="136" t="str">
        <f t="shared" si="91"/>
        <v>99802.529926774-4439.37077667363j</v>
      </c>
      <c r="AK159" s="136" t="str">
        <f t="shared" si="92"/>
        <v>19047.6188165358-2.09799577171338j</v>
      </c>
      <c r="AL159" s="136" t="str">
        <f t="shared" si="93"/>
        <v>10000-4995829.61176888j</v>
      </c>
      <c r="AM159" s="136" t="str">
        <f t="shared" si="94"/>
        <v>963.137284668804-1550431.20908867j</v>
      </c>
      <c r="AN159" s="136" t="str">
        <f t="shared" si="120"/>
        <v>10963.1372846688-1550431.20908867j</v>
      </c>
      <c r="AO159" s="136" t="str">
        <f t="shared" si="121"/>
        <v>19043.0394635234-236.016053823568j</v>
      </c>
      <c r="AP159" s="136" t="str">
        <f t="shared" si="122"/>
        <v>0.160042992146681+0.00596320630298225j</v>
      </c>
      <c r="AQ159" s="136" t="str">
        <f t="shared" si="95"/>
        <v>1+0.0711704728115544j</v>
      </c>
      <c r="AR159" s="136" t="str">
        <f t="shared" si="96"/>
        <v>1+0.00014205683195919j</v>
      </c>
      <c r="AS159" s="136" t="str">
        <f t="shared" si="97"/>
        <v>2.2285254299118E-07j</v>
      </c>
      <c r="AT159" s="136" t="str">
        <f t="shared" si="123"/>
        <v>-3.16577262513762E-11+2.2285254299118E-07j</v>
      </c>
      <c r="AU159" s="179" t="str">
        <f t="shared" si="124"/>
        <v>318723.823353646-4487317.38327584j</v>
      </c>
      <c r="AV159" s="136" t="str">
        <f t="shared" si="98"/>
        <v>7999.8960455835-28.8379008499779j</v>
      </c>
      <c r="AW159" s="136"/>
      <c r="AX159" s="136" t="str">
        <f t="shared" si="99"/>
        <v>0.499993502848969-0.00180236880312362j</v>
      </c>
      <c r="AY159" s="136"/>
      <c r="AZ159" s="136" t="str">
        <f t="shared" si="100"/>
        <v>4.89313361378015-44.7631520190777j</v>
      </c>
      <c r="BA159" s="136" t="str">
        <f t="shared" si="101"/>
        <v>2.36585530673331-22.3901044079546j</v>
      </c>
      <c r="BB159" s="136">
        <f t="shared" si="125"/>
        <v>27.049343258129831</v>
      </c>
      <c r="BC159" s="136">
        <f t="shared" si="126"/>
        <v>96.031789006555243</v>
      </c>
      <c r="BD159" s="136" t="str">
        <f t="shared" si="102"/>
        <v>17.0878044221707-209.101889195441j</v>
      </c>
      <c r="BE159" s="136">
        <f t="shared" si="127"/>
        <v>46.436065584974344</v>
      </c>
      <c r="BF159" s="136">
        <f t="shared" si="128"/>
        <v>94.671829283473045</v>
      </c>
      <c r="BG159" s="136"/>
      <c r="BH159" s="136" t="str">
        <f t="shared" si="103"/>
        <v>-7.74385658974347-76.2217954090816j</v>
      </c>
      <c r="BI159" s="136">
        <f t="shared" si="129"/>
        <v>37.686180810880224</v>
      </c>
      <c r="BJ159" s="136">
        <f t="shared" si="130"/>
        <v>84.198862429494909</v>
      </c>
      <c r="BK159" s="136"/>
      <c r="BL159" s="136">
        <f t="shared" si="131"/>
        <v>-36.686180810880224</v>
      </c>
      <c r="BM159" s="136">
        <f t="shared" si="132"/>
        <v>-84.198862429494909</v>
      </c>
      <c r="BN159" s="136"/>
      <c r="BO159" s="189"/>
      <c r="BP159" s="189" t="str">
        <f t="shared" si="104"/>
        <v>0.00001+4.44815455072215E-07j</v>
      </c>
      <c r="BQ159" s="189" t="str">
        <f t="shared" si="105"/>
        <v>1.57490902635646E-08+2.21286857335698E-07j</v>
      </c>
      <c r="BR159" s="189" t="str">
        <f t="shared" si="106"/>
        <v>-0.000720514764544437-0.00553833803923246j</v>
      </c>
      <c r="BS159" s="189" t="str">
        <f t="shared" si="107"/>
        <v>0.0000625157490902636+6.66102312407913E-07j</v>
      </c>
      <c r="BT159" s="189" t="str">
        <f t="shared" si="133"/>
        <v>-4.13544204612609E-08-3.46713287788506E-07j</v>
      </c>
      <c r="BU159" s="189" t="str">
        <f t="shared" si="134"/>
        <v>-1.57490902635646E-08-2.21286857335698E-07j</v>
      </c>
      <c r="BV159" s="189" t="str">
        <f t="shared" si="135"/>
        <v>-5.71035107248255E-08-5.68000145124204E-07j</v>
      </c>
      <c r="BW159" s="189" t="str">
        <f t="shared" si="108"/>
        <v>0.999999498812969-0.000707945464181745j</v>
      </c>
      <c r="BX159" s="189" t="str">
        <f t="shared" si="136"/>
        <v>-0.00001-4.44815455072215E-07j</v>
      </c>
      <c r="BY159" s="189" t="str">
        <f t="shared" si="137"/>
        <v>2.51526412463168-17.3533045121696j</v>
      </c>
      <c r="BZ159" s="136">
        <f t="shared" si="138"/>
        <v>24.877938930924802</v>
      </c>
      <c r="CA159" s="136">
        <f t="shared" si="139"/>
        <v>98.247266556739547</v>
      </c>
      <c r="CB159" s="189" t="str">
        <f t="shared" si="109"/>
        <v>19.5935651904354-162.21380168017j</v>
      </c>
      <c r="CC159" s="136" t="str">
        <f t="shared" si="110"/>
        <v>-3.73165754250067-59.55083034767j</v>
      </c>
      <c r="CD159" s="136">
        <f t="shared" si="140"/>
        <v>35.514776483675199</v>
      </c>
      <c r="CE159" s="136">
        <f t="shared" si="141"/>
        <v>86.414339979679198</v>
      </c>
      <c r="CF159" s="136"/>
      <c r="CG159" s="136">
        <f t="shared" si="142"/>
        <v>-34.514776483675199</v>
      </c>
      <c r="CH159" s="136">
        <f t="shared" si="143"/>
        <v>-86.414339979679198</v>
      </c>
      <c r="CI159" s="77"/>
      <c r="CJ159" s="189"/>
      <c r="CK159" s="189"/>
      <c r="CL159" s="189"/>
      <c r="CM159" s="77"/>
      <c r="CN159" s="189">
        <v>8317.6377110267003</v>
      </c>
      <c r="CO159" s="189">
        <v>13.1076219675845</v>
      </c>
      <c r="CP159" s="189">
        <v>74.636611617528303</v>
      </c>
      <c r="CQ159" s="74"/>
      <c r="CR159" s="75"/>
      <c r="CS159" s="75"/>
      <c r="CT159" s="75"/>
      <c r="CU159" s="74"/>
      <c r="CV159" s="75"/>
      <c r="CW159" s="75"/>
      <c r="CX159" s="75"/>
      <c r="CY159" s="74"/>
      <c r="CZ159" s="75"/>
      <c r="DA159" s="75"/>
      <c r="DB159" s="75"/>
      <c r="DC159" s="74"/>
      <c r="DD159" s="75"/>
      <c r="DE159" s="75"/>
      <c r="DF159" s="75"/>
      <c r="DG159" s="74"/>
      <c r="DH159" s="75"/>
      <c r="DI159" s="75"/>
      <c r="DJ159" s="75"/>
      <c r="DK159" s="74"/>
      <c r="DL159" s="75"/>
      <c r="DM159" s="75"/>
      <c r="DN159" s="75"/>
      <c r="DO159" s="76"/>
    </row>
    <row r="160" spans="1:119" x14ac:dyDescent="0.25">
      <c r="A160" s="136">
        <v>111</v>
      </c>
      <c r="B160" s="136">
        <f t="shared" si="72"/>
        <v>2137.9620895022344</v>
      </c>
      <c r="C160" s="136" t="str">
        <f t="shared" si="79"/>
        <v>13433.2119880674j</v>
      </c>
      <c r="D160" s="136">
        <f t="shared" si="73"/>
        <v>0.99988572795259623</v>
      </c>
      <c r="E160" s="136" t="str">
        <f t="shared" si="74"/>
        <v>-0.0167915149850843j</v>
      </c>
      <c r="F160" s="136" t="str">
        <f t="shared" si="80"/>
        <v>0.999885727952596-0.0167915149850843j</v>
      </c>
      <c r="G160" s="136">
        <f t="shared" si="81"/>
        <v>2.320110207518801E-4</v>
      </c>
      <c r="H160" s="136">
        <f t="shared" si="82"/>
        <v>-0.96210245496801916</v>
      </c>
      <c r="I160" s="136"/>
      <c r="J160" s="136">
        <f t="shared" si="75"/>
        <v>7.0726915520628681</v>
      </c>
      <c r="K160" s="136" t="str">
        <f t="shared" si="76"/>
        <v>1+0.985988804449489j</v>
      </c>
      <c r="L160" s="136">
        <f t="shared" si="77"/>
        <v>0.94691592707036643</v>
      </c>
      <c r="M160" s="136" t="str">
        <f t="shared" si="78"/>
        <v>0.0721589921792338j</v>
      </c>
      <c r="N160" s="136" t="str">
        <f t="shared" si="83"/>
        <v>0.946915927070366+0.0721589921792338j</v>
      </c>
      <c r="O160" s="136" t="str">
        <f t="shared" si="84"/>
        <v>1.0151313605352+0.326030470396121j</v>
      </c>
      <c r="P160" s="136" t="str">
        <f t="shared" si="85"/>
        <v>7.17971099789139+2.30591295368573j</v>
      </c>
      <c r="Q160" s="136"/>
      <c r="R160" s="136">
        <f t="shared" si="86"/>
        <v>11.787819253438114</v>
      </c>
      <c r="S160" s="136" t="str">
        <f t="shared" si="87"/>
        <v>1+0.000314574709269433j</v>
      </c>
      <c r="T160" s="136" t="str">
        <f t="shared" si="88"/>
        <v>0.993317111162735+0.025602976578793j</v>
      </c>
      <c r="U160" s="136" t="str">
        <f t="shared" si="111"/>
        <v>1.00606761954119-0.0256149327385918j</v>
      </c>
      <c r="V160" s="136" t="str">
        <f t="shared" si="112"/>
        <v>11.8593432558883-0.301944197311495j</v>
      </c>
      <c r="W160" s="136"/>
      <c r="X160" s="136" t="str">
        <f t="shared" si="89"/>
        <v>1.6964654159921+0.533726286855609j</v>
      </c>
      <c r="Y160" s="136">
        <f t="shared" si="113"/>
        <v>5.000797844280588</v>
      </c>
      <c r="Z160" s="136">
        <f t="shared" si="114"/>
        <v>-162.53586320551719</v>
      </c>
      <c r="AA160" s="136"/>
      <c r="AB160" s="136" t="str">
        <f t="shared" si="90"/>
        <v>9.3229519237041-0.237366536614817j</v>
      </c>
      <c r="AC160" s="136">
        <f t="shared" si="115"/>
        <v>19.393883227719385</v>
      </c>
      <c r="AD160" s="136">
        <f t="shared" si="116"/>
        <v>178.54153884790463</v>
      </c>
      <c r="AE160" s="136"/>
      <c r="AF160" s="136" t="str">
        <f t="shared" si="117"/>
        <v>3.3103527716972-0.743265171416094j</v>
      </c>
      <c r="AG160" s="136">
        <f t="shared" si="118"/>
        <v>10.611084731877147</v>
      </c>
      <c r="AH160" s="136">
        <f t="shared" si="119"/>
        <v>167.34538787436242</v>
      </c>
      <c r="AI160" s="136"/>
      <c r="AJ160" s="136" t="str">
        <f t="shared" si="91"/>
        <v>99773.3403316289-4755.48023146399j</v>
      </c>
      <c r="AK160" s="136" t="str">
        <f t="shared" si="92"/>
        <v>19047.6187822999-2.24804296765716j</v>
      </c>
      <c r="AL160" s="136" t="str">
        <f t="shared" si="93"/>
        <v>10000-4662379.47123228j</v>
      </c>
      <c r="AM160" s="136" t="str">
        <f t="shared" si="94"/>
        <v>963.137012744341-1446946.77780506j</v>
      </c>
      <c r="AN160" s="136" t="str">
        <f t="shared" si="120"/>
        <v>10963.1370127443-1446946.77780506j</v>
      </c>
      <c r="AO160" s="136" t="str">
        <f t="shared" si="121"/>
        <v>19042.3612767863-252.881609202322j</v>
      </c>
      <c r="AP160" s="136" t="str">
        <f t="shared" si="122"/>
        <v>0.160049361208811+0.00638964147253062j</v>
      </c>
      <c r="AQ160" s="136" t="str">
        <f t="shared" si="95"/>
        <v>1+0.0762605355804686j</v>
      </c>
      <c r="AR160" s="136" t="str">
        <f t="shared" si="96"/>
        <v>1+0.000152216637885167j</v>
      </c>
      <c r="AS160" s="136" t="str">
        <f t="shared" si="97"/>
        <v>2.38790802036342E-07j</v>
      </c>
      <c r="AT160" s="136" t="str">
        <f t="shared" si="123"/>
        <v>-3.63479330438745E-11+2.38790802036342E-07j</v>
      </c>
      <c r="AU160" s="179" t="str">
        <f t="shared" si="124"/>
        <v>318723.822400738-4187814.50719347j</v>
      </c>
      <c r="AV160" s="136" t="str">
        <f t="shared" si="98"/>
        <v>7999.88064459001-30.9003079954614j</v>
      </c>
      <c r="AW160" s="136"/>
      <c r="AX160" s="136" t="str">
        <f t="shared" si="99"/>
        <v>0.499992540286876-0.00193126924971634j</v>
      </c>
      <c r="AY160" s="136"/>
      <c r="AZ160" s="136" t="str">
        <f t="shared" si="100"/>
        <v>4.89324238453493-41.760255316416j</v>
      </c>
      <c r="BA160" s="136" t="str">
        <f t="shared" si="101"/>
        <v>2.36593439313013-20.889266307232j</v>
      </c>
      <c r="BB160" s="136">
        <f t="shared" si="125"/>
        <v>26.45382073050304</v>
      </c>
      <c r="BC160" s="136">
        <f t="shared" si="126"/>
        <v>96.46182723479933</v>
      </c>
      <c r="BD160" s="136" t="str">
        <f t="shared" si="102"/>
        <v>17.099079806018-195.311219156531j</v>
      </c>
      <c r="BE160" s="136">
        <f t="shared" si="127"/>
        <v>45.847703958222432</v>
      </c>
      <c r="BF160" s="136">
        <f t="shared" si="128"/>
        <v>95.003366082703948</v>
      </c>
      <c r="BG160" s="136"/>
      <c r="BH160" s="136" t="str">
        <f t="shared" si="103"/>
        <v>-7.69418662664916-70.9093572511355j</v>
      </c>
      <c r="BI160" s="136">
        <f t="shared" si="129"/>
        <v>37.064905462380196</v>
      </c>
      <c r="BJ160" s="136">
        <f t="shared" si="130"/>
        <v>83.80721510916176</v>
      </c>
      <c r="BK160" s="136"/>
      <c r="BL160" s="136">
        <f t="shared" si="131"/>
        <v>-36.064905462380196</v>
      </c>
      <c r="BM160" s="136">
        <f t="shared" si="132"/>
        <v>-83.80721510916176</v>
      </c>
      <c r="BN160" s="136"/>
      <c r="BO160" s="189"/>
      <c r="BP160" s="189" t="str">
        <f t="shared" si="104"/>
        <v>0.00001+4.76628347377929E-07j</v>
      </c>
      <c r="BQ160" s="189" t="str">
        <f t="shared" si="105"/>
        <v>1.80688838689698E-08+2.36936230927776E-07j</v>
      </c>
      <c r="BR160" s="189" t="str">
        <f t="shared" si="106"/>
        <v>-0.000774084860147081-0.00593067000661431j</v>
      </c>
      <c r="BS160" s="189" t="str">
        <f t="shared" si="107"/>
        <v>0.000062518068883869+7.13564578305705E-07j</v>
      </c>
      <c r="BT160" s="189" t="str">
        <f t="shared" si="133"/>
        <v>-4.41623745662953E-08-3.71326395537813E-07j</v>
      </c>
      <c r="BU160" s="189" t="str">
        <f t="shared" si="134"/>
        <v>-1.80688838689698E-08-2.36936230927776E-07j</v>
      </c>
      <c r="BV160" s="189" t="str">
        <f t="shared" si="135"/>
        <v>-6.22312584352651E-08-6.08262626465589E-07j</v>
      </c>
      <c r="BW160" s="189" t="str">
        <f t="shared" si="108"/>
        <v>0.999999424560338-0.000758577175599753j</v>
      </c>
      <c r="BX160" s="189" t="str">
        <f t="shared" si="136"/>
        <v>-0.00001-4.76628347377929E-07j</v>
      </c>
      <c r="BY160" s="189" t="str">
        <f t="shared" si="137"/>
        <v>2.42776699848267-16.1924674983183j</v>
      </c>
      <c r="BZ160" s="136">
        <f t="shared" si="138"/>
        <v>24.282807058832766</v>
      </c>
      <c r="CA160" s="136">
        <f t="shared" si="139"/>
        <v>98.526948138069002</v>
      </c>
      <c r="CB160" s="189" t="str">
        <f t="shared" si="109"/>
        <v>18.7904050794855-151.5378666571j</v>
      </c>
      <c r="CC160" s="136" t="str">
        <f t="shared" si="110"/>
        <v>-3.99853191832497-55.4072543179603j</v>
      </c>
      <c r="CD160" s="136">
        <f t="shared" si="140"/>
        <v>34.893891790709908</v>
      </c>
      <c r="CE160" s="136">
        <f t="shared" si="141"/>
        <v>85.872336012431447</v>
      </c>
      <c r="CF160" s="136"/>
      <c r="CG160" s="136">
        <f t="shared" si="142"/>
        <v>-33.893891790709908</v>
      </c>
      <c r="CH160" s="136">
        <f t="shared" si="143"/>
        <v>-85.872336012431447</v>
      </c>
      <c r="CI160" s="77"/>
      <c r="CJ160" s="189"/>
      <c r="CK160" s="189"/>
      <c r="CL160" s="189"/>
      <c r="CM160" s="77"/>
      <c r="CN160" s="189">
        <v>8709.6358995608007</v>
      </c>
      <c r="CO160" s="189">
        <v>12.5739055831231</v>
      </c>
      <c r="CP160" s="189">
        <v>75.275606405861495</v>
      </c>
      <c r="CQ160" s="74"/>
      <c r="CR160" s="75"/>
      <c r="CS160" s="75"/>
      <c r="CT160" s="75"/>
      <c r="CU160" s="74"/>
      <c r="CV160" s="75"/>
      <c r="CW160" s="75"/>
      <c r="CX160" s="75"/>
      <c r="CY160" s="74"/>
      <c r="CZ160" s="75"/>
      <c r="DA160" s="75"/>
      <c r="DB160" s="75"/>
      <c r="DC160" s="74"/>
      <c r="DD160" s="75"/>
      <c r="DE160" s="75"/>
      <c r="DF160" s="75"/>
      <c r="DG160" s="74"/>
      <c r="DH160" s="75"/>
      <c r="DI160" s="75"/>
      <c r="DJ160" s="75"/>
      <c r="DK160" s="74"/>
      <c r="DL160" s="75"/>
      <c r="DM160" s="75"/>
      <c r="DN160" s="75"/>
      <c r="DO160" s="76"/>
    </row>
    <row r="161" spans="1:119" x14ac:dyDescent="0.25">
      <c r="A161" s="136">
        <v>112</v>
      </c>
      <c r="B161" s="136">
        <f t="shared" si="72"/>
        <v>2290.8676527677749</v>
      </c>
      <c r="C161" s="136" t="str">
        <f t="shared" si="79"/>
        <v>14393.9459765635j</v>
      </c>
      <c r="D161" s="136">
        <f t="shared" si="73"/>
        <v>0.99986879813493756</v>
      </c>
      <c r="E161" s="136" t="str">
        <f t="shared" si="74"/>
        <v>-0.0179924324707044j</v>
      </c>
      <c r="F161" s="136" t="str">
        <f t="shared" si="80"/>
        <v>0.999868798134938-0.0179924324707044j</v>
      </c>
      <c r="G161" s="136">
        <f t="shared" si="81"/>
        <v>2.6639288561405725E-4</v>
      </c>
      <c r="H161" s="136">
        <f t="shared" si="82"/>
        <v>-1.0309144514896864</v>
      </c>
      <c r="I161" s="136"/>
      <c r="J161" s="136">
        <f t="shared" si="75"/>
        <v>7.0726915520628681</v>
      </c>
      <c r="K161" s="136" t="str">
        <f t="shared" si="76"/>
        <v>1+1.05650603871578j</v>
      </c>
      <c r="L161" s="136">
        <f t="shared" si="77"/>
        <v>0.93905132942203617</v>
      </c>
      <c r="M161" s="136" t="str">
        <f t="shared" si="78"/>
        <v>0.0773197531665387j</v>
      </c>
      <c r="N161" s="136" t="str">
        <f t="shared" si="83"/>
        <v>0.939051329422036+0.0773197531665387j</v>
      </c>
      <c r="O161" s="136" t="str">
        <f t="shared" si="84"/>
        <v>1.01739836414705+0.349633830937126j</v>
      </c>
      <c r="P161" s="136" t="str">
        <f t="shared" si="85"/>
        <v>7.19574481518542+2.47285224238439j</v>
      </c>
      <c r="Q161" s="136"/>
      <c r="R161" s="136">
        <f t="shared" si="86"/>
        <v>11.787819253438114</v>
      </c>
      <c r="S161" s="136" t="str">
        <f t="shared" si="87"/>
        <v>1+0.000337072873921705j</v>
      </c>
      <c r="T161" s="136" t="str">
        <f t="shared" si="88"/>
        <v>0.992327016979433+0.027434083675723j</v>
      </c>
      <c r="U161" s="136" t="str">
        <f t="shared" si="111"/>
        <v>1.00697206186159-0.0274992844731447j</v>
      </c>
      <c r="V161" s="136" t="str">
        <f t="shared" si="112"/>
        <v>11.8700046584863-0.324156594968307j</v>
      </c>
      <c r="W161" s="136"/>
      <c r="X161" s="136" t="str">
        <f t="shared" si="89"/>
        <v>1.70072619450466+0.572349493907183j</v>
      </c>
      <c r="Y161" s="136">
        <f t="shared" si="113"/>
        <v>5.0786309169392396</v>
      </c>
      <c r="Z161" s="136">
        <f t="shared" si="114"/>
        <v>-161.40024529761419</v>
      </c>
      <c r="AA161" s="136"/>
      <c r="AB161" s="136" t="str">
        <f t="shared" si="90"/>
        <v>9.33133314193143-0.254828305871039j</v>
      </c>
      <c r="AC161" s="136">
        <f t="shared" si="115"/>
        <v>19.402111546239546</v>
      </c>
      <c r="AD161" s="136">
        <f t="shared" si="116"/>
        <v>178.43570492629993</v>
      </c>
      <c r="AE161" s="136"/>
      <c r="AF161" s="136" t="str">
        <f t="shared" si="117"/>
        <v>3.28747694410238-0.791051708761395j</v>
      </c>
      <c r="AG161" s="136">
        <f t="shared" si="118"/>
        <v>10.581703632709035</v>
      </c>
      <c r="AH161" s="136">
        <f t="shared" si="119"/>
        <v>166.47036964808731</v>
      </c>
      <c r="AI161" s="136"/>
      <c r="AJ161" s="136" t="str">
        <f t="shared" si="91"/>
        <v>99739.8472413813-5093.87832638852j</v>
      </c>
      <c r="AK161" s="136" t="str">
        <f t="shared" si="92"/>
        <v>19047.618742992-2.4088214338773j</v>
      </c>
      <c r="AL161" s="136" t="str">
        <f t="shared" si="93"/>
        <v>10000-4351185.69347513j</v>
      </c>
      <c r="AM161" s="136" t="str">
        <f t="shared" si="94"/>
        <v>963.136700533477-1350369.5003916j</v>
      </c>
      <c r="AN161" s="136" t="str">
        <f t="shared" si="120"/>
        <v>10963.1367005335-1350369.5003916j</v>
      </c>
      <c r="AO161" s="136" t="str">
        <f t="shared" si="121"/>
        <v>19041.5827081409-270.950121453609j</v>
      </c>
      <c r="AP161" s="136" t="str">
        <f t="shared" si="122"/>
        <v>0.160056673749602+0.00684656366039843j</v>
      </c>
      <c r="AQ161" s="136" t="str">
        <f t="shared" si="95"/>
        <v>1+0.0817146361022315j</v>
      </c>
      <c r="AR161" s="136" t="str">
        <f t="shared" si="96"/>
        <v>1+0.000163103066072318j</v>
      </c>
      <c r="AS161" s="136" t="str">
        <f t="shared" si="97"/>
        <v>2.55868954295112E-07j</v>
      </c>
      <c r="AT161" s="136" t="str">
        <f t="shared" si="123"/>
        <v>-4.17330109582506E-11+2.55868954295112E-07j</v>
      </c>
      <c r="AU161" s="179" t="str">
        <f t="shared" si="124"/>
        <v>318723.821306654-3908302.60771434j</v>
      </c>
      <c r="AV161" s="136" t="str">
        <f t="shared" si="98"/>
        <v>7999.86296195668-33.1102033692231j</v>
      </c>
      <c r="AW161" s="136"/>
      <c r="AX161" s="136" t="str">
        <f t="shared" si="99"/>
        <v>0.499991435122292-0.00206938771057644j</v>
      </c>
      <c r="AY161" s="136"/>
      <c r="AZ161" s="136" t="str">
        <f t="shared" si="100"/>
        <v>4.8933672684634-38.956705840863j</v>
      </c>
      <c r="BA161" s="136" t="str">
        <f t="shared" si="101"/>
        <v>2.36602519482784-19.4881455350988j</v>
      </c>
      <c r="BB161" s="136">
        <f t="shared" si="125"/>
        <v>25.858958117624987</v>
      </c>
      <c r="BC161" s="136">
        <f t="shared" si="126"/>
        <v>96.922311782965664</v>
      </c>
      <c r="BD161" s="136" t="str">
        <f t="shared" si="102"/>
        <v>17.1120382038643-182.453308498497j</v>
      </c>
      <c r="BE161" s="136">
        <f t="shared" si="127"/>
        <v>45.261069663864546</v>
      </c>
      <c r="BF161" s="136">
        <f t="shared" si="128"/>
        <v>95.358016709265584</v>
      </c>
      <c r="BG161" s="136"/>
      <c r="BH161" s="136" t="str">
        <f t="shared" si="103"/>
        <v>-7.63787754896881-65.9384774032903j</v>
      </c>
      <c r="BI161" s="136">
        <f t="shared" si="129"/>
        <v>36.440661750334058</v>
      </c>
      <c r="BJ161" s="136">
        <f t="shared" si="130"/>
        <v>83.392681431052978</v>
      </c>
      <c r="BK161" s="136"/>
      <c r="BL161" s="136">
        <f t="shared" si="131"/>
        <v>-35.440661750334058</v>
      </c>
      <c r="BM161" s="136">
        <f t="shared" si="132"/>
        <v>-83.392681431052978</v>
      </c>
      <c r="BN161" s="136"/>
      <c r="BO161" s="189"/>
      <c r="BP161" s="189" t="str">
        <f t="shared" si="104"/>
        <v>0.00001+5.10716475638947E-07j</v>
      </c>
      <c r="BQ161" s="189" t="str">
        <f t="shared" si="105"/>
        <v>2.07280981277162E-08+2.53664448823876E-07j</v>
      </c>
      <c r="BR161" s="189" t="str">
        <f t="shared" si="106"/>
        <v>-0.000835507770558056-0.0063502003754624j</v>
      </c>
      <c r="BS161" s="189" t="str">
        <f t="shared" si="107"/>
        <v>0.0000625207280981277+7.64380924462823E-07j</v>
      </c>
      <c r="BT161" s="189" t="str">
        <f t="shared" si="133"/>
        <v>-4.7382582113413E-08-3.97657797244968E-07j</v>
      </c>
      <c r="BU161" s="189" t="str">
        <f t="shared" si="134"/>
        <v>-2.07280981277162E-08-2.53664448823876E-07j</v>
      </c>
      <c r="BV161" s="189" t="str">
        <f t="shared" si="135"/>
        <v>-6.81106802411292E-08-6.51322246068844E-07j</v>
      </c>
      <c r="BW161" s="189" t="str">
        <f t="shared" si="108"/>
        <v>0.999999339306924-0.000812830018871174j</v>
      </c>
      <c r="BX161" s="189" t="str">
        <f t="shared" si="136"/>
        <v>-0.00001-5.10716475638947E-07j</v>
      </c>
      <c r="BY161" s="189" t="str">
        <f t="shared" si="137"/>
        <v>2.35154104906381-15.1081028134343j</v>
      </c>
      <c r="BZ161" s="136">
        <f t="shared" si="138"/>
        <v>23.688157434799429</v>
      </c>
      <c r="CA161" s="136">
        <f t="shared" si="139"/>
        <v>98.846967743089181</v>
      </c>
      <c r="CB161" s="189" t="str">
        <f t="shared" si="109"/>
        <v>18.0930406808684-141.577979716426j</v>
      </c>
      <c r="CC161" s="136" t="str">
        <f t="shared" si="110"/>
        <v>-4.22065356480242-51.527730233378j</v>
      </c>
      <c r="CD161" s="136">
        <f t="shared" si="140"/>
        <v>34.269861067508458</v>
      </c>
      <c r="CE161" s="136">
        <f t="shared" si="141"/>
        <v>85.317337391176508</v>
      </c>
      <c r="CF161" s="136"/>
      <c r="CG161" s="136">
        <f t="shared" si="142"/>
        <v>-33.269861067508458</v>
      </c>
      <c r="CH161" s="136">
        <f t="shared" si="143"/>
        <v>-85.317337391176508</v>
      </c>
      <c r="CI161" s="77"/>
      <c r="CJ161" s="189"/>
      <c r="CK161" s="189"/>
      <c r="CL161" s="189"/>
      <c r="CM161" s="77"/>
      <c r="CN161" s="189">
        <v>9120.1083935590905</v>
      </c>
      <c r="CO161" s="189">
        <v>12.045830120973701</v>
      </c>
      <c r="CP161" s="189">
        <v>75.966893298883207</v>
      </c>
      <c r="CQ161" s="74"/>
      <c r="CR161" s="75"/>
      <c r="CS161" s="75"/>
      <c r="CT161" s="75"/>
      <c r="CU161" s="74"/>
      <c r="CV161" s="75"/>
      <c r="CW161" s="75"/>
      <c r="CX161" s="75"/>
      <c r="CY161" s="74"/>
      <c r="CZ161" s="75"/>
      <c r="DA161" s="75"/>
      <c r="DB161" s="75"/>
      <c r="DC161" s="74"/>
      <c r="DD161" s="75"/>
      <c r="DE161" s="75"/>
      <c r="DF161" s="75"/>
      <c r="DG161" s="74"/>
      <c r="DH161" s="75"/>
      <c r="DI161" s="75"/>
      <c r="DJ161" s="75"/>
      <c r="DK161" s="74"/>
      <c r="DL161" s="75"/>
      <c r="DM161" s="75"/>
      <c r="DN161" s="75"/>
      <c r="DO161" s="76"/>
    </row>
    <row r="162" spans="1:119" x14ac:dyDescent="0.25">
      <c r="A162" s="136">
        <v>113</v>
      </c>
      <c r="B162" s="136">
        <f t="shared" si="72"/>
        <v>2454.7089156850293</v>
      </c>
      <c r="C162" s="136" t="str">
        <f t="shared" si="79"/>
        <v>15423.3909924349j</v>
      </c>
      <c r="D162" s="136">
        <f t="shared" si="73"/>
        <v>0.99984936010348147</v>
      </c>
      <c r="E162" s="136" t="str">
        <f t="shared" si="74"/>
        <v>-0.0192792387405436j</v>
      </c>
      <c r="F162" s="136" t="str">
        <f t="shared" si="80"/>
        <v>0.999849360103481-0.0192792387405436j</v>
      </c>
      <c r="G162" s="136">
        <f t="shared" si="81"/>
        <v>3.0587128248426014E-4</v>
      </c>
      <c r="H162" s="136">
        <f t="shared" si="82"/>
        <v>-1.104648547228263</v>
      </c>
      <c r="I162" s="136"/>
      <c r="J162" s="136">
        <f t="shared" si="75"/>
        <v>7.0726915520628681</v>
      </c>
      <c r="K162" s="136" t="str">
        <f t="shared" si="76"/>
        <v>1+1.13206661658406j</v>
      </c>
      <c r="L162" s="136">
        <f t="shared" si="77"/>
        <v>0.93002156315049112</v>
      </c>
      <c r="M162" s="136" t="str">
        <f t="shared" si="78"/>
        <v>0.0828496081941524j</v>
      </c>
      <c r="N162" s="136" t="str">
        <f t="shared" si="83"/>
        <v>0.930021563150491+0.0828496081941524j</v>
      </c>
      <c r="O162" s="136" t="str">
        <f t="shared" si="84"/>
        <v>1.02000935126959+0.374991632390783j</v>
      </c>
      <c r="P162" s="136" t="str">
        <f t="shared" si="85"/>
        <v>7.21421152174956+2.65220015050456j</v>
      </c>
      <c r="Q162" s="136"/>
      <c r="R162" s="136">
        <f t="shared" si="86"/>
        <v>11.787819253438114</v>
      </c>
      <c r="S162" s="136" t="str">
        <f t="shared" si="87"/>
        <v>1+0.000361180091679028j</v>
      </c>
      <c r="T162" s="136" t="str">
        <f t="shared" si="88"/>
        <v>0.991190236757252+0.029396150280041j</v>
      </c>
      <c r="U162" s="136" t="str">
        <f t="shared" si="111"/>
        <v>1.00801226171273-0.0295306579426294j</v>
      </c>
      <c r="V162" s="136" t="str">
        <f t="shared" si="112"/>
        <v>11.882266346319-0.348102058262822j</v>
      </c>
      <c r="W162" s="136"/>
      <c r="X162" s="136" t="str">
        <f t="shared" si="89"/>
        <v>1.70563271947848+0.613839728120573j</v>
      </c>
      <c r="Y162" s="136">
        <f t="shared" si="113"/>
        <v>5.1666520464755772</v>
      </c>
      <c r="Z162" s="136">
        <f t="shared" si="114"/>
        <v>-160.20671610804382</v>
      </c>
      <c r="AA162" s="136"/>
      <c r="AB162" s="136" t="str">
        <f t="shared" si="90"/>
        <v>9.34097238785771-0.273652485108346j</v>
      </c>
      <c r="AC162" s="136">
        <f t="shared" si="115"/>
        <v>19.411567506638235</v>
      </c>
      <c r="AD162" s="136">
        <f t="shared" si="116"/>
        <v>178.32194673522525</v>
      </c>
      <c r="AE162" s="136"/>
      <c r="AF162" s="136" t="str">
        <f t="shared" si="117"/>
        <v>3.26158946442911-0.841114042867242j</v>
      </c>
      <c r="AG162" s="136">
        <f t="shared" si="118"/>
        <v>10.548212923961696</v>
      </c>
      <c r="AH162" s="136">
        <f t="shared" si="119"/>
        <v>165.53936536705254</v>
      </c>
      <c r="AI162" s="136"/>
      <c r="AJ162" s="136" t="str">
        <f t="shared" si="91"/>
        <v>99701.4197485619-5456.08604929013j</v>
      </c>
      <c r="AK162" s="136" t="str">
        <f t="shared" si="92"/>
        <v>19047.6186978604-2.58109866315396j</v>
      </c>
      <c r="AL162" s="136" t="str">
        <f t="shared" si="93"/>
        <v>10000-4060762.76200201j</v>
      </c>
      <c r="AM162" s="136" t="str">
        <f t="shared" si="94"/>
        <v>963.136342067688-1260238.354974j</v>
      </c>
      <c r="AN162" s="136" t="str">
        <f t="shared" si="120"/>
        <v>10963.1363420677-1260238.354974j</v>
      </c>
      <c r="AO162" s="136" t="str">
        <f t="shared" si="121"/>
        <v>19040.6889155078-290.306876343685j</v>
      </c>
      <c r="AP162" s="136" t="str">
        <f t="shared" si="122"/>
        <v>0.160065069510341+0.00733615066871348j</v>
      </c>
      <c r="AQ162" s="136" t="str">
        <f t="shared" si="95"/>
        <v>1+0.0875588101040069j</v>
      </c>
      <c r="AR162" s="136" t="str">
        <f t="shared" si="96"/>
        <v>1+0.000174768084039934j</v>
      </c>
      <c r="AS162" s="136" t="str">
        <f t="shared" si="97"/>
        <v>2.74168524138172E-07j</v>
      </c>
      <c r="AT162" s="136" t="str">
        <f t="shared" si="123"/>
        <v>-4.79159076676847E-11+2.74168524138172E-07j</v>
      </c>
      <c r="AU162" s="179" t="str">
        <f t="shared" si="124"/>
        <v>318723.820050475-3647447.40514837j</v>
      </c>
      <c r="AV162" s="136" t="str">
        <f t="shared" si="98"/>
        <v>7999.84265967358-35.4781320728098j</v>
      </c>
      <c r="AW162" s="136"/>
      <c r="AX162" s="136" t="str">
        <f t="shared" si="99"/>
        <v>0.499990166229599-0.00221738325455061j</v>
      </c>
      <c r="AY162" s="136"/>
      <c r="AZ162" s="136" t="str">
        <f t="shared" si="100"/>
        <v>4.89351065227898-36.3391206024523j</v>
      </c>
      <c r="BA162" s="136" t="str">
        <f t="shared" si="101"/>
        <v>2.36612944697031-18.1800537392339j</v>
      </c>
      <c r="BB162" s="136">
        <f t="shared" si="125"/>
        <v>25.264852100945451</v>
      </c>
      <c r="BC162" s="136">
        <f t="shared" si="126"/>
        <v>97.415349410238477</v>
      </c>
      <c r="BD162" s="136" t="str">
        <f t="shared" si="102"/>
        <v>17.1269329451021-170.466877191205j</v>
      </c>
      <c r="BE162" s="136">
        <f t="shared" si="127"/>
        <v>44.676419607583703</v>
      </c>
      <c r="BF162" s="136">
        <f t="shared" si="128"/>
        <v>95.737296145463731</v>
      </c>
      <c r="BG162" s="136"/>
      <c r="BH162" s="136" t="str">
        <f t="shared" si="103"/>
        <v>-7.57415562443693-61.2860564437289j</v>
      </c>
      <c r="BI162" s="136">
        <f t="shared" si="129"/>
        <v>35.813065024907161</v>
      </c>
      <c r="BJ162" s="136">
        <f t="shared" si="130"/>
        <v>82.954714777291017</v>
      </c>
      <c r="BK162" s="136"/>
      <c r="BL162" s="136">
        <f t="shared" si="131"/>
        <v>-34.813065024907161</v>
      </c>
      <c r="BM162" s="136">
        <f t="shared" si="132"/>
        <v>-82.954714777291017</v>
      </c>
      <c r="BN162" s="136"/>
      <c r="BO162" s="189"/>
      <c r="BP162" s="189" t="str">
        <f t="shared" si="104"/>
        <v>0.00001+5.47242563150043E-07j</v>
      </c>
      <c r="BQ162" s="189" t="str">
        <f t="shared" si="105"/>
        <v>2.3775676534393E-08+2.71539511628253E-07j</v>
      </c>
      <c r="BR162" s="189" t="str">
        <f t="shared" si="106"/>
        <v>-0.000905920494967305-0.00679867870056691j</v>
      </c>
      <c r="BS162" s="189" t="str">
        <f t="shared" si="107"/>
        <v>0.0000625237756765344+8.18782074778296E-07j</v>
      </c>
      <c r="BT162" s="189" t="str">
        <f t="shared" si="133"/>
        <v>-5.10749335559096E-08-4.25820813433531E-07j</v>
      </c>
      <c r="BU162" s="189" t="str">
        <f t="shared" si="134"/>
        <v>-2.3775676534393E-08-2.71539511628253E-07j</v>
      </c>
      <c r="BV162" s="189" t="str">
        <f t="shared" si="135"/>
        <v>-7.48506100903026E-08-6.97360325061784E-07j</v>
      </c>
      <c r="BW162" s="189" t="str">
        <f t="shared" si="108"/>
        <v>0.999999241422926-0.000870962971843708j</v>
      </c>
      <c r="BX162" s="189" t="str">
        <f t="shared" si="136"/>
        <v>-0.00001-5.47242563150043E-07j</v>
      </c>
      <c r="BY162" s="189" t="str">
        <f t="shared" si="137"/>
        <v>2.2851399572427-14.0951880527849j</v>
      </c>
      <c r="BZ162" s="136">
        <f t="shared" si="138"/>
        <v>23.094091124841079</v>
      </c>
      <c r="CA162" s="136">
        <f t="shared" si="139"/>
        <v>99.208783889052825</v>
      </c>
      <c r="CB162" s="189" t="str">
        <f t="shared" si="109"/>
        <v>17.4882460042804-132.288096630845j</v>
      </c>
      <c r="CC162" s="136" t="str">
        <f t="shared" si="110"/>
        <v>-4.40247219876313-47.894780160064j</v>
      </c>
      <c r="CD162" s="136">
        <f t="shared" si="140"/>
        <v>33.64230404880275</v>
      </c>
      <c r="CE162" s="136">
        <f t="shared" si="141"/>
        <v>84.748149256105435</v>
      </c>
      <c r="CF162" s="136"/>
      <c r="CG162" s="136">
        <f t="shared" si="142"/>
        <v>-32.64230404880275</v>
      </c>
      <c r="CH162" s="136">
        <f t="shared" si="143"/>
        <v>-84.748149256105435</v>
      </c>
      <c r="CI162" s="77"/>
      <c r="CJ162" s="189"/>
      <c r="CK162" s="189"/>
      <c r="CL162" s="189"/>
      <c r="CM162" s="77"/>
      <c r="CN162" s="189">
        <v>9549.9258602143509</v>
      </c>
      <c r="CO162" s="189">
        <v>11.523979746865701</v>
      </c>
      <c r="CP162" s="189">
        <v>76.708231831627799</v>
      </c>
      <c r="CQ162" s="74"/>
      <c r="CR162" s="75"/>
      <c r="CS162" s="75"/>
      <c r="CT162" s="75"/>
      <c r="CU162" s="74"/>
      <c r="CV162" s="75"/>
      <c r="CW162" s="75"/>
      <c r="CX162" s="75"/>
      <c r="CY162" s="74"/>
      <c r="CZ162" s="75"/>
      <c r="DA162" s="75"/>
      <c r="DB162" s="75"/>
      <c r="DC162" s="74"/>
      <c r="DD162" s="75"/>
      <c r="DE162" s="75"/>
      <c r="DF162" s="75"/>
      <c r="DG162" s="74"/>
      <c r="DH162" s="75"/>
      <c r="DI162" s="75"/>
      <c r="DJ162" s="75"/>
      <c r="DK162" s="74"/>
      <c r="DL162" s="75"/>
      <c r="DM162" s="75"/>
      <c r="DN162" s="75"/>
      <c r="DO162" s="76"/>
    </row>
    <row r="163" spans="1:119" x14ac:dyDescent="0.25">
      <c r="A163" s="136">
        <v>114</v>
      </c>
      <c r="B163" s="136">
        <f t="shared" si="72"/>
        <v>2630.2679918953822</v>
      </c>
      <c r="C163" s="136" t="str">
        <f t="shared" si="79"/>
        <v>16526.4612006218j</v>
      </c>
      <c r="D163" s="136">
        <f t="shared" si="73"/>
        <v>0.99982704225727026</v>
      </c>
      <c r="E163" s="136" t="str">
        <f t="shared" si="74"/>
        <v>-0.0206580765007773j</v>
      </c>
      <c r="F163" s="136" t="str">
        <f t="shared" si="80"/>
        <v>0.99982704225727-0.0206580765007773j</v>
      </c>
      <c r="G163" s="136">
        <f t="shared" si="81"/>
        <v>3.5120215114708931E-4</v>
      </c>
      <c r="H163" s="136">
        <f t="shared" si="82"/>
        <v>-1.1836569314089918</v>
      </c>
      <c r="I163" s="136"/>
      <c r="J163" s="136">
        <f t="shared" si="75"/>
        <v>7.0726915520628681</v>
      </c>
      <c r="K163" s="136" t="str">
        <f t="shared" si="76"/>
        <v>1+1.21303123448484j</v>
      </c>
      <c r="L163" s="136">
        <f t="shared" si="77"/>
        <v>0.91965400430454536</v>
      </c>
      <c r="M163" s="136" t="str">
        <f t="shared" si="78"/>
        <v>0.0887749546114061j</v>
      </c>
      <c r="N163" s="136" t="str">
        <f t="shared" si="83"/>
        <v>0.919654004304545+0.0887749546114061j</v>
      </c>
      <c r="O163" s="136" t="str">
        <f t="shared" si="84"/>
        <v>1.02301791312142+0.402244841427185j</v>
      </c>
      <c r="P163" s="136" t="str">
        <f t="shared" si="85"/>
        <v>7.23549015174285+2.84495369182292j</v>
      </c>
      <c r="Q163" s="136"/>
      <c r="R163" s="136">
        <f t="shared" si="86"/>
        <v>11.787819253438114</v>
      </c>
      <c r="S163" s="136" t="str">
        <f t="shared" si="87"/>
        <v>1+0.000387011440901567j</v>
      </c>
      <c r="T163" s="136" t="str">
        <f t="shared" si="88"/>
        <v>0.989885038428309+0.0314985425247299j</v>
      </c>
      <c r="U163" s="136" t="str">
        <f t="shared" si="111"/>
        <v>1.00920889766319-0.0317224694984137j</v>
      </c>
      <c r="V163" s="136" t="str">
        <f t="shared" si="112"/>
        <v>11.8963720746152-0.373938736720004j</v>
      </c>
      <c r="W163" s="136"/>
      <c r="X163" s="136" t="str">
        <f t="shared" si="89"/>
        <v>1.71128535217899+0.658426467111052j</v>
      </c>
      <c r="Y163" s="136">
        <f t="shared" si="113"/>
        <v>5.2660067619201714</v>
      </c>
      <c r="Z163" s="136">
        <f t="shared" si="114"/>
        <v>-158.95549536089419</v>
      </c>
      <c r="AA163" s="136"/>
      <c r="AB163" s="136" t="str">
        <f t="shared" si="90"/>
        <v>9.35206128409056-0.293963399964859j</v>
      </c>
      <c r="AC163" s="136">
        <f t="shared" si="115"/>
        <v>19.422435740112025</v>
      </c>
      <c r="AD163" s="136">
        <f t="shared" si="116"/>
        <v>178.19961420078181</v>
      </c>
      <c r="AE163" s="136"/>
      <c r="AF163" s="136" t="str">
        <f t="shared" si="117"/>
        <v>3.23235284262656-0.893388097510706j</v>
      </c>
      <c r="AG163" s="136">
        <f t="shared" si="118"/>
        <v>10.510076250515629</v>
      </c>
      <c r="AH163" s="136">
        <f t="shared" si="119"/>
        <v>164.54976473317788</v>
      </c>
      <c r="AI163" s="136"/>
      <c r="AJ163" s="136" t="str">
        <f t="shared" si="91"/>
        <v>99657.3355831635-5843.71652128048j</v>
      </c>
      <c r="AK163" s="136" t="str">
        <f t="shared" si="92"/>
        <v>19047.6186460423-2.76569703876853j</v>
      </c>
      <c r="AL163" s="136" t="str">
        <f t="shared" si="93"/>
        <v>10000-3789724.31215464j</v>
      </c>
      <c r="AM163" s="136" t="str">
        <f t="shared" si="94"/>
        <v>963.135930494229-1176123.09097255j</v>
      </c>
      <c r="AN163" s="136" t="str">
        <f t="shared" si="120"/>
        <v>10963.1359304942-1176123.09097255j</v>
      </c>
      <c r="AO163" s="136" t="str">
        <f t="shared" si="121"/>
        <v>19039.662867392-311.043087132144j</v>
      </c>
      <c r="AP163" s="136" t="str">
        <f t="shared" si="122"/>
        <v>0.160074708923244+0.00786073545407279j</v>
      </c>
      <c r="AQ163" s="136" t="str">
        <f t="shared" si="95"/>
        <v>1+0.093820955370077j</v>
      </c>
      <c r="AR163" s="136" t="str">
        <f t="shared" si="96"/>
        <v>1+0.000187267375988178j</v>
      </c>
      <c r="AS163" s="136" t="str">
        <f t="shared" si="97"/>
        <v>2.93776866502553E-07j</v>
      </c>
      <c r="AT163" s="136" t="str">
        <f t="shared" si="123"/>
        <v>-5.50148229159624E-11+2.93776866502553E-07j</v>
      </c>
      <c r="AU163" s="179" t="str">
        <f t="shared" si="124"/>
        <v>318723.818608191-3404003.67952645j</v>
      </c>
      <c r="AV163" s="136" t="str">
        <f t="shared" si="98"/>
        <v>7999.8193496608-38.0153926598728j</v>
      </c>
      <c r="AW163" s="136"/>
      <c r="AX163" s="136" t="str">
        <f t="shared" si="99"/>
        <v>0.4999887093538-0.00237596204124205j</v>
      </c>
      <c r="AY163" s="136"/>
      <c r="AZ163" s="136" t="str">
        <f t="shared" si="100"/>
        <v>4.89367527613266-33.8950043429012j</v>
      </c>
      <c r="BA163" s="136" t="str">
        <f t="shared" si="101"/>
        <v>2.3662491416037-16.9587466616469j</v>
      </c>
      <c r="BB163" s="136">
        <f t="shared" si="125"/>
        <v>24.671613343232796</v>
      </c>
      <c r="BC163" s="136">
        <f t="shared" si="126"/>
        <v>97.943181496456717</v>
      </c>
      <c r="BD163" s="136" t="str">
        <f t="shared" si="102"/>
        <v>17.1440561579041-159.294828723918j</v>
      </c>
      <c r="BE163" s="136">
        <f t="shared" si="127"/>
        <v>44.094049083344828</v>
      </c>
      <c r="BF163" s="136">
        <f t="shared" si="128"/>
        <v>96.14279569723854</v>
      </c>
      <c r="BG163" s="136"/>
      <c r="BH163" s="136" t="str">
        <f t="shared" si="103"/>
        <v>-7.50219027698939-56.9306317980119j</v>
      </c>
      <c r="BI163" s="136">
        <f t="shared" si="129"/>
        <v>35.181689593748452</v>
      </c>
      <c r="BJ163" s="136">
        <f t="shared" si="130"/>
        <v>82.492946229634626</v>
      </c>
      <c r="BK163" s="136"/>
      <c r="BL163" s="136">
        <f t="shared" si="131"/>
        <v>-34.181689593748452</v>
      </c>
      <c r="BM163" s="136">
        <f t="shared" si="132"/>
        <v>-82.492946229634626</v>
      </c>
      <c r="BN163" s="136"/>
      <c r="BO163" s="189"/>
      <c r="BP163" s="189" t="str">
        <f t="shared" si="104"/>
        <v>0.00001+5.86380971062981E-07j</v>
      </c>
      <c r="BQ163" s="189" t="str">
        <f t="shared" si="105"/>
        <v>2.72673937240439E-08+2.90632232601849E-07j</v>
      </c>
      <c r="BR163" s="189" t="str">
        <f t="shared" si="106"/>
        <v>-0.000986620197007368-0.00727793566424225j</v>
      </c>
      <c r="BS163" s="189" t="str">
        <f t="shared" si="107"/>
        <v>0.000062527267393724+8.7701320366483E-07j</v>
      </c>
      <c r="BT163" s="189" t="str">
        <f t="shared" si="133"/>
        <v>-5.53078192013647E-08-4.55934708292173E-07j</v>
      </c>
      <c r="BU163" s="189" t="str">
        <f t="shared" si="134"/>
        <v>-2.72673937240439E-08-2.90632232601849E-07j</v>
      </c>
      <c r="BV163" s="189" t="str">
        <f t="shared" si="135"/>
        <v>-8.25752129254086E-08-7.46566940894022E-07j</v>
      </c>
      <c r="BW163" s="189" t="str">
        <f t="shared" si="108"/>
        <v>0.999999129037083-0.000933253533593075j</v>
      </c>
      <c r="BX163" s="189" t="str">
        <f t="shared" si="136"/>
        <v>-0.00001-5.86380971062981E-07j</v>
      </c>
      <c r="BY163" s="189" t="str">
        <f t="shared" si="137"/>
        <v>2.22730259951486-13.1490131806859j</v>
      </c>
      <c r="BZ163" s="136">
        <f t="shared" si="138"/>
        <v>22.500719991264866</v>
      </c>
      <c r="CA163" s="136">
        <f t="shared" si="139"/>
        <v>99.614036131899709</v>
      </c>
      <c r="CB163" s="189" t="str">
        <f t="shared" si="109"/>
        <v>16.9645417881-123.625122535993j</v>
      </c>
      <c r="CC163" s="136" t="str">
        <f t="shared" si="110"/>
        <v>-4.54774398070479-44.4920957642854j</v>
      </c>
      <c r="CD163" s="136">
        <f t="shared" si="140"/>
        <v>33.010796241780497</v>
      </c>
      <c r="CE163" s="136">
        <f t="shared" si="141"/>
        <v>84.16380086507759</v>
      </c>
      <c r="CF163" s="136"/>
      <c r="CG163" s="136">
        <f t="shared" si="142"/>
        <v>-32.010796241780497</v>
      </c>
      <c r="CH163" s="136">
        <f t="shared" si="143"/>
        <v>-84.16380086507759</v>
      </c>
      <c r="CI163" s="77"/>
      <c r="CJ163" s="189"/>
      <c r="CK163" s="189"/>
      <c r="CL163" s="189"/>
      <c r="CM163" s="77"/>
      <c r="CN163" s="189">
        <v>10000</v>
      </c>
      <c r="CO163" s="189">
        <v>11.0089053862556</v>
      </c>
      <c r="CP163" s="189">
        <v>77.497119897291199</v>
      </c>
      <c r="CQ163" s="74"/>
      <c r="CR163" s="75"/>
      <c r="CS163" s="75"/>
      <c r="CT163" s="75"/>
      <c r="CU163" s="74"/>
      <c r="CV163" s="75"/>
      <c r="CW163" s="75"/>
      <c r="CX163" s="75"/>
      <c r="CY163" s="74"/>
      <c r="CZ163" s="75"/>
      <c r="DA163" s="75"/>
      <c r="DB163" s="75"/>
      <c r="DC163" s="74"/>
      <c r="DD163" s="75"/>
      <c r="DE163" s="75"/>
      <c r="DF163" s="75"/>
      <c r="DG163" s="74"/>
      <c r="DH163" s="75"/>
      <c r="DI163" s="75"/>
      <c r="DJ163" s="75"/>
      <c r="DK163" s="74"/>
      <c r="DL163" s="75"/>
      <c r="DM163" s="75"/>
      <c r="DN163" s="75"/>
      <c r="DO163" s="76"/>
    </row>
    <row r="164" spans="1:119" x14ac:dyDescent="0.25">
      <c r="A164" s="136">
        <v>115</v>
      </c>
      <c r="B164" s="136">
        <f t="shared" si="72"/>
        <v>2818.3829312644534</v>
      </c>
      <c r="C164" s="136" t="str">
        <f t="shared" si="79"/>
        <v>17708.4222237265j</v>
      </c>
      <c r="D164" s="136">
        <f t="shared" si="73"/>
        <v>0.99980141794131894</v>
      </c>
      <c r="E164" s="136" t="str">
        <f t="shared" si="74"/>
        <v>-0.0221355277796581j</v>
      </c>
      <c r="F164" s="136" t="str">
        <f t="shared" si="80"/>
        <v>0.999801417941319-0.0221355277796581j</v>
      </c>
      <c r="G164" s="136">
        <f t="shared" si="81"/>
        <v>4.0325370342612167E-4</v>
      </c>
      <c r="H164" s="136">
        <f t="shared" si="82"/>
        <v>-1.2683170193417446</v>
      </c>
      <c r="I164" s="136"/>
      <c r="J164" s="136">
        <f t="shared" si="75"/>
        <v>7.0726915520628681</v>
      </c>
      <c r="K164" s="136" t="str">
        <f t="shared" si="76"/>
        <v>1+1.29978638560671j</v>
      </c>
      <c r="L164" s="136">
        <f t="shared" si="77"/>
        <v>0.90775045406949106</v>
      </c>
      <c r="M164" s="136" t="str">
        <f t="shared" si="78"/>
        <v>0.0951240776877137j</v>
      </c>
      <c r="N164" s="136" t="str">
        <f t="shared" si="83"/>
        <v>0.907750454069491+0.0951240776877137j</v>
      </c>
      <c r="O164" s="136" t="str">
        <f t="shared" si="84"/>
        <v>1.02648644075744+0.431548162064986j</v>
      </c>
      <c r="P164" s="136" t="str">
        <f t="shared" si="85"/>
        <v>7.26002197785223+3.05220704014528j</v>
      </c>
      <c r="Q164" s="136"/>
      <c r="R164" s="136">
        <f t="shared" si="86"/>
        <v>11.787819253438114</v>
      </c>
      <c r="S164" s="136" t="str">
        <f t="shared" si="87"/>
        <v>1+0.000414690230273853j</v>
      </c>
      <c r="T164" s="136" t="str">
        <f t="shared" si="88"/>
        <v>0.988386470240161+0.0337512964020958j</v>
      </c>
      <c r="U164" s="136" t="str">
        <f t="shared" si="111"/>
        <v>1.01058589452812-0.0340897967042537j</v>
      </c>
      <c r="V164" s="136" t="str">
        <f t="shared" si="112"/>
        <v>11.9126038647716-0.401844361936193j</v>
      </c>
      <c r="W164" s="136"/>
      <c r="X164" s="136" t="str">
        <f t="shared" si="89"/>
        <v>1.7178008565193+0.706361356949557j</v>
      </c>
      <c r="Y164" s="136">
        <f t="shared" si="113"/>
        <v>5.3779217418075049</v>
      </c>
      <c r="Z164" s="136">
        <f t="shared" si="114"/>
        <v>-157.6474882300646</v>
      </c>
      <c r="AA164" s="136"/>
      <c r="AB164" s="136" t="str">
        <f t="shared" si="90"/>
        <v>9.36482153531178-0.315900770077007j</v>
      </c>
      <c r="AC164" s="136">
        <f t="shared" si="115"/>
        <v>19.43492911708233</v>
      </c>
      <c r="AD164" s="136">
        <f t="shared" si="116"/>
        <v>178.06799090980371</v>
      </c>
      <c r="AE164" s="136"/>
      <c r="AF164" s="136" t="str">
        <f t="shared" si="117"/>
        <v>3.19940887294355-0.94776611642722j</v>
      </c>
      <c r="AG164" s="136">
        <f t="shared" si="118"/>
        <v>10.466698516705893</v>
      </c>
      <c r="AH164" s="136">
        <f t="shared" si="119"/>
        <v>163.49904457873623</v>
      </c>
      <c r="AI164" s="136"/>
      <c r="AJ164" s="136" t="str">
        <f t="shared" si="91"/>
        <v>99606.7682407173-6258.47782705717j</v>
      </c>
      <c r="AK164" s="136" t="str">
        <f t="shared" si="92"/>
        <v>19047.6185865473-2.96349776022249j</v>
      </c>
      <c r="AL164" s="136" t="str">
        <f t="shared" si="93"/>
        <v>10000-3536776.51315322j</v>
      </c>
      <c r="AM164" s="136" t="str">
        <f t="shared" si="94"/>
        <v>963.135457945106-1097622.17525538j</v>
      </c>
      <c r="AN164" s="136" t="str">
        <f t="shared" si="120"/>
        <v>10963.1354579451-1097622.17525538j</v>
      </c>
      <c r="AO164" s="136" t="str">
        <f t="shared" si="121"/>
        <v>19038.4850215284-333.256279023195j</v>
      </c>
      <c r="AP164" s="136" t="str">
        <f t="shared" si="122"/>
        <v>0.160085776173002+0.00842281708589328j</v>
      </c>
      <c r="AQ164" s="136" t="str">
        <f t="shared" si="95"/>
        <v>1+0.100530964914873j</v>
      </c>
      <c r="AR164" s="136" t="str">
        <f t="shared" si="96"/>
        <v>1+0.000200660608612522j</v>
      </c>
      <c r="AS164" s="136" t="str">
        <f t="shared" si="97"/>
        <v>3.14787583889697E-07j</v>
      </c>
      <c r="AT164" s="136" t="str">
        <f t="shared" si="123"/>
        <v>-6.31654681669719E-11+3.14787583889697E-07j</v>
      </c>
      <c r="AU164" s="179" t="str">
        <f t="shared" si="124"/>
        <v>318723.816952225-3176809.32641081j</v>
      </c>
      <c r="AV164" s="136" t="str">
        <f t="shared" si="98"/>
        <v>7999.79258635272-40.7340908553306j</v>
      </c>
      <c r="AW164" s="136"/>
      <c r="AX164" s="136" t="str">
        <f t="shared" si="99"/>
        <v>0.499987036647045-0.00254588067845816j</v>
      </c>
      <c r="AY164" s="136"/>
      <c r="AZ164" s="136" t="str">
        <f t="shared" si="100"/>
        <v>4.893864285924-31.6126898908574j</v>
      </c>
      <c r="BA164" s="136" t="str">
        <f t="shared" si="101"/>
        <v>2.36638656568472-15.8183943335003j</v>
      </c>
      <c r="BB164" s="136">
        <f t="shared" si="125"/>
        <v>24.07936845284496</v>
      </c>
      <c r="BC164" s="136">
        <f t="shared" si="126"/>
        <v>98.508190069564805</v>
      </c>
      <c r="BD164" s="136" t="str">
        <f t="shared" si="102"/>
        <v>17.1637449198622-148.883983246817j</v>
      </c>
      <c r="BE164" s="136">
        <f t="shared" si="127"/>
        <v>43.51429756992728</v>
      </c>
      <c r="BF164" s="136">
        <f t="shared" si="128"/>
        <v>96.576180979368488</v>
      </c>
      <c r="BG164" s="136"/>
      <c r="BH164" s="136" t="str">
        <f t="shared" si="103"/>
        <v>-7.4210999905098-52.8522921916454j</v>
      </c>
      <c r="BI164" s="136">
        <f t="shared" si="129"/>
        <v>34.54606696955085</v>
      </c>
      <c r="BJ164" s="136">
        <f t="shared" si="130"/>
        <v>82.007234648301065</v>
      </c>
      <c r="BK164" s="136"/>
      <c r="BL164" s="136">
        <f t="shared" si="131"/>
        <v>-33.54606696955085</v>
      </c>
      <c r="BM164" s="136">
        <f t="shared" si="132"/>
        <v>-82.007234648301065</v>
      </c>
      <c r="BN164" s="136"/>
      <c r="BO164" s="189"/>
      <c r="BP164" s="189" t="str">
        <f t="shared" si="104"/>
        <v>0.00001+6.28318530717959E-07j</v>
      </c>
      <c r="BQ164" s="189" t="str">
        <f t="shared" si="105"/>
        <v>3.12667375846716E-08+3.11015990059853E-07j</v>
      </c>
      <c r="BR164" s="189" t="str">
        <f t="shared" si="106"/>
        <v>-0.00107908535913305-0.0077898791742285j</v>
      </c>
      <c r="BS164" s="189" t="str">
        <f t="shared" si="107"/>
        <v>0.0000625312667375847+9.39334520777812E-07j</v>
      </c>
      <c r="BT164" s="189" t="str">
        <f t="shared" si="133"/>
        <v>-6.01592720035301E-08-4.88124634625938E-07j</v>
      </c>
      <c r="BU164" s="189" t="str">
        <f t="shared" si="134"/>
        <v>-3.12667375846716E-08-3.11015990059853E-07j</v>
      </c>
      <c r="BV164" s="189" t="str">
        <f t="shared" si="135"/>
        <v>-9.14260095882017E-08-7.99140624685791E-07j</v>
      </c>
      <c r="BW164" s="189" t="str">
        <f t="shared" si="108"/>
        <v>0.999999000000902-0.000999999048890003j</v>
      </c>
      <c r="BX164" s="189" t="str">
        <f t="shared" si="136"/>
        <v>-0.00001-6.28318530717959E-07j</v>
      </c>
      <c r="BY164" s="189" t="str">
        <f t="shared" si="137"/>
        <v>2.17692957152661-12.2651633908823j</v>
      </c>
      <c r="BZ164" s="136">
        <f t="shared" si="138"/>
        <v>21.908168712485935</v>
      </c>
      <c r="CA164" s="136">
        <f t="shared" si="139"/>
        <v>100.06454922953191</v>
      </c>
      <c r="CB164" s="189" t="str">
        <f t="shared" si="109"/>
        <v>16.5119823719894-115.548759985101j</v>
      </c>
      <c r="CC164" s="136" t="str">
        <f t="shared" si="110"/>
        <v>-4.6596184874064-41.3044926666327j</v>
      </c>
      <c r="CD164" s="136">
        <f t="shared" si="140"/>
        <v>32.37486722919185</v>
      </c>
      <c r="CE164" s="136">
        <f t="shared" si="141"/>
        <v>83.563593808268166</v>
      </c>
      <c r="CF164" s="136"/>
      <c r="CG164" s="136">
        <f t="shared" si="142"/>
        <v>-31.37486722919185</v>
      </c>
      <c r="CH164" s="136">
        <f t="shared" si="143"/>
        <v>-83.563593808268166</v>
      </c>
      <c r="CI164" s="77"/>
      <c r="CJ164" s="189"/>
      <c r="CK164" s="189"/>
      <c r="CL164" s="189"/>
      <c r="CM164" s="77"/>
      <c r="CN164" s="189">
        <v>10471.285480508899</v>
      </c>
      <c r="CO164" s="189">
        <v>10.5011223848275</v>
      </c>
      <c r="CP164" s="189">
        <v>78.330825479423694</v>
      </c>
      <c r="CQ164" s="74"/>
      <c r="CR164" s="75"/>
      <c r="CS164" s="75"/>
      <c r="CT164" s="75"/>
      <c r="CU164" s="74"/>
      <c r="CV164" s="75"/>
      <c r="CW164" s="75"/>
      <c r="CX164" s="75"/>
      <c r="CY164" s="74"/>
      <c r="CZ164" s="75"/>
      <c r="DA164" s="75"/>
      <c r="DB164" s="75"/>
      <c r="DC164" s="74"/>
      <c r="DD164" s="75"/>
      <c r="DE164" s="75"/>
      <c r="DF164" s="75"/>
      <c r="DG164" s="74"/>
      <c r="DH164" s="75"/>
      <c r="DI164" s="75"/>
      <c r="DJ164" s="75"/>
      <c r="DK164" s="74"/>
      <c r="DL164" s="75"/>
      <c r="DM164" s="75"/>
      <c r="DN164" s="75"/>
      <c r="DO164" s="76"/>
    </row>
    <row r="165" spans="1:119" x14ac:dyDescent="0.25">
      <c r="A165" s="136">
        <v>116</v>
      </c>
      <c r="B165" s="136">
        <f t="shared" si="72"/>
        <v>3019.9517204020176</v>
      </c>
      <c r="C165" s="136" t="str">
        <f t="shared" si="79"/>
        <v>18974.9162780217j</v>
      </c>
      <c r="D165" s="136">
        <f t="shared" si="73"/>
        <v>0.99977199729016097</v>
      </c>
      <c r="E165" s="136" t="str">
        <f t="shared" si="74"/>
        <v>-0.0237186453475271j</v>
      </c>
      <c r="F165" s="136" t="str">
        <f t="shared" si="80"/>
        <v>0.999771997290161-0.0237186453475271j</v>
      </c>
      <c r="G165" s="136">
        <f t="shared" si="81"/>
        <v>4.6302314481512063E-4</v>
      </c>
      <c r="H165" s="136">
        <f t="shared" si="82"/>
        <v>-1.3590332652534778</v>
      </c>
      <c r="I165" s="136"/>
      <c r="J165" s="136">
        <f t="shared" si="75"/>
        <v>7.0726915520628681</v>
      </c>
      <c r="K165" s="136" t="str">
        <f t="shared" si="76"/>
        <v>1+1.39274620486261j</v>
      </c>
      <c r="L165" s="136">
        <f t="shared" si="77"/>
        <v>0.89408334975844228</v>
      </c>
      <c r="M165" s="136" t="str">
        <f t="shared" si="78"/>
        <v>0.101927285635308j</v>
      </c>
      <c r="N165" s="136" t="str">
        <f t="shared" si="83"/>
        <v>0.894083349758442+0.101927285635308j</v>
      </c>
      <c r="O165" s="136" t="str">
        <f t="shared" si="84"/>
        <v>1.03048771485426+0.463071896865094j</v>
      </c>
      <c r="P165" s="136" t="str">
        <f t="shared" si="85"/>
        <v>7.28832175535429+3.27516469295548j</v>
      </c>
      <c r="Q165" s="136"/>
      <c r="R165" s="136">
        <f t="shared" si="86"/>
        <v>11.787819253438114</v>
      </c>
      <c r="S165" s="136" t="str">
        <f t="shared" si="87"/>
        <v>1+0.000444348587431862j</v>
      </c>
      <c r="T165" s="136" t="str">
        <f t="shared" si="88"/>
        <v>0.986665883747879+0.0361651656716422j</v>
      </c>
      <c r="U165" s="136" t="str">
        <f t="shared" si="111"/>
        <v>1.01217096380225-0.0366496730069796j</v>
      </c>
      <c r="V165" s="136" t="str">
        <f t="shared" si="112"/>
        <v>11.9312883748792-0.432019721103885j</v>
      </c>
      <c r="W165" s="136"/>
      <c r="X165" s="136" t="str">
        <f t="shared" si="89"/>
        <v>1.72531533863204+0.757921177638258j</v>
      </c>
      <c r="Y165" s="136">
        <f t="shared" si="113"/>
        <v>5.5036993801790857</v>
      </c>
      <c r="Z165" s="136">
        <f t="shared" si="114"/>
        <v>-156.28439013399671</v>
      </c>
      <c r="AA165" s="136"/>
      <c r="AB165" s="136" t="str">
        <f t="shared" si="90"/>
        <v>9.37950993632122-0.339622439711725j</v>
      </c>
      <c r="AC165" s="136">
        <f t="shared" si="115"/>
        <v>19.449293217772968</v>
      </c>
      <c r="AD165" s="136">
        <f t="shared" si="116"/>
        <v>177.92628451777543</v>
      </c>
      <c r="AE165" s="136"/>
      <c r="AF165" s="136" t="str">
        <f t="shared" si="117"/>
        <v>3.16238253323269-1.00408899280465j</v>
      </c>
      <c r="AG165" s="136">
        <f t="shared" si="118"/>
        <v>10.417422696065399</v>
      </c>
      <c r="AH165" s="136">
        <f t="shared" si="119"/>
        <v>162.38482115788173</v>
      </c>
      <c r="AI165" s="136"/>
      <c r="AJ165" s="136" t="str">
        <f t="shared" si="91"/>
        <v>99548.772410861-6702.17521232455j</v>
      </c>
      <c r="AK165" s="136" t="str">
        <f t="shared" si="92"/>
        <v>19047.6185182378-3.17544504971889j</v>
      </c>
      <c r="AL165" s="136" t="str">
        <f t="shared" si="93"/>
        <v>10000-3300711.89185804j</v>
      </c>
      <c r="AM165" s="136" t="str">
        <f t="shared" si="94"/>
        <v>963.134915386679-1024360.87537744j</v>
      </c>
      <c r="AN165" s="136" t="str">
        <f t="shared" si="120"/>
        <v>10963.1349153867-1024360.87537744j</v>
      </c>
      <c r="AO165" s="136" t="str">
        <f t="shared" si="121"/>
        <v>19037.132956871-357.050692082269j</v>
      </c>
      <c r="AP165" s="136" t="str">
        <f t="shared" si="122"/>
        <v>0.160098482710646+0.0090250724567042j</v>
      </c>
      <c r="AQ165" s="136" t="str">
        <f t="shared" si="95"/>
        <v>1+0.107720869680451j</v>
      </c>
      <c r="AR165" s="136" t="str">
        <f t="shared" si="96"/>
        <v>1+0.000215011715929045j</v>
      </c>
      <c r="AS165" s="136" t="str">
        <f t="shared" si="97"/>
        <v>3.37300973186913E-07j</v>
      </c>
      <c r="AT165" s="136" t="str">
        <f t="shared" si="123"/>
        <v>-7.2523661029455E-11+3.37300973186913E-07j</v>
      </c>
      <c r="AU165" s="179" t="str">
        <f t="shared" si="124"/>
        <v>318723.815050924-2964779.80946639j</v>
      </c>
      <c r="AV165" s="136" t="str">
        <f t="shared" si="98"/>
        <v>7999.76185818446-43.6471970779969j</v>
      </c>
      <c r="AW165" s="136"/>
      <c r="AX165" s="136" t="str">
        <f t="shared" si="99"/>
        <v>0.499985116136529-0.00272794981737481j</v>
      </c>
      <c r="AY165" s="136"/>
      <c r="AZ165" s="136" t="str">
        <f t="shared" si="100"/>
        <v>4.89408129334624-29.4812824707282j</v>
      </c>
      <c r="BA165" s="136" t="str">
        <f t="shared" si="101"/>
        <v>2.36654434470334-14.7535532481513j</v>
      </c>
      <c r="BB165" s="136">
        <f t="shared" si="125"/>
        <v>23.488262205864146</v>
      </c>
      <c r="BC165" s="136">
        <f t="shared" si="126"/>
        <v>99.112903473867647</v>
      </c>
      <c r="BD165" s="136" t="str">
        <f t="shared" si="102"/>
        <v>17.1863884473358-139.184830851113j</v>
      </c>
      <c r="BE165" s="136">
        <f t="shared" si="127"/>
        <v>42.937555423637086</v>
      </c>
      <c r="BF165" s="136">
        <f t="shared" si="128"/>
        <v>97.03918799164309</v>
      </c>
      <c r="BG165" s="136"/>
      <c r="BH165" s="136" t="str">
        <f t="shared" si="103"/>
        <v>-7.32996192141549-49.0326002225727j</v>
      </c>
      <c r="BI165" s="136">
        <f t="shared" si="129"/>
        <v>33.905684901929526</v>
      </c>
      <c r="BJ165" s="136">
        <f t="shared" si="130"/>
        <v>81.497724631749449</v>
      </c>
      <c r="BK165" s="136"/>
      <c r="BL165" s="136">
        <f t="shared" si="131"/>
        <v>-32.905684901929526</v>
      </c>
      <c r="BM165" s="136">
        <f t="shared" si="132"/>
        <v>-81.497724631749449</v>
      </c>
      <c r="BN165" s="136"/>
      <c r="BO165" s="189"/>
      <c r="BP165" s="189" t="str">
        <f t="shared" si="104"/>
        <v>0.00001+6.73255435502821E-07j</v>
      </c>
      <c r="BQ165" s="189" t="str">
        <f t="shared" si="105"/>
        <v>3.58458825728054E-08+3.32766368106204E-07j</v>
      </c>
      <c r="BR165" s="189" t="str">
        <f t="shared" si="106"/>
        <v>-0.00118499928323303-0.00833648811970256j</v>
      </c>
      <c r="BS165" s="189" t="str">
        <f t="shared" si="107"/>
        <v>0.0000625358458825728+1.00602180360902E-06j</v>
      </c>
      <c r="BT165" s="189" t="str">
        <f t="shared" si="133"/>
        <v>-6.57182437332717E-08-5.22521471371812E-07j</v>
      </c>
      <c r="BU165" s="189" t="str">
        <f t="shared" si="134"/>
        <v>-3.58458825728054E-08-3.32766368106204E-07j</v>
      </c>
      <c r="BV165" s="189" t="str">
        <f t="shared" si="135"/>
        <v>-1.01564126306077E-07-8.55287839478016E-07j</v>
      </c>
      <c r="BW165" s="189" t="str">
        <f t="shared" si="108"/>
        <v>0.999998851847584-0.00107151812735574j</v>
      </c>
      <c r="BX165" s="189" t="str">
        <f t="shared" si="136"/>
        <v>-0.00001-6.73255435502821E-07j</v>
      </c>
      <c r="BY165" s="189" t="str">
        <f t="shared" si="137"/>
        <v>2.13306265108061-11.4395023847615j</v>
      </c>
      <c r="BZ165" s="136">
        <f t="shared" si="138"/>
        <v>21.316577012563343</v>
      </c>
      <c r="CA165" s="136">
        <f t="shared" si="139"/>
        <v>100.56233728150106</v>
      </c>
      <c r="CB165" s="189" t="str">
        <f t="shared" si="109"/>
        <v>16.1219706216055-108.021362226059j</v>
      </c>
      <c r="CC165" s="136" t="str">
        <f t="shared" si="110"/>
        <v>-4.74071835763322-38.3178672593564j</v>
      </c>
      <c r="CD165" s="136">
        <f t="shared" si="140"/>
        <v>31.733999708628783</v>
      </c>
      <c r="CE165" s="136">
        <f t="shared" si="141"/>
        <v>82.947158439382832</v>
      </c>
      <c r="CF165" s="136"/>
      <c r="CG165" s="136">
        <f t="shared" si="142"/>
        <v>-30.733999708628783</v>
      </c>
      <c r="CH165" s="136">
        <f t="shared" si="143"/>
        <v>-82.947158439382832</v>
      </c>
      <c r="CI165" s="77"/>
      <c r="CJ165" s="189"/>
      <c r="CK165" s="189"/>
      <c r="CL165" s="189"/>
      <c r="CM165" s="77"/>
      <c r="CN165" s="189">
        <v>10964.7819614318</v>
      </c>
      <c r="CO165" s="189">
        <v>10.001109019758999</v>
      </c>
      <c r="CP165" s="189">
        <v>79.206418667866501</v>
      </c>
      <c r="CQ165" s="74"/>
      <c r="CR165" s="75"/>
      <c r="CS165" s="75"/>
      <c r="CT165" s="75"/>
      <c r="CU165" s="74"/>
      <c r="CV165" s="75"/>
      <c r="CW165" s="75"/>
      <c r="CX165" s="75"/>
      <c r="CY165" s="74"/>
      <c r="CZ165" s="75"/>
      <c r="DA165" s="75"/>
      <c r="DB165" s="75"/>
      <c r="DC165" s="74"/>
      <c r="DD165" s="75"/>
      <c r="DE165" s="75"/>
      <c r="DF165" s="75"/>
      <c r="DG165" s="74"/>
      <c r="DH165" s="75"/>
      <c r="DI165" s="75"/>
      <c r="DJ165" s="75"/>
      <c r="DK165" s="74"/>
      <c r="DL165" s="75"/>
      <c r="DM165" s="75"/>
      <c r="DN165" s="75"/>
      <c r="DO165" s="76"/>
    </row>
    <row r="166" spans="1:119" x14ac:dyDescent="0.25">
      <c r="A166" s="136">
        <v>117</v>
      </c>
      <c r="B166" s="136">
        <f t="shared" si="72"/>
        <v>3235.9365692962833</v>
      </c>
      <c r="C166" s="136" t="str">
        <f t="shared" si="79"/>
        <v>20331.9891071675j</v>
      </c>
      <c r="D166" s="136">
        <f t="shared" si="73"/>
        <v>0.99973821786298722</v>
      </c>
      <c r="E166" s="136" t="str">
        <f t="shared" si="74"/>
        <v>-0.0254149863839594j</v>
      </c>
      <c r="F166" s="136" t="str">
        <f t="shared" si="80"/>
        <v>0.999738217862987-0.0254149863839594j</v>
      </c>
      <c r="G166" s="136">
        <f t="shared" si="81"/>
        <v>5.3165590147083376E-4</v>
      </c>
      <c r="H166" s="136">
        <f t="shared" si="82"/>
        <v>-1.4562391067661895</v>
      </c>
      <c r="I166" s="136"/>
      <c r="J166" s="136">
        <f t="shared" si="75"/>
        <v>7.0726915520628681</v>
      </c>
      <c r="K166" s="136" t="str">
        <f t="shared" si="76"/>
        <v>1+1.49235444580669j</v>
      </c>
      <c r="L166" s="136">
        <f t="shared" si="77"/>
        <v>0.87839141444833757</v>
      </c>
      <c r="M166" s="136" t="str">
        <f t="shared" si="78"/>
        <v>0.1092170542887j</v>
      </c>
      <c r="N166" s="136" t="str">
        <f t="shared" si="83"/>
        <v>0.878391414448338+0.1092170542887j</v>
      </c>
      <c r="O166" s="136" t="str">
        <f t="shared" si="84"/>
        <v>1.03510682860295+0.497004159075693j</v>
      </c>
      <c r="P166" s="136" t="str">
        <f t="shared" si="85"/>
        <v>7.32099132214267+3.51515711723476j</v>
      </c>
      <c r="Q166" s="136"/>
      <c r="R166" s="136">
        <f t="shared" si="86"/>
        <v>11.787819253438114</v>
      </c>
      <c r="S166" s="136" t="str">
        <f t="shared" si="87"/>
        <v>1+0.0004761280896883j</v>
      </c>
      <c r="T166" s="136" t="str">
        <f t="shared" si="88"/>
        <v>0.984690386135667+0.038751673194281j</v>
      </c>
      <c r="U166" s="136" t="str">
        <f t="shared" si="111"/>
        <v>1.01399624379939-0.0394214501500232j</v>
      </c>
      <c r="V166" s="136" t="str">
        <f t="shared" si="112"/>
        <v>11.9528044455724-0.464692929076894j</v>
      </c>
      <c r="W166" s="136"/>
      <c r="X166" s="136" t="str">
        <f t="shared" si="89"/>
        <v>1.73398779539094+0.813411361207158j</v>
      </c>
      <c r="Y166" s="136">
        <f t="shared" si="113"/>
        <v>5.6447096862154966</v>
      </c>
      <c r="Z166" s="136">
        <f t="shared" si="114"/>
        <v>-154.86878898636905</v>
      </c>
      <c r="AA166" s="136"/>
      <c r="AB166" s="136" t="str">
        <f t="shared" si="90"/>
        <v>9.39642430403379-0.365307736152934j</v>
      </c>
      <c r="AC166" s="136">
        <f t="shared" si="115"/>
        <v>19.465811559022626</v>
      </c>
      <c r="AD166" s="136">
        <f t="shared" si="116"/>
        <v>177.77361523583372</v>
      </c>
      <c r="AE166" s="136"/>
      <c r="AF166" s="136" t="str">
        <f t="shared" si="117"/>
        <v>3.12088771060175-1.06213833942626j</v>
      </c>
      <c r="AG166" s="136">
        <f t="shared" si="118"/>
        <v>10.361527448530826</v>
      </c>
      <c r="AH166" s="136">
        <f t="shared" si="119"/>
        <v>161.20491110744695</v>
      </c>
      <c r="AI166" s="136"/>
      <c r="AJ166" s="136" t="str">
        <f t="shared" si="91"/>
        <v>99482.2675187593-7176.71242296475j</v>
      </c>
      <c r="AK166" s="136" t="str">
        <f t="shared" si="92"/>
        <v>19047.6184398081-3.40255065948477j</v>
      </c>
      <c r="AL166" s="136" t="str">
        <f t="shared" si="93"/>
        <v>10000-3080403.56876829j</v>
      </c>
      <c r="AM166" s="136" t="str">
        <f t="shared" si="94"/>
        <v>963.134292447021-955989.470755474j</v>
      </c>
      <c r="AN166" s="136" t="str">
        <f t="shared" si="120"/>
        <v>10963.134292447-955989.470755474j</v>
      </c>
      <c r="AO166" s="136" t="str">
        <f t="shared" si="121"/>
        <v>19035.5809523224-382.537701884247j</v>
      </c>
      <c r="AP166" s="136" t="str">
        <f t="shared" si="122"/>
        <v>0.160113071286396+0.00967036879085165j</v>
      </c>
      <c r="AQ166" s="136" t="str">
        <f t="shared" si="95"/>
        <v>1+0.115424991439588j</v>
      </c>
      <c r="AR166" s="136" t="str">
        <f t="shared" si="96"/>
        <v>1+0.000230389204470236j</v>
      </c>
      <c r="AS166" s="136" t="str">
        <f t="shared" si="97"/>
        <v>3.6142450444521E-07j</v>
      </c>
      <c r="AT166" s="136" t="str">
        <f t="shared" si="123"/>
        <v>-8.32683040551812E-11+3.6142450444521E-07j</v>
      </c>
      <c r="AU166" s="179" t="str">
        <f t="shared" si="124"/>
        <v>318723.812867938-2766902.98331158j</v>
      </c>
      <c r="AV166" s="136" t="str">
        <f t="shared" si="98"/>
        <v>7999.72657781791-46.7686080298302j</v>
      </c>
      <c r="AW166" s="136"/>
      <c r="AX166" s="136" t="str">
        <f t="shared" si="99"/>
        <v>0.499982911113619-0.00292303800186439j</v>
      </c>
      <c r="AY166" s="136"/>
      <c r="AZ166" s="136" t="str">
        <f t="shared" si="100"/>
        <v>4.89433044480508-27.4906076993806j</v>
      </c>
      <c r="BA166" s="136" t="str">
        <f t="shared" si="101"/>
        <v>2.36672549274602-13.7591403797026j</v>
      </c>
      <c r="BB166" s="136">
        <f t="shared" si="125"/>
        <v>22.89846005421559</v>
      </c>
      <c r="BC166" s="136">
        <f t="shared" si="126"/>
        <v>99.760001486945555</v>
      </c>
      <c r="BD166" s="136" t="str">
        <f t="shared" si="102"/>
        <v>17.2124365174955-130.151304198301j</v>
      </c>
      <c r="BE166" s="136">
        <f t="shared" si="127"/>
        <v>42.364271613238238</v>
      </c>
      <c r="BF166" s="136">
        <f t="shared" si="128"/>
        <v>97.533616722779257</v>
      </c>
      <c r="BG166" s="136"/>
      <c r="BH166" s="136" t="str">
        <f t="shared" si="103"/>
        <v>-7.22782601015122-45.4545220042013j</v>
      </c>
      <c r="BI166" s="136">
        <f t="shared" si="129"/>
        <v>33.259987502746434</v>
      </c>
      <c r="BJ166" s="136">
        <f t="shared" si="130"/>
        <v>80.964912594392516</v>
      </c>
      <c r="BK166" s="136"/>
      <c r="BL166" s="136">
        <f t="shared" si="131"/>
        <v>-32.259987502746434</v>
      </c>
      <c r="BM166" s="136">
        <f t="shared" si="132"/>
        <v>-80.964912594392516</v>
      </c>
      <c r="BN166" s="136"/>
      <c r="BO166" s="189"/>
      <c r="BP166" s="189" t="str">
        <f t="shared" si="104"/>
        <v>0.00001+7.21406196497425E-07j</v>
      </c>
      <c r="BQ166" s="189" t="str">
        <f t="shared" si="105"/>
        <v>4.10867561075577E-08+3.55960659776718E-07j</v>
      </c>
      <c r="BR166" s="189" t="str">
        <f t="shared" si="106"/>
        <v>-0.00130627605006702-0.00891980321101023j</v>
      </c>
      <c r="BS166" s="189" t="str">
        <f t="shared" si="107"/>
        <v>0.0000625410867561076+1.07736685627414E-06j</v>
      </c>
      <c r="BT166" s="189" t="str">
        <f t="shared" si="133"/>
        <v>-7.2086023430637E-08-5.59261524988685E-07j</v>
      </c>
      <c r="BU166" s="189" t="str">
        <f t="shared" si="134"/>
        <v>-4.10867561075577E-08-3.55960659776718E-07j</v>
      </c>
      <c r="BV166" s="189" t="str">
        <f t="shared" si="135"/>
        <v>-1.13172779538195E-07-9.15222184765403E-07j</v>
      </c>
      <c r="BW166" s="189" t="str">
        <f t="shared" si="108"/>
        <v>0.99999868174487-0.00114815216406966j</v>
      </c>
      <c r="BX166" s="189" t="str">
        <f t="shared" si="136"/>
        <v>-0.00001-7.21406196497425E-07j</v>
      </c>
      <c r="BY166" s="189" t="str">
        <f t="shared" si="137"/>
        <v>2.09486684453307-10.6681561707105j</v>
      </c>
      <c r="BZ166" s="136">
        <f t="shared" si="138"/>
        <v>20.72610213181154</v>
      </c>
      <c r="CA166" s="136">
        <f t="shared" si="139"/>
        <v>101.10960768645018</v>
      </c>
      <c r="CB166" s="189" t="str">
        <f t="shared" si="109"/>
        <v>15.7870977520369-101.00779298621j</v>
      </c>
      <c r="CC166" s="136" t="str">
        <f t="shared" si="110"/>
        <v>-4.7932134894481-35.519155879522j</v>
      </c>
      <c r="CD166" s="136">
        <f t="shared" si="140"/>
        <v>31.087629580342341</v>
      </c>
      <c r="CE166" s="136">
        <f t="shared" si="141"/>
        <v>82.314518793897165</v>
      </c>
      <c r="CF166" s="136"/>
      <c r="CG166" s="136">
        <f t="shared" si="142"/>
        <v>-30.087629580342341</v>
      </c>
      <c r="CH166" s="136">
        <f t="shared" si="143"/>
        <v>-82.314518793897165</v>
      </c>
      <c r="CI166" s="77"/>
      <c r="CJ166" s="189"/>
      <c r="CK166" s="189"/>
      <c r="CL166" s="189"/>
      <c r="CM166" s="77"/>
      <c r="CN166" s="189">
        <v>11481.536214968801</v>
      </c>
      <c r="CO166" s="189">
        <v>9.5093058349800099</v>
      </c>
      <c r="CP166" s="189">
        <v>80.120802911820704</v>
      </c>
      <c r="CQ166" s="74"/>
      <c r="CR166" s="75"/>
      <c r="CS166" s="75"/>
      <c r="CT166" s="75"/>
      <c r="CU166" s="74"/>
      <c r="CV166" s="75"/>
      <c r="CW166" s="75"/>
      <c r="CX166" s="75"/>
      <c r="CY166" s="74"/>
      <c r="CZ166" s="75"/>
      <c r="DA166" s="75"/>
      <c r="DB166" s="75"/>
      <c r="DC166" s="74"/>
      <c r="DD166" s="75"/>
      <c r="DE166" s="75"/>
      <c r="DF166" s="75"/>
      <c r="DG166" s="74"/>
      <c r="DH166" s="75"/>
      <c r="DI166" s="75"/>
      <c r="DJ166" s="75"/>
      <c r="DK166" s="74"/>
      <c r="DL166" s="75"/>
      <c r="DM166" s="75"/>
      <c r="DN166" s="75"/>
      <c r="DO166" s="76"/>
    </row>
    <row r="167" spans="1:119" x14ac:dyDescent="0.25">
      <c r="A167" s="136">
        <v>118</v>
      </c>
      <c r="B167" s="136">
        <f t="shared" si="72"/>
        <v>3467.3685045253224</v>
      </c>
      <c r="C167" s="136" t="str">
        <f t="shared" si="79"/>
        <v>21786.1188422108j</v>
      </c>
      <c r="D167" s="136">
        <f t="shared" si="73"/>
        <v>0.99969943389134563</v>
      </c>
      <c r="E167" s="136" t="str">
        <f t="shared" si="74"/>
        <v>-0.0272326485527635j</v>
      </c>
      <c r="F167" s="136" t="str">
        <f t="shared" si="80"/>
        <v>0.999699433891346-0.0272326485527635j</v>
      </c>
      <c r="G167" s="136">
        <f t="shared" si="81"/>
        <v>6.1046773266317206E-4</v>
      </c>
      <c r="H167" s="136">
        <f t="shared" si="82"/>
        <v>-1.5603990508925529</v>
      </c>
      <c r="I167" s="136"/>
      <c r="J167" s="136">
        <f t="shared" si="75"/>
        <v>7.0726915520628681</v>
      </c>
      <c r="K167" s="136" t="str">
        <f t="shared" si="76"/>
        <v>1+1.59908659893904j</v>
      </c>
      <c r="L167" s="136">
        <f t="shared" si="77"/>
        <v>0.86037466209374414</v>
      </c>
      <c r="M167" s="136" t="str">
        <f t="shared" si="78"/>
        <v>0.117028182131526j</v>
      </c>
      <c r="N167" s="136" t="str">
        <f t="shared" si="83"/>
        <v>0.860374662093744+0.117028182131526j</v>
      </c>
      <c r="O167" s="136" t="str">
        <f t="shared" si="84"/>
        <v>1.04044352762658+0.533553517540069j</v>
      </c>
      <c r="P167" s="136" t="str">
        <f t="shared" si="85"/>
        <v>7.358736148243+3.77365945607907j</v>
      </c>
      <c r="Q167" s="136"/>
      <c r="R167" s="136">
        <f t="shared" si="86"/>
        <v>11.787819253438114</v>
      </c>
      <c r="S167" s="136" t="str">
        <f t="shared" si="87"/>
        <v>1+0.000510180439866916j</v>
      </c>
      <c r="T167" s="136" t="str">
        <f t="shared" si="88"/>
        <v>0.982422211397947+0.0415231659379307j</v>
      </c>
      <c r="U167" s="136" t="str">
        <f t="shared" si="111"/>
        <v>1.01609906088821-0.0424272466473033j</v>
      </c>
      <c r="V167" s="136" t="str">
        <f t="shared" si="112"/>
        <v>11.9775920733384-0.50012471489945j</v>
      </c>
      <c r="W167" s="136"/>
      <c r="X167" s="136" t="str">
        <f t="shared" si="89"/>
        <v>1.74400442336712+0.873170189925311j</v>
      </c>
      <c r="Y167" s="136">
        <f t="shared" si="113"/>
        <v>5.8023795195969283</v>
      </c>
      <c r="Z167" s="136">
        <f t="shared" si="114"/>
        <v>-153.40425977445449</v>
      </c>
      <c r="AA167" s="136"/>
      <c r="AB167" s="136" t="str">
        <f t="shared" si="90"/>
        <v>9.41591053164175-0.393161625585695j</v>
      </c>
      <c r="AC167" s="136">
        <f t="shared" si="115"/>
        <v>19.484811720621646</v>
      </c>
      <c r="AD167" s="136">
        <f t="shared" si="116"/>
        <v>177.60900192349308</v>
      </c>
      <c r="AE167" s="136"/>
      <c r="AF167" s="136" t="str">
        <f t="shared" si="117"/>
        <v>3.07453506741111-1.12162865632426j</v>
      </c>
      <c r="AG167" s="136">
        <f t="shared" si="118"/>
        <v>10.298225880078203</v>
      </c>
      <c r="AH167" s="136">
        <f t="shared" si="119"/>
        <v>159.95740117602858</v>
      </c>
      <c r="AI167" s="136"/>
      <c r="AJ167" s="136" t="str">
        <f t="shared" si="91"/>
        <v>99406.0191833984-7684.0919079402j</v>
      </c>
      <c r="AK167" s="136" t="str">
        <f t="shared" si="92"/>
        <v>19047.6183497587-3.64589870145056j</v>
      </c>
      <c r="AL167" s="136" t="str">
        <f t="shared" si="93"/>
        <v>10000-2874799.8787434j</v>
      </c>
      <c r="AM167" s="136" t="str">
        <f t="shared" si="94"/>
        <v>963.133577217588-892181.583239702j</v>
      </c>
      <c r="AN167" s="136" t="str">
        <f t="shared" si="120"/>
        <v>10963.1335772176-892181.583239702j</v>
      </c>
      <c r="AO167" s="136" t="str">
        <f t="shared" si="121"/>
        <v>19033.7995047042-409.836256643839j</v>
      </c>
      <c r="AP167" s="136" t="str">
        <f t="shared" si="122"/>
        <v>0.160129820577814+0.0103617769997295j</v>
      </c>
      <c r="AQ167" s="136" t="str">
        <f t="shared" si="95"/>
        <v>1+0.123680106634404j</v>
      </c>
      <c r="AR167" s="136" t="str">
        <f t="shared" si="96"/>
        <v>1+0.000246866480308192j</v>
      </c>
      <c r="AS167" s="136" t="str">
        <f t="shared" si="97"/>
        <v>3.87273333898978E-07j</v>
      </c>
      <c r="AT167" s="136" t="str">
        <f t="shared" si="123"/>
        <v>-9.56048048568599E-11+3.87273333898978E-07j</v>
      </c>
      <c r="AU167" s="179" t="str">
        <f t="shared" si="124"/>
        <v>318723.810361534-2582234.26193489j</v>
      </c>
      <c r="AV167" s="136" t="str">
        <f t="shared" si="98"/>
        <v>7999.68607092103-50.1132126317541j</v>
      </c>
      <c r="AW167" s="136"/>
      <c r="AX167" s="136" t="str">
        <f t="shared" si="99"/>
        <v>0.499980379432564-0.00313207578948463j</v>
      </c>
      <c r="AY167" s="136"/>
      <c r="AZ167" s="136" t="str">
        <f t="shared" si="100"/>
        <v>4.89461650051982-25.6311630226489j</v>
      </c>
      <c r="BA167" s="136" t="str">
        <f t="shared" si="101"/>
        <v>2.36693346994722-12.830408923202j</v>
      </c>
      <c r="BB167" s="136">
        <f t="shared" si="125"/>
        <v>22.310150949087824</v>
      </c>
      <c r="BC167" s="136">
        <f t="shared" si="126"/>
        <v>100.45231964711466</v>
      </c>
      <c r="BD167" s="136" t="str">
        <f t="shared" si="102"/>
        <v>17.2424093581961-121.740569915946j</v>
      </c>
      <c r="BE167" s="136">
        <f t="shared" si="127"/>
        <v>41.794962669709498</v>
      </c>
      <c r="BF167" s="136">
        <f t="shared" si="128"/>
        <v>98.061321570607717</v>
      </c>
      <c r="BG167" s="136"/>
      <c r="BH167" s="136" t="str">
        <f t="shared" si="103"/>
        <v>-7.11373436504008-42.102362571115j</v>
      </c>
      <c r="BI167" s="136">
        <f t="shared" si="129"/>
        <v>32.608376829166076</v>
      </c>
      <c r="BJ167" s="136">
        <f t="shared" si="130"/>
        <v>80.409720823143275</v>
      </c>
      <c r="BK167" s="136"/>
      <c r="BL167" s="136">
        <f t="shared" si="131"/>
        <v>-31.608376829166076</v>
      </c>
      <c r="BM167" s="136">
        <f t="shared" si="132"/>
        <v>-80.409720823143275</v>
      </c>
      <c r="BN167" s="136"/>
      <c r="BO167" s="189"/>
      <c r="BP167" s="189" t="str">
        <f t="shared" si="104"/>
        <v>0.00001+7.73000666465025E-07j</v>
      </c>
      <c r="BQ167" s="189" t="str">
        <f t="shared" si="105"/>
        <v>4.70821969481956E-08+3.80677202093378E-07j</v>
      </c>
      <c r="BR167" s="189" t="str">
        <f t="shared" si="106"/>
        <v>-0.00144508899976939-0.00954191422037932j</v>
      </c>
      <c r="BS167" s="189" t="str">
        <f t="shared" si="107"/>
        <v>0.0000625470821969482+0.0000011536778685584j</v>
      </c>
      <c r="BT167" s="189" t="str">
        <f t="shared" si="133"/>
        <v>-7.93778051907474E-08-5.98486060255425E-07j</v>
      </c>
      <c r="BU167" s="189" t="str">
        <f t="shared" si="134"/>
        <v>-4.70821969481956E-08-3.80677202093378E-07j</v>
      </c>
      <c r="BV167" s="189" t="str">
        <f t="shared" si="135"/>
        <v>-1.26460002138943E-07-9.79163262348803E-07j</v>
      </c>
      <c r="BW167" s="189" t="str">
        <f t="shared" si="108"/>
        <v>0.999998486440894-0.00123026696887459j</v>
      </c>
      <c r="BX167" s="189" t="str">
        <f t="shared" si="136"/>
        <v>-0.00001-7.73000666465025E-07j</v>
      </c>
      <c r="BY167" s="189" t="str">
        <f t="shared" si="137"/>
        <v>2.06161470113308-9.94749745687572j</v>
      </c>
      <c r="BZ167" s="136">
        <f t="shared" si="138"/>
        <v>20.136921571157309</v>
      </c>
      <c r="CA167" s="136">
        <f t="shared" si="139"/>
        <v>101.70876471847281</v>
      </c>
      <c r="CB167" s="189" t="str">
        <f t="shared" si="109"/>
        <v>15.5010053059316-94.4752938549044j</v>
      </c>
      <c r="CC167" s="136" t="str">
        <f t="shared" si="110"/>
        <v>-4.81889151222056-32.8962958912375j</v>
      </c>
      <c r="CD167" s="136">
        <f t="shared" si="140"/>
        <v>30.435147451235515</v>
      </c>
      <c r="CE167" s="136">
        <f t="shared" si="141"/>
        <v>81.666165894501418</v>
      </c>
      <c r="CF167" s="136"/>
      <c r="CG167" s="136">
        <f t="shared" si="142"/>
        <v>-29.435147451235515</v>
      </c>
      <c r="CH167" s="136">
        <f t="shared" si="143"/>
        <v>-81.666165894501418</v>
      </c>
      <c r="CI167" s="77"/>
      <c r="CJ167" s="189"/>
      <c r="CK167" s="189"/>
      <c r="CL167" s="189"/>
      <c r="CM167" s="77"/>
      <c r="CN167" s="189">
        <v>12022.6443461741</v>
      </c>
      <c r="CO167" s="189">
        <v>9.0261157423323493</v>
      </c>
      <c r="CP167" s="189">
        <v>81.070744547097405</v>
      </c>
      <c r="CQ167" s="74"/>
      <c r="CR167" s="75"/>
      <c r="CS167" s="75"/>
      <c r="CT167" s="75"/>
      <c r="CU167" s="74"/>
      <c r="CV167" s="75"/>
      <c r="CW167" s="75"/>
      <c r="CX167" s="75"/>
      <c r="CY167" s="74"/>
      <c r="CZ167" s="75"/>
      <c r="DA167" s="75"/>
      <c r="DB167" s="75"/>
      <c r="DC167" s="74"/>
      <c r="DD167" s="75"/>
      <c r="DE167" s="75"/>
      <c r="DF167" s="75"/>
      <c r="DG167" s="74"/>
      <c r="DH167" s="75"/>
      <c r="DI167" s="75"/>
      <c r="DJ167" s="75"/>
      <c r="DK167" s="74"/>
      <c r="DL167" s="75"/>
      <c r="DM167" s="75"/>
      <c r="DN167" s="75"/>
      <c r="DO167" s="76"/>
    </row>
    <row r="168" spans="1:119" x14ac:dyDescent="0.25">
      <c r="A168" s="136">
        <v>119</v>
      </c>
      <c r="B168" s="136">
        <f t="shared" si="72"/>
        <v>3715.352290971724</v>
      </c>
      <c r="C168" s="136" t="str">
        <f t="shared" si="79"/>
        <v>23344.2469256296j</v>
      </c>
      <c r="D168" s="136">
        <f t="shared" si="73"/>
        <v>0.99965490393384926</v>
      </c>
      <c r="E168" s="136" t="str">
        <f t="shared" si="74"/>
        <v>-0.029180308657037j</v>
      </c>
      <c r="F168" s="136" t="str">
        <f t="shared" si="80"/>
        <v>0.999654903933849-0.029180308657037j</v>
      </c>
      <c r="G168" s="136">
        <f t="shared" si="81"/>
        <v>7.0097016792947857E-4</v>
      </c>
      <c r="H168" s="136">
        <f t="shared" si="82"/>
        <v>-1.6720109122309754</v>
      </c>
      <c r="I168" s="136"/>
      <c r="J168" s="136">
        <f t="shared" si="75"/>
        <v>7.0726915520628681</v>
      </c>
      <c r="K168" s="136" t="str">
        <f t="shared" si="76"/>
        <v>1+1.71345216150993j</v>
      </c>
      <c r="L168" s="136">
        <f t="shared" si="77"/>
        <v>0.83968866263020681</v>
      </c>
      <c r="M168" s="136" t="str">
        <f t="shared" si="78"/>
        <v>0.125397956410792j</v>
      </c>
      <c r="N168" s="136" t="str">
        <f t="shared" si="83"/>
        <v>0.839688662630207+0.125397956410792j</v>
      </c>
      <c r="O168" s="136" t="str">
        <f t="shared" si="84"/>
        <v>1.0466150761968+0.572952177884479j</v>
      </c>
      <c r="P168" s="136" t="str">
        <f t="shared" si="85"/>
        <v>7.40238560767874+4.05231402825958j</v>
      </c>
      <c r="Q168" s="136"/>
      <c r="R168" s="136">
        <f t="shared" si="86"/>
        <v>11.787819253438114</v>
      </c>
      <c r="S168" s="136" t="str">
        <f t="shared" si="87"/>
        <v>1+0.000546668190472015j</v>
      </c>
      <c r="T168" s="136" t="str">
        <f t="shared" si="88"/>
        <v>0.979817998358646+0.0444928739170774j</v>
      </c>
      <c r="U168" s="136" t="str">
        <f t="shared" si="111"/>
        <v>1.01852283868071-0.045692506289546j</v>
      </c>
      <c r="V168" s="136" t="str">
        <f t="shared" si="112"/>
        <v>12.0061631278669-0.538615005377752j</v>
      </c>
      <c r="W168" s="136"/>
      <c r="X168" s="136" t="str">
        <f t="shared" si="89"/>
        <v>1.75558388496536+0.937573835533871j</v>
      </c>
      <c r="Y168" s="136">
        <f t="shared" si="113"/>
        <v>5.9781794167602662</v>
      </c>
      <c r="Z168" s="136">
        <f t="shared" si="114"/>
        <v>-151.8954456896507</v>
      </c>
      <c r="AA168" s="136"/>
      <c r="AB168" s="136" t="str">
        <f t="shared" si="90"/>
        <v>9.43837101381444-0.42341988862066j</v>
      </c>
      <c r="AC168" s="136">
        <f t="shared" si="115"/>
        <v>19.506672546353361</v>
      </c>
      <c r="AD168" s="136">
        <f t="shared" si="116"/>
        <v>177.43134517949233</v>
      </c>
      <c r="AE168" s="136"/>
      <c r="AF168" s="136" t="str">
        <f t="shared" si="117"/>
        <v>3.02294231993071-1.18220008902277j</v>
      </c>
      <c r="AG168" s="136">
        <f t="shared" si="118"/>
        <v>10.226665829799304</v>
      </c>
      <c r="AH168" s="136">
        <f t="shared" si="119"/>
        <v>158.64072634861435</v>
      </c>
      <c r="AI168" s="136"/>
      <c r="AJ168" s="136" t="str">
        <f t="shared" si="91"/>
        <v>99318.6183929208-8226.41354500585j</v>
      </c>
      <c r="AK168" s="136" t="str">
        <f t="shared" si="92"/>
        <v>19047.6182463682-3.90665082233967j</v>
      </c>
      <c r="AL168" s="136" t="str">
        <f t="shared" si="93"/>
        <v>10000-2682919.35076794j</v>
      </c>
      <c r="AM168" s="136" t="str">
        <f t="shared" si="94"/>
        <v>963.132756025637-832632.619113127j</v>
      </c>
      <c r="AN168" s="136" t="str">
        <f t="shared" si="120"/>
        <v>10963.1327560256-832632.619113127j</v>
      </c>
      <c r="AO168" s="136" t="str">
        <f t="shared" si="121"/>
        <v>19031.7547774963-439.073328924365j</v>
      </c>
      <c r="AP168" s="136" t="str">
        <f t="shared" si="122"/>
        <v>0.160149050500821+0.0111025859330318j</v>
      </c>
      <c r="AQ168" s="136" t="str">
        <f t="shared" si="95"/>
        <v>1+0.13252562193261j</v>
      </c>
      <c r="AR168" s="136" t="str">
        <f t="shared" si="96"/>
        <v>1+0.000264522199466287j</v>
      </c>
      <c r="AS168" s="136" t="str">
        <f t="shared" si="97"/>
        <v>4.14970853676484E-07j</v>
      </c>
      <c r="AT168" s="136" t="str">
        <f t="shared" si="123"/>
        <v>-1.09769002928906E-10+4.14970853676484E-07j</v>
      </c>
      <c r="AU168" s="179" t="str">
        <f t="shared" si="124"/>
        <v>318723.807483799-2409892.10961355j</v>
      </c>
      <c r="AV168" s="136" t="str">
        <f t="shared" si="98"/>
        <v>7999.63956328657-53.6969626034979j</v>
      </c>
      <c r="AW168" s="136"/>
      <c r="AX168" s="136" t="str">
        <f t="shared" si="99"/>
        <v>0.499977472705411-0.00335606016271862j</v>
      </c>
      <c r="AY168" s="136"/>
      <c r="AZ168" s="136" t="str">
        <f t="shared" si="100"/>
        <v>4.89494492530569-23.8940723600398j</v>
      </c>
      <c r="BA168" s="136" t="str">
        <f t="shared" si="101"/>
        <v>2.36717224841387-11.9629256408754j</v>
      </c>
      <c r="BB168" s="136">
        <f t="shared" si="125"/>
        <v>21.723550509502193</v>
      </c>
      <c r="BC168" s="136">
        <f t="shared" si="126"/>
        <v>101.19285249898297</v>
      </c>
      <c r="BD168" s="136" t="str">
        <f t="shared" si="102"/>
        <v>17.2769092916987-113.912838419025j</v>
      </c>
      <c r="BE168" s="136">
        <f t="shared" si="127"/>
        <v>41.230223055855532</v>
      </c>
      <c r="BF168" s="136">
        <f t="shared" si="128"/>
        <v>98.624197678475312</v>
      </c>
      <c r="BG168" s="136"/>
      <c r="BH168" s="136" t="str">
        <f t="shared" si="103"/>
        <v>-6.98674658931982-38.9617054327935j</v>
      </c>
      <c r="BI168" s="136">
        <f t="shared" si="129"/>
        <v>31.95021633930148</v>
      </c>
      <c r="BJ168" s="136">
        <f t="shared" si="130"/>
        <v>79.83357884759738</v>
      </c>
      <c r="BK168" s="136"/>
      <c r="BL168" s="136">
        <f t="shared" si="131"/>
        <v>-30.95021633930148</v>
      </c>
      <c r="BM168" s="136">
        <f t="shared" si="132"/>
        <v>-79.83357884759738</v>
      </c>
      <c r="BN168" s="136"/>
      <c r="BO168" s="189"/>
      <c r="BP168" s="189" t="str">
        <f t="shared" si="104"/>
        <v>0.00001+8.28285137078811E-07j</v>
      </c>
      <c r="BQ168" s="189" t="str">
        <f t="shared" si="105"/>
        <v>5.39372002339796E-08+4.06994507533094E-07j</v>
      </c>
      <c r="BR168" s="189" t="str">
        <f t="shared" si="106"/>
        <v>-0.00160390172027078-0.0102049428192021j</v>
      </c>
      <c r="BS168" s="189" t="str">
        <f t="shared" si="107"/>
        <v>0.000062553937200234+0.0000012352796446119j</v>
      </c>
      <c r="BT168" s="189" t="str">
        <f t="shared" si="133"/>
        <v>-8.77244093461769E-08-6.40340619391356E-07j</v>
      </c>
      <c r="BU168" s="189" t="str">
        <f t="shared" si="134"/>
        <v>-5.39372002339796E-08-4.06994507533094E-07j</v>
      </c>
      <c r="BV168" s="189" t="str">
        <f t="shared" si="135"/>
        <v>-1.41661609580157E-07-1.04733512692445E-06j</v>
      </c>
      <c r="BW168" s="189" t="str">
        <f t="shared" si="108"/>
        <v>0.999998262202021-0.00131825451214085j</v>
      </c>
      <c r="BX168" s="189" t="str">
        <f t="shared" si="136"/>
        <v>-0.00001-8.28285137078811E-07j</v>
      </c>
      <c r="BY168" s="189" t="str">
        <f t="shared" si="137"/>
        <v>2.03267261655073-9.27413068494368j</v>
      </c>
      <c r="BZ168" s="136">
        <f t="shared" si="138"/>
        <v>19.549236143867809</v>
      </c>
      <c r="CA168" s="136">
        <f t="shared" si="139"/>
        <v>102.36241247594523</v>
      </c>
      <c r="CB168" s="189" t="str">
        <f t="shared" si="109"/>
        <v>15.2582669229545-88.3933602480017j</v>
      </c>
      <c r="CC168" s="136" t="str">
        <f t="shared" si="110"/>
        <v>-4.81922604621371-30.4381878763247j</v>
      </c>
      <c r="CD168" s="136">
        <f t="shared" si="140"/>
        <v>29.775901973667121</v>
      </c>
      <c r="CE168" s="136">
        <f t="shared" si="141"/>
        <v>81.003138824559656</v>
      </c>
      <c r="CF168" s="136"/>
      <c r="CG168" s="136">
        <f t="shared" si="142"/>
        <v>-28.775901973667121</v>
      </c>
      <c r="CH168" s="136">
        <f t="shared" si="143"/>
        <v>-81.003138824559656</v>
      </c>
      <c r="CI168" s="77"/>
      <c r="CJ168" s="189"/>
      <c r="CK168" s="189"/>
      <c r="CL168" s="189"/>
      <c r="CM168" s="77"/>
      <c r="CN168" s="189">
        <v>12589.2541179416</v>
      </c>
      <c r="CO168" s="189">
        <v>8.5519048041298191</v>
      </c>
      <c r="CP168" s="189">
        <v>82.052899763298797</v>
      </c>
      <c r="CQ168" s="74"/>
      <c r="CR168" s="75"/>
      <c r="CS168" s="75"/>
      <c r="CT168" s="75"/>
      <c r="CU168" s="74"/>
      <c r="CV168" s="75"/>
      <c r="CW168" s="75"/>
      <c r="CX168" s="75"/>
      <c r="CY168" s="74"/>
      <c r="CZ168" s="75"/>
      <c r="DA168" s="75"/>
      <c r="DB168" s="75"/>
      <c r="DC168" s="74"/>
      <c r="DD168" s="75"/>
      <c r="DE168" s="75"/>
      <c r="DF168" s="75"/>
      <c r="DG168" s="74"/>
      <c r="DH168" s="75"/>
      <c r="DI168" s="75"/>
      <c r="DJ168" s="75"/>
      <c r="DK168" s="74"/>
      <c r="DL168" s="75"/>
      <c r="DM168" s="75"/>
      <c r="DN168" s="75"/>
      <c r="DO168" s="76"/>
    </row>
    <row r="169" spans="1:119" x14ac:dyDescent="0.25">
      <c r="A169" s="136">
        <v>120</v>
      </c>
      <c r="B169" s="136">
        <f t="shared" si="72"/>
        <v>3981.0717055349701</v>
      </c>
      <c r="C169" s="136" t="str">
        <f t="shared" si="79"/>
        <v>25013.8112470457j</v>
      </c>
      <c r="D169" s="136">
        <f t="shared" si="73"/>
        <v>0.99960377670188472</v>
      </c>
      <c r="E169" s="136" t="str">
        <f t="shared" si="74"/>
        <v>-0.0312672640588071j</v>
      </c>
      <c r="F169" s="136" t="str">
        <f t="shared" si="80"/>
        <v>0.999603776701885-0.0312672640588071j</v>
      </c>
      <c r="G169" s="136">
        <f t="shared" si="81"/>
        <v>8.0489977704982767E-4</v>
      </c>
      <c r="H169" s="136">
        <f t="shared" si="82"/>
        <v>-1.7916082149341228</v>
      </c>
      <c r="I169" s="136"/>
      <c r="J169" s="136">
        <f t="shared" si="75"/>
        <v>7.0726915520628681</v>
      </c>
      <c r="K169" s="136" t="str">
        <f t="shared" si="76"/>
        <v>1+1.83599706965899j</v>
      </c>
      <c r="L169" s="136">
        <f t="shared" si="77"/>
        <v>0.81593795743186426</v>
      </c>
      <c r="M169" s="136" t="str">
        <f t="shared" si="78"/>
        <v>0.134366331131508j</v>
      </c>
      <c r="N169" s="136" t="str">
        <f t="shared" si="83"/>
        <v>0.815937957431864+0.134366331131508j</v>
      </c>
      <c r="O169" s="136" t="str">
        <f t="shared" si="84"/>
        <v>1.05375979333131+0.615459831620892j</v>
      </c>
      <c r="P169" s="136" t="str">
        <f t="shared" si="85"/>
        <v>7.45291798819787+4.35295755173912j</v>
      </c>
      <c r="Q169" s="136"/>
      <c r="R169" s="136">
        <f t="shared" si="86"/>
        <v>11.787819253438114</v>
      </c>
      <c r="S169" s="136" t="str">
        <f t="shared" si="87"/>
        <v>1+0.000585765519650072j</v>
      </c>
      <c r="T169" s="136" t="str">
        <f t="shared" si="88"/>
        <v>0.976827961726423+0.0476749733476511j</v>
      </c>
      <c r="U169" s="136" t="str">
        <f t="shared" si="111"/>
        <v>1.02131818913908-0.0492466983049976j</v>
      </c>
      <c r="V169" s="136" t="str">
        <f t="shared" si="112"/>
        <v>12.0391142138202-0.580511178447909j</v>
      </c>
      <c r="W169" s="136"/>
      <c r="X169" s="136" t="str">
        <f t="shared" si="89"/>
        <v>1.76898378957259+1.00704244352454j</v>
      </c>
      <c r="Y169" s="136">
        <f t="shared" si="113"/>
        <v>6.1736085841091786</v>
      </c>
      <c r="Z169" s="136">
        <f t="shared" si="114"/>
        <v>-150.34811982854188</v>
      </c>
      <c r="AA169" s="136"/>
      <c r="AB169" s="136" t="str">
        <f t="shared" si="90"/>
        <v>9.46427475768524-0.456355608490842j</v>
      </c>
      <c r="AC169" s="136">
        <f t="shared" si="115"/>
        <v>19.531832635311112</v>
      </c>
      <c r="AD169" s="136">
        <f t="shared" si="116"/>
        <v>177.23940664556753</v>
      </c>
      <c r="AE169" s="136"/>
      <c r="AF169" s="136" t="str">
        <f t="shared" si="117"/>
        <v>2.96574711252297-1.2434124174101j</v>
      </c>
      <c r="AG169" s="136">
        <f t="shared" si="118"/>
        <v>10.145932108595863</v>
      </c>
      <c r="AH169" s="136">
        <f t="shared" si="119"/>
        <v>157.25375536359704</v>
      </c>
      <c r="AI169" s="136"/>
      <c r="AJ169" s="136" t="str">
        <f t="shared" si="91"/>
        <v>99218.4582000358-8805.87147370045j</v>
      </c>
      <c r="AK169" s="136" t="str">
        <f t="shared" si="92"/>
        <v>19047.61812766-4.1860517488711j</v>
      </c>
      <c r="AL169" s="136" t="str">
        <f t="shared" si="93"/>
        <v>10000-2503846.02279566j</v>
      </c>
      <c r="AM169" s="136" t="str">
        <f t="shared" si="94"/>
        <v>963.131813172842-777058.315081132j</v>
      </c>
      <c r="AN169" s="136" t="str">
        <f t="shared" si="120"/>
        <v>10963.1318131728-777058.315081132j</v>
      </c>
      <c r="AO169" s="136" t="str">
        <f t="shared" si="121"/>
        <v>19029.407970771-470.384379195127j</v>
      </c>
      <c r="AP169" s="136" t="str">
        <f t="shared" si="122"/>
        <v>0.160171128303795+0.0118963175765239j</v>
      </c>
      <c r="AQ169" s="136" t="str">
        <f t="shared" si="95"/>
        <v>1+0.142003762339412j</v>
      </c>
      <c r="AR169" s="136" t="str">
        <f t="shared" si="96"/>
        <v>1+0.000283440643392039j</v>
      </c>
      <c r="AS169" s="136" t="str">
        <f t="shared" si="97"/>
        <v>4.44649280825282E-07j</v>
      </c>
      <c r="AT169" s="136" t="str">
        <f t="shared" si="123"/>
        <v>-1.26031678240925E-10+4.44649280825282E-07j</v>
      </c>
      <c r="AU169" s="179" t="str">
        <f t="shared" si="124"/>
        <v>318723.804179716-2249053.83280916j</v>
      </c>
      <c r="AV169" s="136" t="str">
        <f t="shared" si="98"/>
        <v>7999.58616604449-57.5369480031101j</v>
      </c>
      <c r="AW169" s="136"/>
      <c r="AX169" s="136" t="str">
        <f t="shared" si="99"/>
        <v>0.499974135377781-0.00359605925019438j</v>
      </c>
      <c r="AY169" s="136"/>
      <c r="AZ169" s="136" t="str">
        <f t="shared" si="100"/>
        <v>4.89532199275608-22.271043741391j</v>
      </c>
      <c r="BA169" s="136" t="str">
        <f t="shared" si="101"/>
        <v>2.36744638786634-11.1525497064974j</v>
      </c>
      <c r="BB169" s="136">
        <f t="shared" si="125"/>
        <v>21.13890456545542</v>
      </c>
      <c r="BC169" s="136">
        <f t="shared" si="126"/>
        <v>101.98475540103749</v>
      </c>
      <c r="BD169" s="136" t="str">
        <f t="shared" si="102"/>
        <v>17.3166344813235-106.631192107937j</v>
      </c>
      <c r="BE169" s="136">
        <f t="shared" si="127"/>
        <v>40.670737200766489</v>
      </c>
      <c r="BF169" s="136">
        <f t="shared" si="128"/>
        <v>99.224162046605059</v>
      </c>
      <c r="BG169" s="136"/>
      <c r="BH169" s="136" t="str">
        <f t="shared" si="103"/>
        <v>-6.84597150197461-36.0193543255391j</v>
      </c>
      <c r="BI169" s="136">
        <f t="shared" si="129"/>
        <v>31.284836674051242</v>
      </c>
      <c r="BJ169" s="136">
        <f t="shared" si="130"/>
        <v>79.238510764634626</v>
      </c>
      <c r="BK169" s="136"/>
      <c r="BL169" s="136">
        <f t="shared" si="131"/>
        <v>-30.284836674051242</v>
      </c>
      <c r="BM169" s="136">
        <f t="shared" si="132"/>
        <v>-79.238510764634626</v>
      </c>
      <c r="BN169" s="136"/>
      <c r="BO169" s="189"/>
      <c r="BP169" s="189" t="str">
        <f t="shared" si="104"/>
        <v>0.00001+8.87523514621322E-07j</v>
      </c>
      <c r="BQ169" s="189" t="str">
        <f t="shared" si="105"/>
        <v>6.17702380380192E-08+4.34990151108661E-07j</v>
      </c>
      <c r="BR169" s="189" t="str">
        <f t="shared" si="106"/>
        <v>-0.0017855014225249-0.010911020073736j</v>
      </c>
      <c r="BS169" s="189" t="str">
        <f t="shared" si="107"/>
        <v>0.000062561770238038+1.32251366572998E-06j</v>
      </c>
      <c r="BT169" s="189" t="str">
        <f t="shared" si="133"/>
        <v>-9.72741566011228E-08-6.84974080947161E-07j</v>
      </c>
      <c r="BU169" s="189" t="str">
        <f t="shared" si="134"/>
        <v>-6.17702380380192E-08-4.34990151108661E-07j</v>
      </c>
      <c r="BV169" s="189" t="str">
        <f t="shared" si="135"/>
        <v>-1.59044394639142E-07-1.11996423205582E-06j</v>
      </c>
      <c r="BW169" s="189" t="str">
        <f t="shared" si="108"/>
        <v>0.999998004741471-0.0014125347953028j</v>
      </c>
      <c r="BX169" s="189" t="str">
        <f t="shared" si="136"/>
        <v>-0.00001-8.87523514621322E-07j</v>
      </c>
      <c r="BY169" s="189" t="str">
        <f t="shared" si="137"/>
        <v>2.00748887980217-8.64487773315359j</v>
      </c>
      <c r="BZ169" s="136">
        <f t="shared" si="138"/>
        <v>18.963273368643492</v>
      </c>
      <c r="CA169" s="136">
        <f t="shared" si="139"/>
        <v>103.07335690027803</v>
      </c>
      <c r="CB169" s="189" t="str">
        <f t="shared" si="109"/>
        <v>15.0542878932033-82.7336269224415j</v>
      </c>
      <c r="CC169" s="136" t="str">
        <f t="shared" si="110"/>
        <v>-4.79544397169995-28.1346577761731j</v>
      </c>
      <c r="CD169" s="136">
        <f t="shared" si="140"/>
        <v>29.109205477239357</v>
      </c>
      <c r="CE169" s="136">
        <f t="shared" si="141"/>
        <v>80.327112263875165</v>
      </c>
      <c r="CF169" s="136"/>
      <c r="CG169" s="136">
        <f t="shared" si="142"/>
        <v>-28.109205477239357</v>
      </c>
      <c r="CH169" s="136">
        <f t="shared" si="143"/>
        <v>-80.327112263875165</v>
      </c>
      <c r="CI169" s="77"/>
      <c r="CJ169" s="189"/>
      <c r="CK169" s="189"/>
      <c r="CL169" s="189"/>
      <c r="CM169" s="77"/>
      <c r="CN169" s="189">
        <v>13182.567385564</v>
      </c>
      <c r="CO169" s="189">
        <v>8.0870035900786803</v>
      </c>
      <c r="CP169" s="189">
        <v>83.063838253886004</v>
      </c>
      <c r="CQ169" s="74"/>
      <c r="CR169" s="75"/>
      <c r="CS169" s="75"/>
      <c r="CT169" s="75"/>
      <c r="CU169" s="74"/>
      <c r="CV169" s="75"/>
      <c r="CW169" s="75"/>
      <c r="CX169" s="75"/>
      <c r="CY169" s="74"/>
      <c r="CZ169" s="75"/>
      <c r="DA169" s="75"/>
      <c r="DB169" s="75"/>
      <c r="DC169" s="74"/>
      <c r="DD169" s="75"/>
      <c r="DE169" s="75"/>
      <c r="DF169" s="75"/>
      <c r="DG169" s="74"/>
      <c r="DH169" s="75"/>
      <c r="DI169" s="75"/>
      <c r="DJ169" s="75"/>
      <c r="DK169" s="74"/>
      <c r="DL169" s="75"/>
      <c r="DM169" s="75"/>
      <c r="DN169" s="75"/>
      <c r="DO169" s="76"/>
    </row>
    <row r="170" spans="1:119" x14ac:dyDescent="0.25">
      <c r="A170" s="136">
        <v>121</v>
      </c>
      <c r="B170" s="136">
        <f t="shared" si="72"/>
        <v>4265.7951880159299</v>
      </c>
      <c r="C170" s="136" t="str">
        <f t="shared" si="79"/>
        <v>26802.7816487791j</v>
      </c>
      <c r="D170" s="136">
        <f t="shared" si="73"/>
        <v>0.99954507478534749</v>
      </c>
      <c r="E170" s="136" t="str">
        <f t="shared" si="74"/>
        <v>-0.0335034770609739j</v>
      </c>
      <c r="F170" s="136" t="str">
        <f t="shared" si="80"/>
        <v>0.999545074785347-0.0335034770609739j</v>
      </c>
      <c r="G170" s="136">
        <f t="shared" si="81"/>
        <v>9.2425186089600808E-4</v>
      </c>
      <c r="H170" s="136">
        <f t="shared" si="82"/>
        <v>-1.9197627710089826</v>
      </c>
      <c r="I170" s="136"/>
      <c r="J170" s="136">
        <f t="shared" si="75"/>
        <v>7.0726915520628681</v>
      </c>
      <c r="K170" s="136" t="str">
        <f t="shared" si="76"/>
        <v>1+1.96730630449929j</v>
      </c>
      <c r="L170" s="136">
        <f t="shared" si="77"/>
        <v>0.78866849924528037</v>
      </c>
      <c r="M170" s="136" t="str">
        <f t="shared" si="78"/>
        <v>0.14397611778136j</v>
      </c>
      <c r="N170" s="136" t="str">
        <f t="shared" si="83"/>
        <v>0.78866849924528+0.14397611778136j</v>
      </c>
      <c r="O170" s="136" t="str">
        <f t="shared" si="84"/>
        <v>1.06204144921882+0.661368341436494j</v>
      </c>
      <c r="P170" s="136" t="str">
        <f t="shared" si="85"/>
        <v>7.51149158583055+4.67765428127972j</v>
      </c>
      <c r="Q170" s="136"/>
      <c r="R170" s="136">
        <f t="shared" si="86"/>
        <v>11.787819253438114</v>
      </c>
      <c r="S170" s="136" t="str">
        <f t="shared" si="87"/>
        <v>1+0.000627659062647591j</v>
      </c>
      <c r="T170" s="136" t="str">
        <f t="shared" si="88"/>
        <v>0.973394940338729+0.0510846543186965j</v>
      </c>
      <c r="U170" s="136" t="str">
        <f t="shared" si="111"/>
        <v>1.02454422887823-0.0531242012474584j</v>
      </c>
      <c r="V170" s="136" t="str">
        <f t="shared" si="112"/>
        <v>12.0771421871697-0.626218482288311j</v>
      </c>
      <c r="W170" s="136"/>
      <c r="X170" s="136" t="str">
        <f t="shared" si="89"/>
        <v>1.7845087307918+1.08204752241765j</v>
      </c>
      <c r="Y170" s="136">
        <f t="shared" si="113"/>
        <v>6.3901790086991328</v>
      </c>
      <c r="Z170" s="136">
        <f t="shared" si="114"/>
        <v>-148.76922191636368</v>
      </c>
      <c r="AA170" s="136"/>
      <c r="AB170" s="136" t="str">
        <f t="shared" si="90"/>
        <v>9.4941695806652-0.492287361798903j</v>
      </c>
      <c r="AC170" s="136">
        <f t="shared" si="115"/>
        <v>19.560800390612712</v>
      </c>
      <c r="AD170" s="136">
        <f t="shared" si="116"/>
        <v>177.03178350099526</v>
      </c>
      <c r="AE170" s="136"/>
      <c r="AF170" s="136" t="str">
        <f t="shared" si="117"/>
        <v>2.90262252064658-1.3047410584865j</v>
      </c>
      <c r="AG170" s="136">
        <f t="shared" si="118"/>
        <v>10.055051132825064</v>
      </c>
      <c r="AH170" s="136">
        <f t="shared" si="119"/>
        <v>155.79588182543151</v>
      </c>
      <c r="AI170" s="136"/>
      <c r="AJ170" s="136" t="str">
        <f t="shared" si="91"/>
        <v>99103.7077531097-9424.7485323057j</v>
      </c>
      <c r="AK170" s="136" t="str">
        <f t="shared" si="92"/>
        <v>19047.6179913647-4.48543522954349j</v>
      </c>
      <c r="AL170" s="136" t="str">
        <f t="shared" si="93"/>
        <v>10000-2336725.06930749j</v>
      </c>
      <c r="AM170" s="136" t="str">
        <f t="shared" si="94"/>
        <v>963.130730635276-725193.381310467j</v>
      </c>
      <c r="AN170" s="136" t="str">
        <f t="shared" si="120"/>
        <v>10963.1307306353-725193.381310467j</v>
      </c>
      <c r="AO170" s="136" t="str">
        <f t="shared" si="121"/>
        <v>19026.714601555-503.913827472485j</v>
      </c>
      <c r="AP170" s="136" t="str">
        <f t="shared" si="122"/>
        <v>0.160196475559621+0.0127467432473318j</v>
      </c>
      <c r="AQ170" s="136" t="str">
        <f t="shared" si="95"/>
        <v>1+0.152159772763052j</v>
      </c>
      <c r="AR170" s="136" t="str">
        <f t="shared" si="96"/>
        <v>1+0.000303712121283538j</v>
      </c>
      <c r="AS170" s="136" t="str">
        <f t="shared" si="97"/>
        <v>4.76450288464308E-07j</v>
      </c>
      <c r="AT170" s="136" t="str">
        <f t="shared" si="123"/>
        <v>-1.44703727795649E-10+4.76450288464308E-07j</v>
      </c>
      <c r="AU170" s="179" t="str">
        <f t="shared" si="124"/>
        <v>318723.800386119-2098951.65295292j</v>
      </c>
      <c r="AV170" s="136" t="str">
        <f t="shared" si="98"/>
        <v>7999.52485868671-61.6514780605695j</v>
      </c>
      <c r="AW170" s="136"/>
      <c r="AX170" s="136" t="str">
        <f t="shared" si="99"/>
        <v>0.499970303667919-0.00385321737878559j</v>
      </c>
      <c r="AY170" s="136"/>
      <c r="AZ170" s="136" t="str">
        <f t="shared" si="100"/>
        <v>4.89575490479445-20.7543297335848j</v>
      </c>
      <c r="BA170" s="136" t="str">
        <f t="shared" si="101"/>
        <v>2.36776112241929-10.3954129472059j</v>
      </c>
      <c r="BB170" s="136">
        <f t="shared" si="125"/>
        <v>20.55649310326919</v>
      </c>
      <c r="BC170" s="136">
        <f t="shared" si="126"/>
        <v>102.83134446555606</v>
      </c>
      <c r="BD170" s="136" t="str">
        <f t="shared" si="102"/>
        <v>17.3623952081648-99.8614322581412j</v>
      </c>
      <c r="BE170" s="136">
        <f t="shared" si="127"/>
        <v>40.117293493881903</v>
      </c>
      <c r="BF170" s="136">
        <f t="shared" si="128"/>
        <v>99.863127966551346</v>
      </c>
      <c r="BG170" s="136"/>
      <c r="BH170" s="136" t="str">
        <f t="shared" si="103"/>
        <v>-6.69060533469608-33.2632748850894j</v>
      </c>
      <c r="BI170" s="136">
        <f t="shared" si="129"/>
        <v>30.611544236094254</v>
      </c>
      <c r="BJ170" s="136">
        <f t="shared" si="130"/>
        <v>78.627226290987494</v>
      </c>
      <c r="BK170" s="136"/>
      <c r="BL170" s="136">
        <f t="shared" si="131"/>
        <v>-29.611544236094254</v>
      </c>
      <c r="BM170" s="136">
        <f t="shared" si="132"/>
        <v>-78.627226290987494</v>
      </c>
      <c r="BN170" s="136"/>
      <c r="BO170" s="189"/>
      <c r="BP170" s="189" t="str">
        <f t="shared" si="104"/>
        <v>0.00001+9.50998579769077E-07j</v>
      </c>
      <c r="BQ170" s="189" t="str">
        <f t="shared" si="105"/>
        <v>7.0714636457017E-08+4.64739366870217E-07j</v>
      </c>
      <c r="BR170" s="189" t="str">
        <f t="shared" si="106"/>
        <v>-0.00199303443181761-0.0116622575182721j</v>
      </c>
      <c r="BS170" s="189" t="str">
        <f t="shared" si="107"/>
        <v>0.000062570714636457+1.41573794663929E-06j</v>
      </c>
      <c r="BT170" s="189" t="str">
        <f t="shared" si="133"/>
        <v>-1.08194888181796E-07-7.32537401666762E-07j</v>
      </c>
      <c r="BU170" s="189" t="str">
        <f t="shared" si="134"/>
        <v>-7.0714636457017E-08-4.64739366870217E-07j</v>
      </c>
      <c r="BV170" s="189" t="str">
        <f t="shared" si="135"/>
        <v>-1.78909524638813E-07-1.19727676853698E-06j</v>
      </c>
      <c r="BW170" s="189" t="str">
        <f t="shared" si="108"/>
        <v>0.999997709137371-0.00151355785507186j</v>
      </c>
      <c r="BX170" s="189" t="str">
        <f t="shared" si="136"/>
        <v>-0.00001-9.50998579769077E-07j</v>
      </c>
      <c r="BY170" s="189" t="str">
        <f t="shared" si="137"/>
        <v>1.98558324725284-8.05676430156971j</v>
      </c>
      <c r="BZ170" s="136">
        <f t="shared" si="138"/>
        <v>18.379291237513137</v>
      </c>
      <c r="CA170" s="136">
        <f t="shared" si="139"/>
        <v>103.84460649638937</v>
      </c>
      <c r="CB170" s="189" t="str">
        <f t="shared" si="109"/>
        <v>14.885220823291-77.4697640889746j</v>
      </c>
      <c r="CC170" s="136" t="str">
        <f t="shared" si="110"/>
        <v>-4.74859253271169-25.9764174930114j</v>
      </c>
      <c r="CD170" s="136">
        <f t="shared" si="140"/>
        <v>28.434342370338207</v>
      </c>
      <c r="CE170" s="136">
        <f t="shared" si="141"/>
        <v>79.640488321820797</v>
      </c>
      <c r="CF170" s="136"/>
      <c r="CG170" s="136">
        <f t="shared" si="142"/>
        <v>-27.434342370338207</v>
      </c>
      <c r="CH170" s="136">
        <f t="shared" si="143"/>
        <v>-79.640488321820797</v>
      </c>
      <c r="CI170" s="77"/>
      <c r="CJ170" s="189"/>
      <c r="CK170" s="189"/>
      <c r="CL170" s="189"/>
      <c r="CM170" s="77"/>
      <c r="CN170" s="189">
        <v>13803.842646028799</v>
      </c>
      <c r="CO170" s="189">
        <v>7.6317089812628298</v>
      </c>
      <c r="CP170" s="189">
        <v>84.100063022571902</v>
      </c>
      <c r="CQ170" s="74"/>
      <c r="CR170" s="75"/>
      <c r="CS170" s="75"/>
      <c r="CT170" s="75"/>
      <c r="CU170" s="74"/>
      <c r="CV170" s="75"/>
      <c r="CW170" s="75"/>
      <c r="CX170" s="75"/>
      <c r="CY170" s="74"/>
      <c r="CZ170" s="75"/>
      <c r="DA170" s="75"/>
      <c r="DB170" s="75"/>
      <c r="DC170" s="74"/>
      <c r="DD170" s="75"/>
      <c r="DE170" s="75"/>
      <c r="DF170" s="75"/>
      <c r="DG170" s="74"/>
      <c r="DH170" s="75"/>
      <c r="DI170" s="75"/>
      <c r="DJ170" s="75"/>
      <c r="DK170" s="74"/>
      <c r="DL170" s="75"/>
      <c r="DM170" s="75"/>
      <c r="DN170" s="75"/>
      <c r="DO170" s="76"/>
    </row>
    <row r="171" spans="1:119" x14ac:dyDescent="0.25">
      <c r="A171" s="136">
        <v>122</v>
      </c>
      <c r="B171" s="136">
        <f t="shared" si="72"/>
        <v>4570.8818961487532</v>
      </c>
      <c r="C171" s="136" t="str">
        <f t="shared" si="79"/>
        <v>28719.697970735j</v>
      </c>
      <c r="D171" s="136">
        <f t="shared" si="73"/>
        <v>0.99947767596728654</v>
      </c>
      <c r="E171" s="136" t="str">
        <f t="shared" si="74"/>
        <v>-0.0358996224634187j</v>
      </c>
      <c r="F171" s="136" t="str">
        <f t="shared" si="80"/>
        <v>0.999477675967287-0.0358996224634187j</v>
      </c>
      <c r="G171" s="136">
        <f t="shared" si="81"/>
        <v>1.0613192452456949E-3</v>
      </c>
      <c r="H171" s="136">
        <f t="shared" si="82"/>
        <v>-2.0570874485966955</v>
      </c>
      <c r="I171" s="136"/>
      <c r="J171" s="136">
        <f t="shared" si="75"/>
        <v>7.0726915520628681</v>
      </c>
      <c r="K171" s="136" t="str">
        <f t="shared" si="76"/>
        <v>1+2.10800668458664j</v>
      </c>
      <c r="L171" s="136">
        <f t="shared" si="77"/>
        <v>0.75735897207209846</v>
      </c>
      <c r="M171" s="136" t="str">
        <f t="shared" si="78"/>
        <v>0.15427318969589j</v>
      </c>
      <c r="N171" s="136" t="str">
        <f t="shared" si="83"/>
        <v>0.757358972072098+0.15427318969589j</v>
      </c>
      <c r="O171" s="136" t="str">
        <f t="shared" si="84"/>
        <v>1.0716547770887+0.711007478971545j</v>
      </c>
      <c r="P171" s="136" t="str">
        <f t="shared" si="85"/>
        <v>7.57948368864306+5.02873658997556j</v>
      </c>
      <c r="Q171" s="136"/>
      <c r="R171" s="136">
        <f t="shared" si="86"/>
        <v>11.787819253438114</v>
      </c>
      <c r="S171" s="136" t="str">
        <f t="shared" si="87"/>
        <v>1+0.000672548802734233j</v>
      </c>
      <c r="T171" s="136" t="str">
        <f t="shared" si="88"/>
        <v>0.969453304399771+0.0547381933038729j</v>
      </c>
      <c r="U171" s="136" t="str">
        <f t="shared" si="111"/>
        <v>1.02827017622985-0.0573654271123201j</v>
      </c>
      <c r="V171" s="136" t="str">
        <f t="shared" si="112"/>
        <v>12.1210629810984-0.676213286196308j</v>
      </c>
      <c r="W171" s="136"/>
      <c r="X171" s="136" t="str">
        <f t="shared" si="89"/>
        <v>1.80252033541218+1.16312097094196j</v>
      </c>
      <c r="Y171" s="136">
        <f t="shared" si="113"/>
        <v>6.629400038540525</v>
      </c>
      <c r="Z171" s="136">
        <f t="shared" si="114"/>
        <v>-147.16686575213234</v>
      </c>
      <c r="AA171" s="136"/>
      <c r="AB171" s="136" t="str">
        <f t="shared" si="90"/>
        <v>9.52869690999643-0.531589635391317j</v>
      </c>
      <c r="AC171" s="136">
        <f t="shared" si="115"/>
        <v>19.594165958966052</v>
      </c>
      <c r="AD171" s="136">
        <f t="shared" si="116"/>
        <v>176.80687680663235</v>
      </c>
      <c r="AE171" s="136"/>
      <c r="AF171" s="136" t="str">
        <f t="shared" si="117"/>
        <v>2.83329499726675-1.36557598359562j</v>
      </c>
      <c r="AG171" s="136">
        <f t="shared" si="118"/>
        <v>9.9529983844041929</v>
      </c>
      <c r="AH171" s="136">
        <f t="shared" si="119"/>
        <v>154.26711817514439</v>
      </c>
      <c r="AI171" s="136"/>
      <c r="AJ171" s="136" t="str">
        <f t="shared" si="91"/>
        <v>98972.2835046772-10085.4076931733j</v>
      </c>
      <c r="AK171" s="136" t="str">
        <f t="shared" si="92"/>
        <v>19047.6178348768-4.80623040136256j</v>
      </c>
      <c r="AL171" s="136" t="str">
        <f t="shared" si="93"/>
        <v>10000-2180758.72071136j</v>
      </c>
      <c r="AM171" s="136" t="str">
        <f t="shared" si="94"/>
        <v>963.129487718853-676790.235040127j</v>
      </c>
      <c r="AN171" s="136" t="str">
        <f t="shared" si="120"/>
        <v>10963.1294877189-676790.235040127j</v>
      </c>
      <c r="AO171" s="136" t="str">
        <f t="shared" si="121"/>
        <v>19023.6236825342-539.815527988337j</v>
      </c>
      <c r="AP171" s="136" t="str">
        <f t="shared" si="122"/>
        <v>0.160225576187134+0.0136579008375651j</v>
      </c>
      <c r="AQ171" s="136" t="str">
        <f t="shared" si="95"/>
        <v>1+0.163042133996178j</v>
      </c>
      <c r="AR171" s="136" t="str">
        <f t="shared" si="96"/>
        <v>1+0.000325433401189975j</v>
      </c>
      <c r="AS171" s="136" t="str">
        <f t="shared" si="97"/>
        <v>5.10525682075531E-07j</v>
      </c>
      <c r="AT171" s="136" t="str">
        <f t="shared" si="123"/>
        <v>-1.66142109112672E-10+5.10525682075531E-07j</v>
      </c>
      <c r="AU171" s="179" t="str">
        <f t="shared" si="124"/>
        <v>318723.796030491-1958869.0413732j</v>
      </c>
      <c r="AV171" s="136" t="str">
        <f t="shared" si="98"/>
        <v>7999.45446958068-66.0601676591765j</v>
      </c>
      <c r="AW171" s="136"/>
      <c r="AX171" s="136" t="str">
        <f t="shared" si="99"/>
        <v>0.499965904348793-0.00412876047869853j</v>
      </c>
      <c r="AY171" s="136"/>
      <c r="AZ171" s="136" t="str">
        <f t="shared" si="100"/>
        <v>4.89625192885182-19.3366904688067j</v>
      </c>
      <c r="BA171" s="136" t="str">
        <f t="shared" si="101"/>
        <v>2.36812246013149-9.68790138880722j</v>
      </c>
      <c r="BB171" s="136">
        <f t="shared" si="125"/>
        <v>19.976634637136897</v>
      </c>
      <c r="BC171" s="136">
        <f t="shared" si="126"/>
        <v>103.73609411702304</v>
      </c>
      <c r="BD171" s="136" t="str">
        <f t="shared" si="102"/>
        <v>17.415133201365-93.5719453830208j</v>
      </c>
      <c r="BE171" s="136">
        <f t="shared" si="127"/>
        <v>39.570800596102956</v>
      </c>
      <c r="BF171" s="136">
        <f t="shared" si="128"/>
        <v>100.54297092365537</v>
      </c>
      <c r="BG171" s="136"/>
      <c r="BH171" s="136" t="str">
        <f t="shared" si="103"/>
        <v>-6.51997594879223-30.6825336966901j</v>
      </c>
      <c r="BI171" s="136">
        <f t="shared" si="129"/>
        <v>29.929633021541111</v>
      </c>
      <c r="BJ171" s="136">
        <f t="shared" si="130"/>
        <v>78.003212292167447</v>
      </c>
      <c r="BK171" s="136"/>
      <c r="BL171" s="136">
        <f t="shared" si="131"/>
        <v>-28.929633021541111</v>
      </c>
      <c r="BM171" s="136">
        <f t="shared" si="132"/>
        <v>-78.003212292167447</v>
      </c>
      <c r="BN171" s="136"/>
      <c r="BO171" s="189"/>
      <c r="BP171" s="189" t="str">
        <f t="shared" si="104"/>
        <v>0.00001+1.01901333747611E-06j</v>
      </c>
      <c r="BQ171" s="189" t="str">
        <f t="shared" si="105"/>
        <v>8.09199799735895E-08+4.96313302520233E-07j</v>
      </c>
      <c r="BR171" s="189" t="str">
        <f t="shared" si="106"/>
        <v>-0.00223004332253446-0.0124607105784216j</v>
      </c>
      <c r="BS171" s="189" t="str">
        <f t="shared" si="107"/>
        <v>0.0000625809199799736+1.51532663999634E-06j</v>
      </c>
      <c r="BT171" s="189" t="str">
        <f t="shared" si="133"/>
        <v>-1.20676116026637E-07-7.83181975656795E-07j</v>
      </c>
      <c r="BU171" s="189" t="str">
        <f t="shared" si="134"/>
        <v>-8.09199799735895E-08-4.96313302520233E-07j</v>
      </c>
      <c r="BV171" s="189" t="str">
        <f t="shared" si="135"/>
        <v>-2.01596096000227E-07-1.27949527817703E-06j</v>
      </c>
      <c r="BW171" s="189" t="str">
        <f t="shared" si="108"/>
        <v>0.999997369738669-0.00162180591086326j</v>
      </c>
      <c r="BX171" s="189" t="str">
        <f t="shared" si="136"/>
        <v>-0.00001-1.01901333747611E-06j</v>
      </c>
      <c r="BY171" s="189" t="str">
        <f t="shared" si="137"/>
        <v>1.96653785364325-7.50700698090466j</v>
      </c>
      <c r="BZ171" s="136">
        <f t="shared" si="138"/>
        <v>17.79758239010728</v>
      </c>
      <c r="CA171" s="136">
        <f t="shared" si="139"/>
        <v>104.67937131062422</v>
      </c>
      <c r="CB171" s="189" t="str">
        <f t="shared" si="109"/>
        <v>14.7478960655423-72.5773853628693j</v>
      </c>
      <c r="CC171" s="136" t="str">
        <f t="shared" si="110"/>
        <v>-4.67960657914495-23.9550221872107j</v>
      </c>
      <c r="CD171" s="136">
        <f t="shared" si="140"/>
        <v>27.750580774511491</v>
      </c>
      <c r="CE171" s="136">
        <f t="shared" si="141"/>
        <v>78.946489485768666</v>
      </c>
      <c r="CF171" s="136"/>
      <c r="CG171" s="136">
        <f t="shared" si="142"/>
        <v>-26.750580774511491</v>
      </c>
      <c r="CH171" s="136">
        <f t="shared" si="143"/>
        <v>-78.946489485768666</v>
      </c>
      <c r="CI171" s="77"/>
      <c r="CJ171" s="189"/>
      <c r="CK171" s="189"/>
      <c r="CL171" s="189"/>
      <c r="CM171" s="77"/>
      <c r="CN171" s="189">
        <v>14454.3977074592</v>
      </c>
      <c r="CO171" s="189">
        <v>7.1862862836444101</v>
      </c>
      <c r="CP171" s="189">
        <v>85.158025966836703</v>
      </c>
      <c r="CQ171" s="74"/>
      <c r="CR171" s="75"/>
      <c r="CS171" s="75"/>
      <c r="CT171" s="75"/>
      <c r="CU171" s="74"/>
      <c r="CV171" s="75"/>
      <c r="CW171" s="75"/>
      <c r="CX171" s="75"/>
      <c r="CY171" s="74"/>
      <c r="CZ171" s="75"/>
      <c r="DA171" s="75"/>
      <c r="DB171" s="75"/>
      <c r="DC171" s="74"/>
      <c r="DD171" s="75"/>
      <c r="DE171" s="75"/>
      <c r="DF171" s="75"/>
      <c r="DG171" s="74"/>
      <c r="DH171" s="75"/>
      <c r="DI171" s="75"/>
      <c r="DJ171" s="75"/>
      <c r="DK171" s="74"/>
      <c r="DL171" s="75"/>
      <c r="DM171" s="75"/>
      <c r="DN171" s="75"/>
      <c r="DO171" s="76"/>
    </row>
    <row r="172" spans="1:119" x14ac:dyDescent="0.25">
      <c r="A172" s="136">
        <v>123</v>
      </c>
      <c r="B172" s="136">
        <f t="shared" si="72"/>
        <v>4897.7881936844633</v>
      </c>
      <c r="C172" s="136" t="str">
        <f t="shared" si="79"/>
        <v>30773.7108162359j</v>
      </c>
      <c r="D172" s="136">
        <f t="shared" si="73"/>
        <v>0.99940029177024514</v>
      </c>
      <c r="E172" s="136" t="str">
        <f t="shared" si="74"/>
        <v>-0.0384671385202949j</v>
      </c>
      <c r="F172" s="136" t="str">
        <f t="shared" si="80"/>
        <v>0.999400291770245-0.0384671385202949j</v>
      </c>
      <c r="G172" s="136">
        <f t="shared" si="81"/>
        <v>1.2187369686771136E-3</v>
      </c>
      <c r="H172" s="136">
        <f t="shared" si="82"/>
        <v>-2.2042391450918428</v>
      </c>
      <c r="I172" s="136"/>
      <c r="J172" s="136">
        <f t="shared" si="75"/>
        <v>7.0726915520628681</v>
      </c>
      <c r="K172" s="136" t="str">
        <f t="shared" si="76"/>
        <v>1+2.2587698581045j</v>
      </c>
      <c r="L172" s="136">
        <f t="shared" si="77"/>
        <v>0.72141082506085297</v>
      </c>
      <c r="M172" s="136" t="str">
        <f t="shared" si="78"/>
        <v>0.16530670103973j</v>
      </c>
      <c r="N172" s="136" t="str">
        <f t="shared" si="83"/>
        <v>0.721410825060853+0.16530670103973j</v>
      </c>
      <c r="O172" s="136" t="str">
        <f t="shared" si="84"/>
        <v>1.082832445848+0.76475199474824j</v>
      </c>
      <c r="P172" s="136" t="str">
        <f t="shared" si="85"/>
        <v>7.65853989204872+5.4088549726791j</v>
      </c>
      <c r="Q172" s="136"/>
      <c r="R172" s="136">
        <f t="shared" si="86"/>
        <v>11.787819253438114</v>
      </c>
      <c r="S172" s="136" t="str">
        <f t="shared" si="87"/>
        <v>1+0.000720649025844172j</v>
      </c>
      <c r="T172" s="136" t="str">
        <f t="shared" si="88"/>
        <v>0.964927700821834+0.0586530308589279j</v>
      </c>
      <c r="U172" s="136" t="str">
        <f t="shared" si="111"/>
        <v>1.03257730097037-0.0620182623228983j</v>
      </c>
      <c r="V172" s="136" t="str">
        <f t="shared" si="112"/>
        <v>12.1718345890417-0.731060066674636j</v>
      </c>
      <c r="W172" s="136"/>
      <c r="X172" s="136" t="str">
        <f t="shared" si="89"/>
        <v>1.82344993916994+1.25086617167938j</v>
      </c>
      <c r="Y172" s="136">
        <f t="shared" si="113"/>
        <v>6.89276517644468</v>
      </c>
      <c r="Z172" s="136">
        <f t="shared" si="114"/>
        <v>-145.55031524592272</v>
      </c>
      <c r="AA172" s="136"/>
      <c r="AB172" s="136" t="str">
        <f t="shared" si="90"/>
        <v>9.56860985034492-0.574706179582373j</v>
      </c>
      <c r="AC172" s="136">
        <f t="shared" si="115"/>
        <v>19.632615480593834</v>
      </c>
      <c r="AD172" s="136">
        <f t="shared" si="116"/>
        <v>176.56285192310781</v>
      </c>
      <c r="AE172" s="136"/>
      <c r="AF172" s="136" t="str">
        <f t="shared" si="117"/>
        <v>2.75756428774997-1.42522451258441j</v>
      </c>
      <c r="AG172" s="136">
        <f t="shared" si="118"/>
        <v>9.8387090741266228</v>
      </c>
      <c r="AH172" s="136">
        <f t="shared" si="119"/>
        <v>152.66818873704426</v>
      </c>
      <c r="AI172" s="136"/>
      <c r="AJ172" s="136" t="str">
        <f t="shared" si="91"/>
        <v>98821.8174837874-10790.2797730064j</v>
      </c>
      <c r="AK172" s="136" t="str">
        <f t="shared" si="92"/>
        <v>19047.6176552047-5.14996861190133j</v>
      </c>
      <c r="AL172" s="136" t="str">
        <f t="shared" si="93"/>
        <v>10000-2035202.45510442j</v>
      </c>
      <c r="AM172" s="136" t="str">
        <f t="shared" si="94"/>
        <v>963.128060663804-631617.818718764j</v>
      </c>
      <c r="AN172" s="136" t="str">
        <f t="shared" si="120"/>
        <v>10963.1280606638-631617.818718764j</v>
      </c>
      <c r="AO172" s="136" t="str">
        <f t="shared" si="121"/>
        <v>19020.0767856007-578.253240227369j</v>
      </c>
      <c r="AP172" s="136" t="str">
        <f t="shared" si="122"/>
        <v>0.160258985652414+0.0146341131560334j</v>
      </c>
      <c r="AQ172" s="136" t="str">
        <f t="shared" si="95"/>
        <v>1+0.174702794144042j</v>
      </c>
      <c r="AR172" s="136" t="str">
        <f t="shared" si="96"/>
        <v>1+0.000348708171944195j</v>
      </c>
      <c r="AS172" s="136" t="str">
        <f t="shared" si="97"/>
        <v>5.4703812416353E-07j</v>
      </c>
      <c r="AT172" s="136" t="str">
        <f t="shared" si="123"/>
        <v>-1.90756664260846E-10+5.4703812416353E-07j</v>
      </c>
      <c r="AU172" s="179" t="str">
        <f t="shared" si="124"/>
        <v>318723.791029559-1828137.29886994j</v>
      </c>
      <c r="AV172" s="136" t="str">
        <f t="shared" si="98"/>
        <v>7999.37365360126-70.7840298379645j</v>
      </c>
      <c r="AW172" s="136"/>
      <c r="AX172" s="136" t="str">
        <f t="shared" si="99"/>
        <v>0.499960853350079-0.00442400186487278j</v>
      </c>
      <c r="AY172" s="136"/>
      <c r="AZ172" s="136" t="str">
        <f t="shared" si="100"/>
        <v>4.89682255525355-18.0113590983548j</v>
      </c>
      <c r="BA172" s="136" t="str">
        <f t="shared" si="101"/>
        <v>2.36853729718846-9.02663801692457j</v>
      </c>
      <c r="BB172" s="136">
        <f t="shared" si="125"/>
        <v>19.399691024741131</v>
      </c>
      <c r="BC172" s="136">
        <f t="shared" si="126"/>
        <v>104.70263166071607</v>
      </c>
      <c r="BD172" s="136" t="str">
        <f t="shared" si="102"/>
        <v>17.4759446636071-87.7335904655079j</v>
      </c>
      <c r="BE172" s="136">
        <f t="shared" si="127"/>
        <v>39.032306505334958</v>
      </c>
      <c r="BF172" s="136">
        <f t="shared" si="128"/>
        <v>101.26548358382387</v>
      </c>
      <c r="BG172" s="136"/>
      <c r="BH172" s="136" t="str">
        <f t="shared" si="103"/>
        <v>-6.33359190301647-28.2672320488408j</v>
      </c>
      <c r="BI172" s="136">
        <f t="shared" si="129"/>
        <v>29.238400098867746</v>
      </c>
      <c r="BJ172" s="136">
        <f t="shared" si="130"/>
        <v>77.370820397760355</v>
      </c>
      <c r="BK172" s="136"/>
      <c r="BL172" s="136">
        <f t="shared" si="131"/>
        <v>-28.238400098867746</v>
      </c>
      <c r="BM172" s="136">
        <f t="shared" si="132"/>
        <v>-77.370820397760355</v>
      </c>
      <c r="BN172" s="136"/>
      <c r="BO172" s="189"/>
      <c r="BP172" s="189" t="str">
        <f t="shared" si="104"/>
        <v>0.00001+1.09189246340026E-06j</v>
      </c>
      <c r="BQ172" s="189" t="str">
        <f t="shared" si="105"/>
        <v>9.25535006038854E-08+5.29776876536819E-07j</v>
      </c>
      <c r="BR172" s="189" t="str">
        <f t="shared" si="106"/>
        <v>-0.0025005049575166-0.0133083329761781j</v>
      </c>
      <c r="BS172" s="189" t="str">
        <f t="shared" si="107"/>
        <v>0.0000625925535006039+1.62166933993708E-06j</v>
      </c>
      <c r="BT172" s="189" t="str">
        <f t="shared" si="133"/>
        <v>-1.34931274778741E-07-8.37057536039244E-07j</v>
      </c>
      <c r="BU172" s="189" t="str">
        <f t="shared" si="134"/>
        <v>-9.25535006038854E-08-5.29776876536819E-07j</v>
      </c>
      <c r="BV172" s="189" t="str">
        <f t="shared" si="135"/>
        <v>-2.27484775382626E-07-1.36683441257606E-06j</v>
      </c>
      <c r="BW172" s="189" t="str">
        <f t="shared" si="108"/>
        <v>0.999996980057104-0.00173779566564947j</v>
      </c>
      <c r="BX172" s="189" t="str">
        <f t="shared" si="136"/>
        <v>-0.00001-1.09189246340026E-06j</v>
      </c>
      <c r="BY172" s="189" t="str">
        <f t="shared" si="137"/>
        <v>1.94998929341121-6.9930009971996j</v>
      </c>
      <c r="BZ172" s="136">
        <f t="shared" si="138"/>
        <v>17.218478722180677</v>
      </c>
      <c r="CA172" s="136">
        <f t="shared" si="139"/>
        <v>105.58105963474092</v>
      </c>
      <c r="CB172" s="189" t="str">
        <f t="shared" si="109"/>
        <v>14.6397658740853-68.0339691223188j</v>
      </c>
      <c r="CC172" s="136" t="str">
        <f t="shared" si="110"/>
        <v>-4.58937560073053-22.0628223543243j</v>
      </c>
      <c r="CD172" s="136">
        <f t="shared" si="140"/>
        <v>27.057187796307275</v>
      </c>
      <c r="CE172" s="136">
        <f t="shared" si="141"/>
        <v>78.2492483717852</v>
      </c>
      <c r="CF172" s="136"/>
      <c r="CG172" s="136">
        <f t="shared" si="142"/>
        <v>-26.057187796307275</v>
      </c>
      <c r="CH172" s="136">
        <f t="shared" si="143"/>
        <v>-78.2492483717852</v>
      </c>
      <c r="CI172" s="77"/>
      <c r="CJ172" s="189"/>
      <c r="CK172" s="189"/>
      <c r="CL172" s="189"/>
      <c r="CM172" s="77"/>
      <c r="CN172" s="189">
        <v>15135.612484362</v>
      </c>
      <c r="CO172" s="189">
        <v>6.7509715058352899</v>
      </c>
      <c r="CP172" s="189">
        <v>86.234139082186203</v>
      </c>
      <c r="CQ172" s="74"/>
      <c r="CR172" s="75"/>
      <c r="CS172" s="75"/>
      <c r="CT172" s="75"/>
      <c r="CU172" s="74"/>
      <c r="CV172" s="75"/>
      <c r="CW172" s="75"/>
      <c r="CX172" s="75"/>
      <c r="CY172" s="74"/>
      <c r="CZ172" s="75"/>
      <c r="DA172" s="75"/>
      <c r="DB172" s="75"/>
      <c r="DC172" s="74"/>
      <c r="DD172" s="75"/>
      <c r="DE172" s="75"/>
      <c r="DF172" s="75"/>
      <c r="DG172" s="74"/>
      <c r="DH172" s="75"/>
      <c r="DI172" s="75"/>
      <c r="DJ172" s="75"/>
      <c r="DK172" s="74"/>
      <c r="DL172" s="75"/>
      <c r="DM172" s="75"/>
      <c r="DN172" s="75"/>
      <c r="DO172" s="76"/>
    </row>
    <row r="173" spans="1:119" x14ac:dyDescent="0.25">
      <c r="A173" s="136">
        <v>124</v>
      </c>
      <c r="B173" s="136">
        <f t="shared" si="72"/>
        <v>5248.0746024977261</v>
      </c>
      <c r="C173" s="136" t="str">
        <f t="shared" si="79"/>
        <v>32974.6252333961j</v>
      </c>
      <c r="D173" s="136">
        <f t="shared" si="73"/>
        <v>0.99931144282416551</v>
      </c>
      <c r="E173" s="136" t="str">
        <f t="shared" si="74"/>
        <v>-0.0412182815417451j</v>
      </c>
      <c r="F173" s="136" t="str">
        <f t="shared" si="80"/>
        <v>0.999311442824166-0.0412182815417451j</v>
      </c>
      <c r="G173" s="136">
        <f t="shared" si="81"/>
        <v>1.3995337847512745E-3</v>
      </c>
      <c r="H173" s="136">
        <f t="shared" si="82"/>
        <v>-2.3619219813103731</v>
      </c>
      <c r="I173" s="136"/>
      <c r="J173" s="136">
        <f t="shared" si="75"/>
        <v>7.0726915520628681</v>
      </c>
      <c r="K173" s="136" t="str">
        <f t="shared" si="76"/>
        <v>1+2.42031550904779j</v>
      </c>
      <c r="L173" s="136">
        <f t="shared" si="77"/>
        <v>0.68013682988379054</v>
      </c>
      <c r="M173" s="136" t="str">
        <f t="shared" si="78"/>
        <v>0.177129321449212j</v>
      </c>
      <c r="N173" s="136" t="str">
        <f t="shared" si="83"/>
        <v>0.680136829883791+0.177129321449212j</v>
      </c>
      <c r="O173" s="136" t="str">
        <f t="shared" si="84"/>
        <v>1.09585396608169+0.823030384030885j</v>
      </c>
      <c r="P173" s="136" t="str">
        <f t="shared" si="85"/>
        <v>7.75063708820056+5.8210400442263j</v>
      </c>
      <c r="Q173" s="136"/>
      <c r="R173" s="136">
        <f t="shared" si="86"/>
        <v>11.787819253438114</v>
      </c>
      <c r="S173" s="136" t="str">
        <f t="shared" si="87"/>
        <v>1+0.000772189343492701j</v>
      </c>
      <c r="T173" s="136" t="str">
        <f t="shared" si="88"/>
        <v>0.959731612684367+0.062847854876038j</v>
      </c>
      <c r="U173" s="136" t="str">
        <f t="shared" si="111"/>
        <v>1.03756132049741-0.0671399306852994j</v>
      </c>
      <c r="V173" s="136" t="str">
        <f t="shared" si="112"/>
        <v>12.230585310382-0.791433367606673j</v>
      </c>
      <c r="W173" s="136"/>
      <c r="X173" s="136" t="str">
        <f t="shared" si="89"/>
        <v>1.84781472865873+1.34597170585183j</v>
      </c>
      <c r="Y173" s="136">
        <f t="shared" si="113"/>
        <v>7.1817431709632302</v>
      </c>
      <c r="Z173" s="136">
        <f t="shared" si="114"/>
        <v>-143.92993002297507</v>
      </c>
      <c r="AA173" s="136"/>
      <c r="AB173" s="136" t="str">
        <f t="shared" si="90"/>
        <v>9.61479538850839-0.622167271644552j</v>
      </c>
      <c r="AC173" s="136">
        <f t="shared" si="115"/>
        <v>19.676948181638544</v>
      </c>
      <c r="AD173" s="136">
        <f t="shared" si="116"/>
        <v>176.29758863099747</v>
      </c>
      <c r="AE173" s="136"/>
      <c r="AF173" s="136" t="str">
        <f t="shared" si="117"/>
        <v>2.67532448850561-1.48291891837171j</v>
      </c>
      <c r="AG173" s="136">
        <f t="shared" si="118"/>
        <v>9.7110922759930105</v>
      </c>
      <c r="AH173" s="136">
        <f t="shared" si="119"/>
        <v>151.00061699437242</v>
      </c>
      <c r="AI173" s="136"/>
      <c r="AJ173" s="136" t="str">
        <f t="shared" si="91"/>
        <v>98649.6225880948-11541.8465609248j</v>
      </c>
      <c r="AK173" s="136" t="str">
        <f t="shared" si="92"/>
        <v>19047.6174489135-5.51829072925528j</v>
      </c>
      <c r="AL173" s="136" t="str">
        <f t="shared" si="93"/>
        <v>10000-1899361.4442188j</v>
      </c>
      <c r="AM173" s="136" t="str">
        <f t="shared" si="94"/>
        <v>963.126422190608-589460.497026962j</v>
      </c>
      <c r="AN173" s="136" t="str">
        <f t="shared" si="120"/>
        <v>10963.1264221906-589460.497026962j</v>
      </c>
      <c r="AO173" s="136" t="str">
        <f t="shared" si="121"/>
        <v>19016.0069752239-619.401087694323j</v>
      </c>
      <c r="AP173" s="136" t="str">
        <f t="shared" si="122"/>
        <v>0.160297341521999+0.015680007415596j</v>
      </c>
      <c r="AQ173" s="136" t="str">
        <f t="shared" si="95"/>
        <v>1+0.187197416604291j</v>
      </c>
      <c r="AR173" s="136" t="str">
        <f t="shared" si="96"/>
        <v>1+0.000373647538132318j</v>
      </c>
      <c r="AS173" s="136" t="str">
        <f t="shared" si="97"/>
        <v>5.86161910742187E-07j</v>
      </c>
      <c r="AT173" s="136" t="str">
        <f t="shared" si="123"/>
        <v>-2.19017954895754E-10+5.86161910742187E-07j</v>
      </c>
      <c r="AU173" s="179" t="str">
        <f t="shared" si="124"/>
        <v>318723.785287719-1706132.36360814j</v>
      </c>
      <c r="AV173" s="136" t="str">
        <f t="shared" si="98"/>
        <v>7999.28086645551-75.8455747080107j</v>
      </c>
      <c r="AW173" s="136"/>
      <c r="AX173" s="136" t="str">
        <f t="shared" si="99"/>
        <v>0.499955054153469-0.00474034841925067j</v>
      </c>
      <c r="AY173" s="136"/>
      <c r="AZ173" s="136" t="str">
        <f t="shared" si="100"/>
        <v>4.89747767777391-16.7720095076921j</v>
      </c>
      <c r="BA173" s="136" t="str">
        <f t="shared" si="101"/>
        <v>2.36901354884942-8.40846667224885j</v>
      </c>
      <c r="BB173" s="136">
        <f t="shared" si="125"/>
        <v>18.826072735484985</v>
      </c>
      <c r="BC173" s="136">
        <f t="shared" si="126"/>
        <v>105.73472814910492</v>
      </c>
      <c r="BD173" s="136" t="str">
        <f t="shared" si="102"/>
        <v>17.5461077766041-82.3196092809414j</v>
      </c>
      <c r="BE173" s="136">
        <f t="shared" si="127"/>
        <v>38.503020917123528</v>
      </c>
      <c r="BF173" s="136">
        <f t="shared" si="128"/>
        <v>102.03231678010238</v>
      </c>
      <c r="BG173" s="136"/>
      <c r="BH173" s="136" t="str">
        <f t="shared" si="103"/>
        <v>-6.13119434193739-26.0084318085184j</v>
      </c>
      <c r="BI173" s="136">
        <f t="shared" si="129"/>
        <v>28.537165011478017</v>
      </c>
      <c r="BJ173" s="136">
        <f t="shared" si="130"/>
        <v>76.735345143477389</v>
      </c>
      <c r="BK173" s="136"/>
      <c r="BL173" s="136">
        <f t="shared" si="131"/>
        <v>-27.537165011478017</v>
      </c>
      <c r="BM173" s="136">
        <f t="shared" si="132"/>
        <v>-76.735345143477389</v>
      </c>
      <c r="BN173" s="136"/>
      <c r="BO173" s="189"/>
      <c r="BP173" s="189" t="str">
        <f t="shared" si="104"/>
        <v>0.00001+1.16998385377682E-06j</v>
      </c>
      <c r="BQ173" s="189" t="str">
        <f t="shared" si="105"/>
        <v>1.05801392703084E-07+5.65186179501257E-07j</v>
      </c>
      <c r="BR173" s="189" t="str">
        <f t="shared" si="106"/>
        <v>-0.00280886834951792-0.0142069206265188j</v>
      </c>
      <c r="BS173" s="189" t="str">
        <f t="shared" si="107"/>
        <v>0.0000626058013927031+1.73517003327808E-06j</v>
      </c>
      <c r="BT173" s="189" t="str">
        <f t="shared" si="133"/>
        <v>-1.51200031091873E-07-8.9430951533324E-07j</v>
      </c>
      <c r="BU173" s="189" t="str">
        <f t="shared" si="134"/>
        <v>-1.05801392703084E-07-5.65186179501257E-07j</v>
      </c>
      <c r="BV173" s="189" t="str">
        <f t="shared" si="135"/>
        <v>-2.57001423794957E-07-0.0000014594956948345j</v>
      </c>
      <c r="BW173" s="189" t="str">
        <f t="shared" si="108"/>
        <v>0.999996532643179-0.00186208077117787j</v>
      </c>
      <c r="BX173" s="189" t="str">
        <f t="shared" si="136"/>
        <v>-0.00001-1.16998385377682E-06j</v>
      </c>
      <c r="BY173" s="189" t="str">
        <f t="shared" si="137"/>
        <v>1.93562172626476-6.51230861792147j</v>
      </c>
      <c r="BZ173" s="136">
        <f t="shared" si="138"/>
        <v>16.6423564500979</v>
      </c>
      <c r="CA173" s="136">
        <f t="shared" si="139"/>
        <v>106.55327180636559</v>
      </c>
      <c r="CB173" s="189" t="str">
        <f t="shared" si="109"/>
        <v>14.5588615626676-63.8187953565009j</v>
      </c>
      <c r="CC173" s="136" t="str">
        <f t="shared" si="110"/>
        <v>-4.47880944703124-20.2929087989208j</v>
      </c>
      <c r="CD173" s="136">
        <f t="shared" si="140"/>
        <v>26.353448726090928</v>
      </c>
      <c r="CE173" s="136">
        <f t="shared" si="141"/>
        <v>77.553888800738093</v>
      </c>
      <c r="CF173" s="136"/>
      <c r="CG173" s="136">
        <f t="shared" si="142"/>
        <v>-25.353448726090928</v>
      </c>
      <c r="CH173" s="136">
        <f t="shared" si="143"/>
        <v>-77.553888800738093</v>
      </c>
      <c r="CI173" s="77"/>
      <c r="CJ173" s="189"/>
      <c r="CK173" s="189"/>
      <c r="CL173" s="189"/>
      <c r="CM173" s="77"/>
      <c r="CN173" s="189">
        <v>15848.931924611101</v>
      </c>
      <c r="CO173" s="189">
        <v>6.3259736571259699</v>
      </c>
      <c r="CP173" s="189">
        <v>87.3247813122655</v>
      </c>
      <c r="CQ173" s="74"/>
      <c r="CR173" s="75"/>
      <c r="CS173" s="75"/>
      <c r="CT173" s="75"/>
      <c r="CU173" s="74"/>
      <c r="CV173" s="75"/>
      <c r="CW173" s="75"/>
      <c r="CX173" s="75"/>
      <c r="CY173" s="74"/>
      <c r="CZ173" s="75"/>
      <c r="DA173" s="75"/>
      <c r="DB173" s="75"/>
      <c r="DC173" s="74"/>
      <c r="DD173" s="75"/>
      <c r="DE173" s="75"/>
      <c r="DF173" s="75"/>
      <c r="DG173" s="74"/>
      <c r="DH173" s="75"/>
      <c r="DI173" s="75"/>
      <c r="DJ173" s="75"/>
      <c r="DK173" s="74"/>
      <c r="DL173" s="75"/>
      <c r="DM173" s="75"/>
      <c r="DN173" s="75"/>
      <c r="DO173" s="76"/>
    </row>
    <row r="174" spans="1:119" x14ac:dyDescent="0.25">
      <c r="A174" s="136">
        <v>125</v>
      </c>
      <c r="B174" s="136">
        <f t="shared" si="72"/>
        <v>5623.4132519034993</v>
      </c>
      <c r="C174" s="136" t="str">
        <f t="shared" si="79"/>
        <v>35332.947520559j</v>
      </c>
      <c r="D174" s="136">
        <f t="shared" si="73"/>
        <v>0.99920943058495792</v>
      </c>
      <c r="E174" s="136" t="str">
        <f t="shared" si="74"/>
        <v>-0.0441661844006987j</v>
      </c>
      <c r="F174" s="136" t="str">
        <f t="shared" si="80"/>
        <v>0.999209430584958-0.0441661844006987j</v>
      </c>
      <c r="G174" s="136">
        <f t="shared" si="81"/>
        <v>1.6071915491072271E-3</v>
      </c>
      <c r="H174" s="136">
        <f t="shared" si="82"/>
        <v>-2.5308907344271905</v>
      </c>
      <c r="I174" s="136"/>
      <c r="J174" s="136">
        <f t="shared" si="75"/>
        <v>7.0726915520628681</v>
      </c>
      <c r="K174" s="136" t="str">
        <f t="shared" si="76"/>
        <v>1+2.59341479271068j</v>
      </c>
      <c r="L174" s="136">
        <f t="shared" si="77"/>
        <v>0.63274794284759928</v>
      </c>
      <c r="M174" s="136" t="str">
        <f t="shared" si="78"/>
        <v>0.189797487456468j</v>
      </c>
      <c r="N174" s="136" t="str">
        <f t="shared" si="83"/>
        <v>0.632747942847599+0.189797487456468j</v>
      </c>
      <c r="O174" s="136" t="str">
        <f t="shared" si="84"/>
        <v>1.11105718379503+0.886335824770885j</v>
      </c>
      <c r="P174" s="136" t="str">
        <f t="shared" si="85"/>
        <v>7.85816475768587+6.26877990014771j</v>
      </c>
      <c r="Q174" s="136"/>
      <c r="R174" s="136">
        <f t="shared" si="86"/>
        <v>11.787819253438114</v>
      </c>
      <c r="S174" s="136" t="str">
        <f t="shared" si="87"/>
        <v>1+0.000827415788851186j</v>
      </c>
      <c r="T174" s="136" t="str">
        <f t="shared" si="88"/>
        <v>0.953765705271716+0.0673426897924464j</v>
      </c>
      <c r="U174" s="136" t="str">
        <f t="shared" si="111"/>
        <v>1.04333536576507-0.0727994241285636j</v>
      </c>
      <c r="V174" s="136" t="str">
        <f t="shared" si="112"/>
        <v>12.2986487123584-0.858146453381889j</v>
      </c>
      <c r="W174" s="136"/>
      <c r="X174" s="136" t="str">
        <f t="shared" si="89"/>
        <v>1.87623850822875+1.44922841100801j</v>
      </c>
      <c r="Y174" s="136">
        <f t="shared" si="113"/>
        <v>7.4977757367405111</v>
      </c>
      <c r="Z174" s="136">
        <f t="shared" si="114"/>
        <v>-142.31708549552945</v>
      </c>
      <c r="AA174" s="136"/>
      <c r="AB174" s="136" t="str">
        <f t="shared" si="90"/>
        <v>9.66830187792337-0.674612240808884j</v>
      </c>
      <c r="AC174" s="136">
        <f t="shared" si="115"/>
        <v>19.72809698983211</v>
      </c>
      <c r="AD174" s="136">
        <f t="shared" si="116"/>
        <v>176.00861775063822</v>
      </c>
      <c r="AE174" s="136"/>
      <c r="AF174" s="136" t="str">
        <f t="shared" si="117"/>
        <v>2.58658504178155-1.53782961955089j</v>
      </c>
      <c r="AG174" s="136">
        <f t="shared" si="118"/>
        <v>9.5690486290823475</v>
      </c>
      <c r="AH174" s="136">
        <f t="shared" si="119"/>
        <v>149.26680128069395</v>
      </c>
      <c r="AI174" s="136"/>
      <c r="AJ174" s="136" t="str">
        <f t="shared" si="91"/>
        <v>98452.6549537567-12342.6183580388j</v>
      </c>
      <c r="AK174" s="136" t="str">
        <f t="shared" si="92"/>
        <v>19047.6172120594-5.91295497478415j</v>
      </c>
      <c r="AL174" s="136" t="str">
        <f t="shared" si="93"/>
        <v>10000-1772587.23658518j</v>
      </c>
      <c r="AM174" s="136" t="str">
        <f t="shared" si="94"/>
        <v>963.124540978539-550117.027519154j</v>
      </c>
      <c r="AN174" s="136" t="str">
        <f t="shared" si="120"/>
        <v>10963.1245409785-550117.027519154j</v>
      </c>
      <c r="AO174" s="136" t="str">
        <f t="shared" si="121"/>
        <v>19011.3375950422-663.443993337131j</v>
      </c>
      <c r="AP174" s="136" t="str">
        <f t="shared" si="122"/>
        <v>0.160341375564748+0.0168005359100137j</v>
      </c>
      <c r="AQ174" s="136" t="str">
        <f t="shared" si="95"/>
        <v>1+0.200585645782106j</v>
      </c>
      <c r="AR174" s="136" t="str">
        <f t="shared" si="96"/>
        <v>1+0.000400370550463285j</v>
      </c>
      <c r="AS174" s="136" t="str">
        <f t="shared" si="97"/>
        <v>6.28083803355218E-07j</v>
      </c>
      <c r="AT174" s="136" t="str">
        <f t="shared" si="123"/>
        <v>-2.51466258086402E-10+6.28083803355218E-07j</v>
      </c>
      <c r="AU174" s="179" t="str">
        <f t="shared" si="124"/>
        <v>318723.778695208-1592271.83209243j</v>
      </c>
      <c r="AV174" s="136" t="str">
        <f t="shared" si="98"/>
        <v>7999.17433521259-81.2689151949523j</v>
      </c>
      <c r="AW174" s="136"/>
      <c r="AX174" s="136" t="str">
        <f t="shared" si="99"/>
        <v>0.499948395950787-0.00507930719968452j</v>
      </c>
      <c r="AY174" s="136"/>
      <c r="AZ174" s="136" t="str">
        <f t="shared" si="100"/>
        <v>4.89822980074266-15.6127261393712j</v>
      </c>
      <c r="BA174" s="136" t="str">
        <f t="shared" si="101"/>
        <v>2.36956029959323-7.83043700369018j</v>
      </c>
      <c r="BB174" s="136">
        <f t="shared" si="125"/>
        <v>18.256244566464289</v>
      </c>
      <c r="BC174" s="136">
        <f t="shared" si="126"/>
        <v>106.83628472221091</v>
      </c>
      <c r="BD174" s="136" t="str">
        <f t="shared" si="102"/>
        <v>17.6271156408376-77.3055631711787j</v>
      </c>
      <c r="BE174" s="136">
        <f t="shared" si="127"/>
        <v>37.9843415562964</v>
      </c>
      <c r="BF174" s="136">
        <f t="shared" si="128"/>
        <v>102.84490247284909</v>
      </c>
      <c r="BG174" s="136"/>
      <c r="BH174" s="136" t="str">
        <f t="shared" si="103"/>
        <v>-5.91280873177486-23.8980712383841j</v>
      </c>
      <c r="BI174" s="136">
        <f t="shared" si="129"/>
        <v>27.825293195546639</v>
      </c>
      <c r="BJ174" s="136">
        <f t="shared" si="130"/>
        <v>76.10308600290476</v>
      </c>
      <c r="BK174" s="136"/>
      <c r="BL174" s="136">
        <f t="shared" si="131"/>
        <v>-26.825293195546639</v>
      </c>
      <c r="BM174" s="136">
        <f t="shared" si="132"/>
        <v>-76.10308600290476</v>
      </c>
      <c r="BN174" s="136"/>
      <c r="BO174" s="189"/>
      <c r="BP174" s="189" t="str">
        <f t="shared" si="104"/>
        <v>0.00001+1.25366028613816E-06j</v>
      </c>
      <c r="BQ174" s="189" t="str">
        <f t="shared" si="105"/>
        <v>1.20869973837456E-07+6.02585361311228E-07j</v>
      </c>
      <c r="BR174" s="189" t="str">
        <f t="shared" si="106"/>
        <v>-0.00316009082820749-0.0151580434525063j</v>
      </c>
      <c r="BS174" s="189" t="str">
        <f t="shared" si="107"/>
        <v>0.0000626208699738375+1.85624564744939E-06j</v>
      </c>
      <c r="BT174" s="189" t="str">
        <f t="shared" si="133"/>
        <v>-1.69750584676134E-07-9.55075772942581E-07j</v>
      </c>
      <c r="BU174" s="189" t="str">
        <f t="shared" si="134"/>
        <v>-1.20869973837456E-07-6.02585361311228E-07j</v>
      </c>
      <c r="BV174" s="189" t="str">
        <f t="shared" si="135"/>
        <v>-2.9062055851359E-07-1.55766113425381E-06j</v>
      </c>
      <c r="BW174" s="189" t="str">
        <f t="shared" si="108"/>
        <v>0.999996018943754-0.00199525446926367j</v>
      </c>
      <c r="BX174" s="189" t="str">
        <f t="shared" si="136"/>
        <v>-0.00001-1.25366028613816E-06j</v>
      </c>
      <c r="BY174" s="189" t="str">
        <f t="shared" si="137"/>
        <v>1.92316087925072-6.06264820005987j</v>
      </c>
      <c r="BZ174" s="136">
        <f t="shared" si="138"/>
        <v>16.069641643590195</v>
      </c>
      <c r="CA174" s="136">
        <f t="shared" si="139"/>
        <v>107.59979036765725</v>
      </c>
      <c r="CB174" s="189" t="str">
        <f t="shared" si="109"/>
        <v>14.5037632529302-59.9129008480149j</v>
      </c>
      <c r="CC174" s="136" t="str">
        <f t="shared" si="110"/>
        <v>-4.3489008117596-18.639048911132j</v>
      </c>
      <c r="CD174" s="136">
        <f t="shared" si="140"/>
        <v>25.638690272672548</v>
      </c>
      <c r="CE174" s="136">
        <f t="shared" si="141"/>
        <v>76.866591648351189</v>
      </c>
      <c r="CF174" s="136"/>
      <c r="CG174" s="136">
        <f t="shared" si="142"/>
        <v>-24.638690272672548</v>
      </c>
      <c r="CH174" s="136">
        <f t="shared" si="143"/>
        <v>-76.866591648351189</v>
      </c>
      <c r="CI174" s="77"/>
      <c r="CJ174" s="189"/>
      <c r="CK174" s="189"/>
      <c r="CL174" s="189"/>
      <c r="CM174" s="77"/>
      <c r="CN174" s="189">
        <v>16595.869074375601</v>
      </c>
      <c r="CO174" s="189">
        <v>5.9114769284595603</v>
      </c>
      <c r="CP174" s="189">
        <v>88.426301283847906</v>
      </c>
      <c r="CQ174" s="74"/>
      <c r="CR174" s="75"/>
      <c r="CS174" s="75"/>
      <c r="CT174" s="75"/>
      <c r="CU174" s="74"/>
      <c r="CV174" s="75"/>
      <c r="CW174" s="75"/>
      <c r="CX174" s="75"/>
      <c r="CY174" s="74"/>
      <c r="CZ174" s="75"/>
      <c r="DA174" s="75"/>
      <c r="DB174" s="75"/>
      <c r="DC174" s="74"/>
      <c r="DD174" s="75"/>
      <c r="DE174" s="75"/>
      <c r="DF174" s="75"/>
      <c r="DG174" s="74"/>
      <c r="DH174" s="75"/>
      <c r="DI174" s="75"/>
      <c r="DJ174" s="75"/>
      <c r="DK174" s="74"/>
      <c r="DL174" s="75"/>
      <c r="DM174" s="75"/>
      <c r="DN174" s="75"/>
      <c r="DO174" s="76"/>
    </row>
    <row r="175" spans="1:119" x14ac:dyDescent="0.25">
      <c r="A175" s="136">
        <v>126</v>
      </c>
      <c r="B175" s="136">
        <f t="shared" si="72"/>
        <v>6025.595860743585</v>
      </c>
      <c r="C175" s="136" t="str">
        <f t="shared" si="79"/>
        <v>37859.9353792262j</v>
      </c>
      <c r="D175" s="136">
        <f t="shared" si="73"/>
        <v>0.99909230486307476</v>
      </c>
      <c r="E175" s="136" t="str">
        <f t="shared" si="74"/>
        <v>-0.0473249192240327j</v>
      </c>
      <c r="F175" s="136" t="str">
        <f t="shared" si="80"/>
        <v>0.999092304863075-0.0473249192240327j</v>
      </c>
      <c r="G175" s="136">
        <f t="shared" si="81"/>
        <v>1.8457137409198339E-3</v>
      </c>
      <c r="H175" s="136">
        <f t="shared" si="82"/>
        <v>-2.7119545291001255</v>
      </c>
      <c r="I175" s="136"/>
      <c r="J175" s="136">
        <f t="shared" si="75"/>
        <v>7.0726915520628681</v>
      </c>
      <c r="K175" s="136" t="str">
        <f t="shared" si="76"/>
        <v>1+2.77889401687828j</v>
      </c>
      <c r="L175" s="136">
        <f t="shared" si="77"/>
        <v>0.57833822057829298</v>
      </c>
      <c r="M175" s="136" t="str">
        <f t="shared" si="78"/>
        <v>0.203371671895198j</v>
      </c>
      <c r="N175" s="136" t="str">
        <f t="shared" si="83"/>
        <v>0.578338220578293+0.203371671895198j</v>
      </c>
      <c r="O175" s="136" t="str">
        <f t="shared" si="84"/>
        <v>1.12885327934885+0.955239914795769j</v>
      </c>
      <c r="P175" s="136" t="str">
        <f t="shared" si="85"/>
        <v>7.98403105236908+6.75611727556929j</v>
      </c>
      <c r="Q175" s="136"/>
      <c r="R175" s="136">
        <f t="shared" si="86"/>
        <v>11.787819253438114</v>
      </c>
      <c r="S175" s="136" t="str">
        <f t="shared" si="87"/>
        <v>1+0.000886591991212448j</v>
      </c>
      <c r="T175" s="136" t="str">
        <f t="shared" si="88"/>
        <v>0.946915927070366+0.0721589921792338j</v>
      </c>
      <c r="U175" s="136" t="str">
        <f t="shared" si="111"/>
        <v>1.05003368041587-0.0790807061124487j</v>
      </c>
      <c r="V175" s="136" t="str">
        <f t="shared" si="112"/>
        <v>12.3776072347647-0.932189070087804j</v>
      </c>
      <c r="W175" s="136"/>
      <c r="X175" s="136" t="str">
        <f t="shared" si="89"/>
        <v>1.90947871171636+1.56155072564662j</v>
      </c>
      <c r="Y175" s="136">
        <f t="shared" si="113"/>
        <v>7.8422843710894234</v>
      </c>
      <c r="Z175" s="136">
        <f t="shared" si="114"/>
        <v>-140.72407683392561</v>
      </c>
      <c r="AA175" s="136"/>
      <c r="AB175" s="136" t="str">
        <f t="shared" si="90"/>
        <v>9.73037331750288-0.732819153363823j</v>
      </c>
      <c r="AC175" s="136">
        <f t="shared" si="115"/>
        <v>19.787153552256541</v>
      </c>
      <c r="AD175" s="136">
        <f t="shared" si="116"/>
        <v>175.6930398899726</v>
      </c>
      <c r="AE175" s="136"/>
      <c r="AF175" s="136" t="str">
        <f t="shared" si="117"/>
        <v>2.49149009004556-1.58908442697915j</v>
      </c>
      <c r="AG175" s="136">
        <f t="shared" si="118"/>
        <v>9.4114914679700874</v>
      </c>
      <c r="AH175" s="136">
        <f t="shared" si="119"/>
        <v>147.47007236598205</v>
      </c>
      <c r="AI175" s="136"/>
      <c r="AJ175" s="136" t="str">
        <f t="shared" si="91"/>
        <v>98227.4736055475-13195.1047599562j</v>
      </c>
      <c r="AK175" s="136" t="str">
        <f t="shared" si="92"/>
        <v>19047.6169401147-6.33584531602444j</v>
      </c>
      <c r="AL175" s="136" t="str">
        <f t="shared" si="93"/>
        <v>10000-1654274.66208097j</v>
      </c>
      <c r="AM175" s="136" t="str">
        <f t="shared" si="94"/>
        <v>963.122381067158-513399.599971475j</v>
      </c>
      <c r="AN175" s="136" t="str">
        <f t="shared" si="120"/>
        <v>10963.1223810672-513399.599971475j</v>
      </c>
      <c r="AO175" s="136" t="str">
        <f t="shared" si="121"/>
        <v>19005.9808894402-710.578077568434j</v>
      </c>
      <c r="AP175" s="136" t="str">
        <f t="shared" si="122"/>
        <v>0.160391927627058+0.0180009979186137j</v>
      </c>
      <c r="AQ175" s="136" t="str">
        <f t="shared" si="95"/>
        <v>1+0.214931391809078j</v>
      </c>
      <c r="AR175" s="136" t="str">
        <f t="shared" si="96"/>
        <v>1+0.000429004774070017j</v>
      </c>
      <c r="AS175" s="136" t="str">
        <f t="shared" si="97"/>
        <v>6.73003920602177E-07j</v>
      </c>
      <c r="AT175" s="136" t="str">
        <f t="shared" si="123"/>
        <v>-2.88721894906173E-10+6.73003920602177E-07j</v>
      </c>
      <c r="AU175" s="179" t="str">
        <f t="shared" si="124"/>
        <v>318723.771125991-1486012.17900233j</v>
      </c>
      <c r="AV175" s="136" t="str">
        <f t="shared" si="98"/>
        <v>7999.05202447936-87.079880038833j</v>
      </c>
      <c r="AW175" s="136"/>
      <c r="AX175" s="136" t="str">
        <f t="shared" si="99"/>
        <v>0.49994075152996-0.00544249250242706j</v>
      </c>
      <c r="AY175" s="136"/>
      <c r="AZ175" s="136" t="str">
        <f t="shared" si="100"/>
        <v>4.89909327657456-14.5279757806891j</v>
      </c>
      <c r="BA175" s="136" t="str">
        <f t="shared" si="101"/>
        <v>2.37018797524422-7.28979040843321j</v>
      </c>
      <c r="BB175" s="136">
        <f t="shared" si="125"/>
        <v>17.690731782820951</v>
      </c>
      <c r="BC175" s="136">
        <f t="shared" si="126"/>
        <v>108.01131348283998</v>
      </c>
      <c r="BD175" s="136" t="str">
        <f t="shared" si="102"/>
        <v>17.7207157964748-72.6693012257385j</v>
      </c>
      <c r="BE175" s="136">
        <f t="shared" si="127"/>
        <v>37.477885335077488</v>
      </c>
      <c r="BF175" s="136">
        <f t="shared" si="128"/>
        <v>103.70435337281259</v>
      </c>
      <c r="BG175" s="136"/>
      <c r="BH175" s="136" t="str">
        <f t="shared" si="103"/>
        <v>-5.67879256211707-21.9288693615944j</v>
      </c>
      <c r="BI175" s="136">
        <f t="shared" si="129"/>
        <v>27.102223250791052</v>
      </c>
      <c r="BJ175" s="136">
        <f t="shared" si="130"/>
        <v>75.481385848822043</v>
      </c>
      <c r="BK175" s="136"/>
      <c r="BL175" s="136">
        <f t="shared" si="131"/>
        <v>-26.102223250791052</v>
      </c>
      <c r="BM175" s="136">
        <f t="shared" si="132"/>
        <v>-75.481385848822043</v>
      </c>
      <c r="BN175" s="136"/>
      <c r="BO175" s="189"/>
      <c r="BP175" s="189" t="str">
        <f t="shared" si="104"/>
        <v>0.00001+1.34332119880674E-06j</v>
      </c>
      <c r="BQ175" s="189" t="str">
        <f t="shared" si="105"/>
        <v>1.37986587605854E-07+6.42002950078258E-07j</v>
      </c>
      <c r="BR175" s="189" t="str">
        <f t="shared" si="106"/>
        <v>-0.003559670460078-0.0161629635299508j</v>
      </c>
      <c r="BS175" s="189" t="str">
        <f t="shared" si="107"/>
        <v>0.0000626379865876059+0.000001985324148885j</v>
      </c>
      <c r="BT175" s="189" t="str">
        <f t="shared" si="133"/>
        <v>-1.90881868721104E-07-1.01948259253149E-06j</v>
      </c>
      <c r="BU175" s="189" t="str">
        <f t="shared" si="134"/>
        <v>-1.37986587605854E-07-6.42002950078258E-07j</v>
      </c>
      <c r="BV175" s="189" t="str">
        <f t="shared" si="135"/>
        <v>-3.28868456326958E-07-1.66148554260975E-06j</v>
      </c>
      <c r="BW175" s="189" t="str">
        <f t="shared" si="108"/>
        <v>0.99999542913855-0.00213795242169642j</v>
      </c>
      <c r="BX175" s="189" t="str">
        <f t="shared" si="136"/>
        <v>-0.00001-1.34332119880674E-06j</v>
      </c>
      <c r="BY175" s="189" t="str">
        <f t="shared" si="137"/>
        <v>1.9123688337228-5.64188385726035j</v>
      </c>
      <c r="BZ175" s="136">
        <f t="shared" si="138"/>
        <v>15.500816225550071</v>
      </c>
      <c r="CA175" s="136">
        <f t="shared" si="139"/>
        <v>108.72456572669104</v>
      </c>
      <c r="CB175" s="189" t="str">
        <f t="shared" si="109"/>
        <v>14.4735821212259-56.2990566547845j</v>
      </c>
      <c r="CC175" s="136" t="str">
        <f t="shared" si="110"/>
        <v>-4.20078177866515-17.0956132518614j</v>
      </c>
      <c r="CD175" s="136">
        <f t="shared" si="140"/>
        <v>24.91230769352018</v>
      </c>
      <c r="CE175" s="136">
        <f t="shared" si="141"/>
        <v>76.194638092673088</v>
      </c>
      <c r="CF175" s="136"/>
      <c r="CG175" s="136">
        <f t="shared" si="142"/>
        <v>-23.91230769352018</v>
      </c>
      <c r="CH175" s="136">
        <f t="shared" si="143"/>
        <v>-76.194638092673088</v>
      </c>
      <c r="CI175" s="77"/>
      <c r="CJ175" s="189"/>
      <c r="CK175" s="189"/>
      <c r="CL175" s="189"/>
      <c r="CM175" s="77"/>
      <c r="CN175" s="189">
        <v>17378.0082874937</v>
      </c>
      <c r="CO175" s="189">
        <v>5.5076426319460099</v>
      </c>
      <c r="CP175" s="189">
        <v>89.535016334148196</v>
      </c>
      <c r="CQ175" s="74"/>
      <c r="CR175" s="75"/>
      <c r="CS175" s="75"/>
      <c r="CT175" s="75"/>
      <c r="CU175" s="74"/>
      <c r="CV175" s="75"/>
      <c r="CW175" s="75"/>
      <c r="CX175" s="75"/>
      <c r="CY175" s="74"/>
      <c r="CZ175" s="75"/>
      <c r="DA175" s="75"/>
      <c r="DB175" s="75"/>
      <c r="DC175" s="74"/>
      <c r="DD175" s="75"/>
      <c r="DE175" s="75"/>
      <c r="DF175" s="75"/>
      <c r="DG175" s="74"/>
      <c r="DH175" s="75"/>
      <c r="DI175" s="75"/>
      <c r="DJ175" s="75"/>
      <c r="DK175" s="74"/>
      <c r="DL175" s="75"/>
      <c r="DM175" s="75"/>
      <c r="DN175" s="75"/>
      <c r="DO175" s="76"/>
    </row>
    <row r="176" spans="1:119" x14ac:dyDescent="0.25">
      <c r="A176" s="136">
        <v>127</v>
      </c>
      <c r="B176" s="136">
        <f t="shared" si="72"/>
        <v>6456.5422903465615</v>
      </c>
      <c r="C176" s="136" t="str">
        <f t="shared" si="79"/>
        <v>40567.6516538892j</v>
      </c>
      <c r="D176" s="136">
        <f t="shared" si="73"/>
        <v>0.99895782654132415</v>
      </c>
      <c r="E176" s="136" t="str">
        <f t="shared" si="74"/>
        <v>-0.0507095645673615j</v>
      </c>
      <c r="F176" s="136" t="str">
        <f t="shared" si="80"/>
        <v>0.998957826541324-0.0507095645673615j</v>
      </c>
      <c r="G176" s="136">
        <f t="shared" si="81"/>
        <v>2.1197045782618672E-3</v>
      </c>
      <c r="H176" s="136">
        <f t="shared" si="82"/>
        <v>-2.9059808081101126</v>
      </c>
      <c r="I176" s="136"/>
      <c r="J176" s="136">
        <f t="shared" si="75"/>
        <v>7.0726915520628681</v>
      </c>
      <c r="K176" s="136" t="str">
        <f t="shared" si="76"/>
        <v>1+2.97763858629437j</v>
      </c>
      <c r="L176" s="136">
        <f t="shared" si="77"/>
        <v>0.51586750091014433</v>
      </c>
      <c r="M176" s="136" t="str">
        <f t="shared" si="78"/>
        <v>0.217916672574153j</v>
      </c>
      <c r="N176" s="136" t="str">
        <f t="shared" si="83"/>
        <v>0.515867500910144+0.217916672574153j</v>
      </c>
      <c r="O176" s="136" t="str">
        <f t="shared" si="84"/>
        <v>1.14974657516211+1.03041003936996j</v>
      </c>
      <c r="P176" s="136" t="str">
        <f t="shared" si="85"/>
        <v>8.13180288916227+7.28777238061268j</v>
      </c>
      <c r="Q176" s="136"/>
      <c r="R176" s="136">
        <f t="shared" si="86"/>
        <v>11.787819253438114</v>
      </c>
      <c r="S176" s="136" t="str">
        <f t="shared" si="87"/>
        <v>1+0.000950000434453191j</v>
      </c>
      <c r="T176" s="136" t="str">
        <f t="shared" si="88"/>
        <v>0.939051329422036+0.0773197531665387j</v>
      </c>
      <c r="U176" s="136" t="str">
        <f t="shared" si="111"/>
        <v>1.05781627145299-0.0860869795260242j</v>
      </c>
      <c r="V176" s="136" t="str">
        <f t="shared" si="112"/>
        <v>12.4693470112337-1.0147777547272j</v>
      </c>
      <c r="W176" s="136"/>
      <c r="X176" s="136" t="str">
        <f t="shared" si="89"/>
        <v>1.948461953423+1.68400356135828j</v>
      </c>
      <c r="Y176" s="136">
        <f t="shared" si="113"/>
        <v>8.216688757637078</v>
      </c>
      <c r="Z176" s="136">
        <f t="shared" si="114"/>
        <v>-139.16402113642545</v>
      </c>
      <c r="AA176" s="136"/>
      <c r="AB176" s="136" t="str">
        <f t="shared" si="90"/>
        <v>9.80249244813747-0.797744362097683j</v>
      </c>
      <c r="AC176" s="136">
        <f t="shared" si="115"/>
        <v>19.855398800308606</v>
      </c>
      <c r="AD176" s="136">
        <f t="shared" si="116"/>
        <v>175.34742027964771</v>
      </c>
      <c r="AE176" s="136"/>
      <c r="AF176" s="136" t="str">
        <f t="shared" si="117"/>
        <v>2.39033432388548-1.63579383168179j</v>
      </c>
      <c r="AG176" s="136">
        <f t="shared" si="118"/>
        <v>9.2373709506062109</v>
      </c>
      <c r="AH176" s="136">
        <f t="shared" si="119"/>
        <v>145.61472614843589</v>
      </c>
      <c r="AI176" s="136"/>
      <c r="AJ176" s="136" t="str">
        <f t="shared" si="91"/>
        <v>97970.1977875602-14101.7773426738j</v>
      </c>
      <c r="AK176" s="136" t="str">
        <f t="shared" si="92"/>
        <v>19047.6166278803-6.78898045983244j</v>
      </c>
      <c r="AL176" s="136" t="str">
        <f t="shared" si="93"/>
        <v>10000-1543858.94308655j</v>
      </c>
      <c r="AM176" s="136" t="str">
        <f t="shared" si="94"/>
        <v>963.119901169031-479132.939849703j</v>
      </c>
      <c r="AN176" s="136" t="str">
        <f t="shared" si="120"/>
        <v>10963.119901169-479132.939849703j</v>
      </c>
      <c r="AO176" s="136" t="str">
        <f t="shared" si="121"/>
        <v>18999.836440254-761.01100118978j</v>
      </c>
      <c r="AP176" s="136" t="str">
        <f t="shared" si="122"/>
        <v>0.160449961537948+0.019287062869162j</v>
      </c>
      <c r="AQ176" s="136" t="str">
        <f t="shared" si="95"/>
        <v>1+0.230303135625016j</v>
      </c>
      <c r="AR176" s="136" t="str">
        <f t="shared" si="96"/>
        <v>1+0.000459686897455122j</v>
      </c>
      <c r="AS176" s="136" t="str">
        <f t="shared" si="97"/>
        <v>7.21136693425831E-07j</v>
      </c>
      <c r="AT176" s="136" t="str">
        <f t="shared" si="123"/>
        <v>-3.31497089241966E-10+7.21136693425831E-07j</v>
      </c>
      <c r="AU176" s="179" t="str">
        <f t="shared" si="124"/>
        <v>318723.762435369-1386846.16261644j</v>
      </c>
      <c r="AV176" s="136" t="str">
        <f t="shared" si="98"/>
        <v>7998.9115975806-93.3061345001373j</v>
      </c>
      <c r="AW176" s="136"/>
      <c r="AX176" s="136" t="str">
        <f t="shared" si="99"/>
        <v>0.499931974848787-0.00583163340625858j</v>
      </c>
      <c r="AY176" s="136"/>
      <c r="AZ176" s="136" t="str">
        <f t="shared" si="100"/>
        <v>4.90008457814702-13.5125811825198j</v>
      </c>
      <c r="BA176" s="136" t="str">
        <f t="shared" si="101"/>
        <v>2.37090854025036-6.7839468928011j</v>
      </c>
      <c r="BB176" s="136">
        <f t="shared" si="125"/>
        <v>17.130126634492068</v>
      </c>
      <c r="BC176" s="136">
        <f t="shared" si="126"/>
        <v>109.26391185454054</v>
      </c>
      <c r="BD176" s="136" t="str">
        <f t="shared" si="102"/>
        <v>17.8289576745266-68.3909671062824j</v>
      </c>
      <c r="BE176" s="136">
        <f t="shared" si="127"/>
        <v>36.985525434800678</v>
      </c>
      <c r="BF176" s="136">
        <f t="shared" si="128"/>
        <v>104.61133213418823</v>
      </c>
      <c r="BG176" s="136"/>
      <c r="BH176" s="136" t="str">
        <f t="shared" si="103"/>
        <v>-5.4298744191472-20.0942186749019j</v>
      </c>
      <c r="BI176" s="136">
        <f t="shared" si="129"/>
        <v>26.367497585098263</v>
      </c>
      <c r="BJ176" s="136">
        <f t="shared" si="130"/>
        <v>74.878638002976501</v>
      </c>
      <c r="BK176" s="136"/>
      <c r="BL176" s="136">
        <f t="shared" si="131"/>
        <v>-25.367497585098263</v>
      </c>
      <c r="BM176" s="136">
        <f t="shared" si="132"/>
        <v>-74.878638002976501</v>
      </c>
      <c r="BN176" s="136"/>
      <c r="BO176" s="189"/>
      <c r="BP176" s="189" t="str">
        <f t="shared" si="104"/>
        <v>0.00001+1.43939459765635E-06j</v>
      </c>
      <c r="BQ176" s="189" t="str">
        <f t="shared" si="105"/>
        <v>1.57400115784364E-07+6.83447558615295E-07j</v>
      </c>
      <c r="BR176" s="189" t="str">
        <f t="shared" si="106"/>
        <v>-0.00401367202300443-0.0172225380611356j</v>
      </c>
      <c r="BS176" s="189" t="str">
        <f t="shared" si="107"/>
        <v>0.0000626574001157844+2.12284215627165E-06j</v>
      </c>
      <c r="BT176" s="189" t="str">
        <f t="shared" si="133"/>
        <v>-2.14925524044747E-07-1.08763985047778E-06j</v>
      </c>
      <c r="BU176" s="189" t="str">
        <f t="shared" si="134"/>
        <v>-1.57400115784364E-07-6.83447558615295E-07j</v>
      </c>
      <c r="BV176" s="189" t="str">
        <f t="shared" si="135"/>
        <v>-3.72325639829111E-07-1.77108740909308E-06j</v>
      </c>
      <c r="BW176" s="189" t="str">
        <f t="shared" si="108"/>
        <v>0.999994751952427-0.00229085574218335j</v>
      </c>
      <c r="BX176" s="189" t="str">
        <f t="shared" si="136"/>
        <v>-0.00001-1.43939459765635E-06j</v>
      </c>
      <c r="BY176" s="189" t="str">
        <f t="shared" si="137"/>
        <v>1.90303949987318-5.24801572060904j</v>
      </c>
      <c r="BZ176" s="136">
        <f t="shared" si="138"/>
        <v>14.936424418895069</v>
      </c>
      <c r="CA176" s="136">
        <f t="shared" si="139"/>
        <v>109.93169634377429</v>
      </c>
      <c r="CB176" s="189" t="str">
        <f t="shared" si="109"/>
        <v>14.4679553726983-52.9617735008499j</v>
      </c>
      <c r="CC176" s="136" t="str">
        <f t="shared" si="110"/>
        <v>-4.03577110808459-15.6574923846017j</v>
      </c>
      <c r="CD176" s="136">
        <f t="shared" si="140"/>
        <v>24.173795369501264</v>
      </c>
      <c r="CE176" s="136">
        <f t="shared" si="141"/>
        <v>75.546422492210255</v>
      </c>
      <c r="CF176" s="136"/>
      <c r="CG176" s="136">
        <f t="shared" si="142"/>
        <v>-23.173795369501264</v>
      </c>
      <c r="CH176" s="136">
        <f t="shared" si="143"/>
        <v>-75.546422492210255</v>
      </c>
      <c r="CI176" s="77"/>
      <c r="CJ176" s="189"/>
      <c r="CK176" s="189"/>
      <c r="CL176" s="189"/>
      <c r="CM176" s="77"/>
      <c r="CN176" s="189">
        <v>18197.008586099801</v>
      </c>
      <c r="CO176" s="189">
        <v>5.1146107921287403</v>
      </c>
      <c r="CP176" s="189">
        <v>90.647208384488806</v>
      </c>
      <c r="CQ176" s="74"/>
      <c r="CR176" s="75"/>
      <c r="CS176" s="75"/>
      <c r="CT176" s="75"/>
      <c r="CU176" s="74"/>
      <c r="CV176" s="75"/>
      <c r="CW176" s="75"/>
      <c r="CX176" s="75"/>
      <c r="CY176" s="74"/>
      <c r="CZ176" s="75"/>
      <c r="DA176" s="75"/>
      <c r="DB176" s="75"/>
      <c r="DC176" s="74"/>
      <c r="DD176" s="75"/>
      <c r="DE176" s="75"/>
      <c r="DF176" s="75"/>
      <c r="DG176" s="74"/>
      <c r="DH176" s="75"/>
      <c r="DI176" s="75"/>
      <c r="DJ176" s="75"/>
      <c r="DK176" s="74"/>
      <c r="DL176" s="75"/>
      <c r="DM176" s="75"/>
      <c r="DN176" s="75"/>
      <c r="DO176" s="76"/>
    </row>
    <row r="177" spans="1:119" x14ac:dyDescent="0.25">
      <c r="A177" s="136">
        <v>128</v>
      </c>
      <c r="B177" s="136">
        <f t="shared" ref="B177:B240" si="144">Fstart*10^(Step*A177)</f>
        <v>6918.3097091893687</v>
      </c>
      <c r="C177" s="136" t="str">
        <f t="shared" si="79"/>
        <v>43469.0219152965j</v>
      </c>
      <c r="D177" s="136">
        <f t="shared" ref="D177:D240" si="145">(IMPRODUCT(C177,C177))/Wn^2 + 1</f>
        <v>0.99880342476919337</v>
      </c>
      <c r="E177" s="136" t="str">
        <f t="shared" ref="E177:E240" si="146">IMDIV(C177,Wn*Qn)</f>
        <v>-0.0543362773941206j</v>
      </c>
      <c r="F177" s="136" t="str">
        <f t="shared" si="80"/>
        <v>0.998803424769193-0.0543362773941206j</v>
      </c>
      <c r="G177" s="136">
        <f t="shared" si="81"/>
        <v>2.4344604374508566E-3</v>
      </c>
      <c r="H177" s="136">
        <f t="shared" si="82"/>
        <v>-3.1138996060105515</v>
      </c>
      <c r="I177" s="136"/>
      <c r="J177" s="136">
        <f t="shared" ref="J177:J240" si="147">Vin/(Rout+DCR/1000)</f>
        <v>7.0726915520628681</v>
      </c>
      <c r="K177" s="136" t="str">
        <f t="shared" ref="K177:K240" si="148">IMSUM(1,IMPRODUCT(C177,ncap*(cap*10^-6)*(Rout+(esr/(ncap*1000)))))</f>
        <v>1+3.19059722923482j</v>
      </c>
      <c r="L177" s="136">
        <f t="shared" ref="L177:L240" si="149">(IMPRODUCT(C177,C177))/Gdo^2 + 1</f>
        <v>0.44414151788564771</v>
      </c>
      <c r="M177" s="136" t="str">
        <f t="shared" ref="M177:M240" si="150">IMDIV(C177,Q*Gdo)</f>
        <v>0.233501921596347j</v>
      </c>
      <c r="N177" s="136" t="str">
        <f t="shared" si="83"/>
        <v>0.444141517885648+0.233501921596347j</v>
      </c>
      <c r="O177" s="136" t="str">
        <f t="shared" si="84"/>
        <v>1.17436103117686+1.11263147680925j</v>
      </c>
      <c r="P177" s="136" t="str">
        <f t="shared" si="85"/>
        <v>8.30589334427642+7.86929924658802j</v>
      </c>
      <c r="Q177" s="136"/>
      <c r="R177" s="136">
        <f t="shared" si="86"/>
        <v>11.787819253438114</v>
      </c>
      <c r="S177" s="136" t="str">
        <f t="shared" si="87"/>
        <v>1+0.0010179438055007j</v>
      </c>
      <c r="T177" s="136" t="str">
        <f t="shared" si="88"/>
        <v>0.930021563150491+0.0828496081941524j</v>
      </c>
      <c r="U177" s="136" t="str">
        <f t="shared" si="111"/>
        <v>1.06687480537502-0.0939464408933219j</v>
      </c>
      <c r="V177" s="136" t="str">
        <f t="shared" si="112"/>
        <v>12.5761273718077-1.10742366475429j</v>
      </c>
      <c r="W177" s="136"/>
      <c r="X177" s="136" t="str">
        <f t="shared" si="89"/>
        <v>1.99433141483086+1.81783633889816j</v>
      </c>
      <c r="Y177" s="136">
        <f t="shared" si="113"/>
        <v>8.6224392021058485</v>
      </c>
      <c r="Z177" s="136">
        <f t="shared" si="114"/>
        <v>-137.65077709035313</v>
      </c>
      <c r="AA177" s="136"/>
      <c r="AB177" s="136" t="str">
        <f t="shared" si="90"/>
        <v>9.88643539055403-0.870575828939789j</v>
      </c>
      <c r="AC177" s="136">
        <f t="shared" si="115"/>
        <v>19.934340568396191</v>
      </c>
      <c r="AD177" s="136">
        <f t="shared" si="116"/>
        <v>174.96765123700513</v>
      </c>
      <c r="AE177" s="136"/>
      <c r="AF177" s="136" t="str">
        <f t="shared" si="117"/>
        <v>2.28357332469089-1.67708169383951j</v>
      </c>
      <c r="AG177" s="136">
        <f t="shared" si="118"/>
        <v>9.0457004237232752</v>
      </c>
      <c r="AH177" s="136">
        <f t="shared" si="119"/>
        <v>143.70602501407063</v>
      </c>
      <c r="AI177" s="136"/>
      <c r="AJ177" s="136" t="str">
        <f t="shared" si="91"/>
        <v>97676.4626396349-15065.0227404905j</v>
      </c>
      <c r="AK177" s="136" t="str">
        <f t="shared" si="92"/>
        <v>19047.6162693873-7.27452348867833j</v>
      </c>
      <c r="AL177" s="136" t="str">
        <f t="shared" si="93"/>
        <v>10000-1440812.99845942j</v>
      </c>
      <c r="AM177" s="136" t="str">
        <f t="shared" si="94"/>
        <v>963.117053880769-447153.471617685j</v>
      </c>
      <c r="AN177" s="136" t="str">
        <f t="shared" si="120"/>
        <v>10963.1170538808-447153.471617685j</v>
      </c>
      <c r="AO177" s="136" t="str">
        <f t="shared" si="121"/>
        <v>18992.7893972227-814.96223110698j</v>
      </c>
      <c r="AP177" s="136" t="str">
        <f t="shared" si="122"/>
        <v>0.160516583336595+0.020664794778452j</v>
      </c>
      <c r="AQ177" s="136" t="str">
        <f t="shared" si="95"/>
        <v>1+0.246774255878958j</v>
      </c>
      <c r="AR177" s="136" t="str">
        <f t="shared" si="96"/>
        <v>1+0.000492563384987941j</v>
      </c>
      <c r="AS177" s="136" t="str">
        <f t="shared" si="97"/>
        <v>7.72711888720989E-07j</v>
      </c>
      <c r="AT177" s="136" t="str">
        <f t="shared" si="123"/>
        <v>-3.80609583528836E-10+7.72711888720989E-07j</v>
      </c>
      <c r="AU177" s="179" t="str">
        <f t="shared" si="124"/>
        <v>318723.752457199-1294300.40344029j</v>
      </c>
      <c r="AV177" s="136" t="str">
        <f t="shared" si="98"/>
        <v>7998.75037200846-99.9773092368558j</v>
      </c>
      <c r="AW177" s="136"/>
      <c r="AX177" s="136" t="str">
        <f t="shared" si="99"/>
        <v>0.499921898250529-0.00624858182730349j</v>
      </c>
      <c r="AY177" s="136"/>
      <c r="AZ177" s="136" t="str">
        <f t="shared" si="100"/>
        <v>4.90122261107913-12.5616963847692j</v>
      </c>
      <c r="BA177" s="136" t="str">
        <f t="shared" si="101"/>
        <v>2.37173572372912-6.31049279245978j</v>
      </c>
      <c r="BB177" s="136">
        <f t="shared" si="125"/>
        <v>16.575095169520104</v>
      </c>
      <c r="BC177" s="136">
        <f t="shared" si="126"/>
        <v>110.5982292680506</v>
      </c>
      <c r="BD177" s="136" t="str">
        <f t="shared" si="102"/>
        <v>17.9542495023026-64.4530550689221j</v>
      </c>
      <c r="BE177" s="136">
        <f t="shared" si="127"/>
        <v>36.509435737916299</v>
      </c>
      <c r="BF177" s="136">
        <f t="shared" si="128"/>
        <v>105.56588050505572</v>
      </c>
      <c r="BG177" s="136"/>
      <c r="BH177" s="136" t="str">
        <f t="shared" si="103"/>
        <v>-5.16717950941618-18.3880675714066j</v>
      </c>
      <c r="BI177" s="136">
        <f t="shared" si="129"/>
        <v>25.620795593243383</v>
      </c>
      <c r="BJ177" s="136">
        <f t="shared" si="130"/>
        <v>74.304254282121349</v>
      </c>
      <c r="BK177" s="136"/>
      <c r="BL177" s="136">
        <f t="shared" si="131"/>
        <v>-24.620795593243383</v>
      </c>
      <c r="BM177" s="136">
        <f t="shared" si="132"/>
        <v>-74.304254282121349</v>
      </c>
      <c r="BN177" s="136"/>
      <c r="BO177" s="189"/>
      <c r="BP177" s="189" t="str">
        <f t="shared" si="104"/>
        <v>0.00001+1.54233909924349E-06j</v>
      </c>
      <c r="BQ177" s="189" t="str">
        <f t="shared" si="105"/>
        <v>1.79380935273617E-07+7.26902952800727E-07j</v>
      </c>
      <c r="BR177" s="189" t="str">
        <f t="shared" si="106"/>
        <v>-0.00452874308228143-0.0183371059182384j</v>
      </c>
      <c r="BS177" s="189" t="str">
        <f t="shared" si="107"/>
        <v>0.0000626793809352736+2.26924205204422E-06j</v>
      </c>
      <c r="BT177" s="189" t="str">
        <f t="shared" si="133"/>
        <v>-2.42247480949847E-07-1.15963526134494E-06j</v>
      </c>
      <c r="BU177" s="189" t="str">
        <f t="shared" si="134"/>
        <v>-1.79380935273617E-07-7.26902952800727E-07j</v>
      </c>
      <c r="BV177" s="189" t="str">
        <f t="shared" si="135"/>
        <v>-4.21628416223464E-07-1.88653821414567E-06j</v>
      </c>
      <c r="BW177" s="189" t="str">
        <f t="shared" si="108"/>
        <v>0.999993974439858-0.00245469424469673j</v>
      </c>
      <c r="BX177" s="189" t="str">
        <f t="shared" si="136"/>
        <v>-0.00001-1.54233909924349E-06j</v>
      </c>
      <c r="BY177" s="189" t="str">
        <f t="shared" si="137"/>
        <v>1.8949946940657-4.87917076615726j</v>
      </c>
      <c r="BZ177" s="136">
        <f t="shared" si="138"/>
        <v>14.377079595465661</v>
      </c>
      <c r="CA177" s="136">
        <f t="shared" si="139"/>
        <v>111.22540234327049</v>
      </c>
      <c r="CB177" s="189" t="str">
        <f t="shared" si="109"/>
        <v>14.4870544740371-49.8873431157165j</v>
      </c>
      <c r="CC177" s="136" t="str">
        <f t="shared" si="110"/>
        <v>-3.85540863924-14.3200051195489j</v>
      </c>
      <c r="CD177" s="136">
        <f t="shared" si="140"/>
        <v>23.422780019188924</v>
      </c>
      <c r="CE177" s="136">
        <f t="shared" si="141"/>
        <v>74.931427357341221</v>
      </c>
      <c r="CF177" s="136"/>
      <c r="CG177" s="136">
        <f t="shared" si="142"/>
        <v>-22.422780019188924</v>
      </c>
      <c r="CH177" s="136">
        <f t="shared" si="143"/>
        <v>-74.931427357341221</v>
      </c>
      <c r="CI177" s="77"/>
      <c r="CJ177" s="189"/>
      <c r="CK177" s="189"/>
      <c r="CL177" s="189"/>
      <c r="CM177" s="77"/>
      <c r="CN177" s="189">
        <v>19054.607179632399</v>
      </c>
      <c r="CO177" s="189">
        <v>4.7325013050023399</v>
      </c>
      <c r="CP177" s="189">
        <v>91.759117363613896</v>
      </c>
      <c r="CQ177" s="74"/>
      <c r="CR177" s="75"/>
      <c r="CS177" s="75"/>
      <c r="CT177" s="75"/>
      <c r="CU177" s="74"/>
      <c r="CV177" s="75"/>
      <c r="CW177" s="75"/>
      <c r="CX177" s="75"/>
      <c r="CY177" s="74"/>
      <c r="CZ177" s="75"/>
      <c r="DA177" s="75"/>
      <c r="DB177" s="75"/>
      <c r="DC177" s="74"/>
      <c r="DD177" s="75"/>
      <c r="DE177" s="75"/>
      <c r="DF177" s="75"/>
      <c r="DG177" s="74"/>
      <c r="DH177" s="75"/>
      <c r="DI177" s="75"/>
      <c r="DJ177" s="75"/>
      <c r="DK177" s="74"/>
      <c r="DL177" s="75"/>
      <c r="DM177" s="75"/>
      <c r="DN177" s="75"/>
      <c r="DO177" s="76"/>
    </row>
    <row r="178" spans="1:119" x14ac:dyDescent="0.25">
      <c r="A178" s="136">
        <v>129</v>
      </c>
      <c r="B178" s="136">
        <f t="shared" si="144"/>
        <v>7413.1024130091773</v>
      </c>
      <c r="C178" s="136" t="str">
        <f t="shared" ref="C178:C241" si="151">COMPLEX(0,2*PI()*B178,"j")</f>
        <v>46577.8961620368j</v>
      </c>
      <c r="D178" s="136">
        <f t="shared" si="145"/>
        <v>0.99862614781535597</v>
      </c>
      <c r="E178" s="136" t="str">
        <f t="shared" si="146"/>
        <v>-0.058222370202546j</v>
      </c>
      <c r="F178" s="136" t="str">
        <f t="shared" ref="F178:F241" si="152">IMSUM(D178,E178)</f>
        <v>0.998626147815356-0.058222370202546j</v>
      </c>
      <c r="G178" s="136">
        <f t="shared" ref="G178:G241" si="153">20*LOG(IMABS(F178),10)</f>
        <v>2.7960755838774653E-3</v>
      </c>
      <c r="H178" s="136">
        <f t="shared" ref="H178:H241" si="154">(IMARGUMENT(F178)*(180/PI()))</f>
        <v>-3.3367081517353694</v>
      </c>
      <c r="I178" s="136"/>
      <c r="J178" s="136">
        <f t="shared" si="147"/>
        <v>7.0726915520628681</v>
      </c>
      <c r="K178" s="136" t="str">
        <f t="shared" si="148"/>
        <v>1+3.41878652636273j</v>
      </c>
      <c r="L178" s="136">
        <f t="shared" si="149"/>
        <v>0.36178907072064748</v>
      </c>
      <c r="M178" s="136" t="str">
        <f t="shared" si="150"/>
        <v>0.250201816800564j</v>
      </c>
      <c r="N178" s="136" t="str">
        <f t="shared" ref="N178:N241" si="155">IMSUM(L178,M178)</f>
        <v>0.361789070720647+0.250201816800564j</v>
      </c>
      <c r="O178" s="136" t="str">
        <f t="shared" si="84"/>
        <v>1.20347617880443+1.20283572534661j</v>
      </c>
      <c r="P178" s="136" t="str">
        <f t="shared" si="85"/>
        <v>8.51181580293899+8.50728607317838j</v>
      </c>
      <c r="Q178" s="136"/>
      <c r="R178" s="136">
        <f t="shared" si="86"/>
        <v>11.787819253438114</v>
      </c>
      <c r="S178" s="136" t="str">
        <f t="shared" si="87"/>
        <v>1+0.00109074643924104j</v>
      </c>
      <c r="T178" s="136" t="str">
        <f t="shared" si="88"/>
        <v>0.919654004304545+0.0887749546114061j</v>
      </c>
      <c r="U178" s="136" t="str">
        <f t="shared" si="111"/>
        <v>1.07744014821613-0.10282014037079j</v>
      </c>
      <c r="V178" s="136" t="str">
        <f t="shared" si="112"/>
        <v>12.7006697235693-1.21202523030401j</v>
      </c>
      <c r="W178" s="136"/>
      <c r="X178" s="136" t="str">
        <f t="shared" si="89"/>
        <v>2.04851087646358+1.96452635116025j</v>
      </c>
      <c r="Y178" s="136">
        <f t="shared" si="113"/>
        <v>9.0610655118448076</v>
      </c>
      <c r="Z178" s="136">
        <f t="shared" si="114"/>
        <v>-136.19890652526988</v>
      </c>
      <c r="AA178" s="136"/>
      <c r="AB178" s="136" t="str">
        <f t="shared" si="90"/>
        <v>9.98434151679436-0.95280596139506j</v>
      </c>
      <c r="AC178" s="136">
        <f t="shared" si="115"/>
        <v>20.025760268123154</v>
      </c>
      <c r="AD178" s="136">
        <f t="shared" si="116"/>
        <v>174.54877024377342</v>
      </c>
      <c r="AE178" s="136"/>
      <c r="AF178" s="136" t="str">
        <f t="shared" si="117"/>
        <v>2.17182650279471-1.71211997194455j</v>
      </c>
      <c r="AG178" s="136">
        <f t="shared" si="118"/>
        <v>8.8355839332459851</v>
      </c>
      <c r="AH178" s="136">
        <f t="shared" si="119"/>
        <v>141.75016253445997</v>
      </c>
      <c r="AI178" s="136"/>
      <c r="AJ178" s="136" t="str">
        <f t="shared" si="91"/>
        <v>97341.3742309792-16087.0844444348j</v>
      </c>
      <c r="AK178" s="136" t="str">
        <f t="shared" si="92"/>
        <v>19047.6158577823-7.7947921860835j</v>
      </c>
      <c r="AL178" s="136" t="str">
        <f t="shared" si="93"/>
        <v>10000-1344644.92745647j</v>
      </c>
      <c r="AM178" s="136" t="str">
        <f t="shared" si="94"/>
        <v>963.11378477719-417308.537892123j</v>
      </c>
      <c r="AN178" s="136" t="str">
        <f t="shared" si="120"/>
        <v>10963.1137847772-417308.537892123j</v>
      </c>
      <c r="AO178" s="136" t="str">
        <f t="shared" si="121"/>
        <v>18984.7084794617-872.663201390151j</v>
      </c>
      <c r="AP178" s="136" t="str">
        <f t="shared" si="122"/>
        <v>0.160593062155583+0.0221406779754851j</v>
      </c>
      <c r="AQ178" s="136" t="str">
        <f t="shared" si="95"/>
        <v>1+0.264423379209949j</v>
      </c>
      <c r="AR178" s="136" t="str">
        <f t="shared" si="96"/>
        <v>1+0.000527791176067762j</v>
      </c>
      <c r="AS178" s="136" t="str">
        <f t="shared" si="97"/>
        <v>8.27975706151152E-07j</v>
      </c>
      <c r="AT178" s="136" t="str">
        <f t="shared" si="123"/>
        <v>-4.36998271705052E-10+8.27975706151152E-07j</v>
      </c>
      <c r="AU178" s="179" t="str">
        <f t="shared" si="124"/>
        <v>318723.74100073-1207933.12447912j</v>
      </c>
      <c r="AV178" s="136" t="str">
        <f t="shared" si="98"/>
        <v>7998.56526829871-107.125137830843j</v>
      </c>
      <c r="AW178" s="136"/>
      <c r="AX178" s="136" t="str">
        <f t="shared" si="99"/>
        <v>0.499910329268669-0.00669532111442769j</v>
      </c>
      <c r="AY178" s="136"/>
      <c r="AZ178" s="136" t="str">
        <f t="shared" si="100"/>
        <v>4.90252907168069-11.6707836323565j</v>
      </c>
      <c r="BA178" s="136" t="str">
        <f t="shared" si="101"/>
        <v>2.37268527839748-5.86716929488245j</v>
      </c>
      <c r="BB178" s="136">
        <f t="shared" si="125"/>
        <v>16.026384224041227</v>
      </c>
      <c r="BC178" s="136">
        <f t="shared" si="126"/>
        <v>112.01842494322862</v>
      </c>
      <c r="BD178" s="136" t="str">
        <f t="shared" si="102"/>
        <v>18.0994262507127-60.8405306547274j</v>
      </c>
      <c r="BE178" s="136">
        <f t="shared" si="127"/>
        <v>36.052144492164388</v>
      </c>
      <c r="BF178" s="136">
        <f t="shared" si="128"/>
        <v>106.56719518700203</v>
      </c>
      <c r="BG178" s="136"/>
      <c r="BH178" s="136" t="str">
        <f t="shared" si="103"/>
        <v>-4.89223695813358-16.8047956232922j</v>
      </c>
      <c r="BI178" s="136">
        <f t="shared" si="129"/>
        <v>24.861968157287219</v>
      </c>
      <c r="BJ178" s="136">
        <f t="shared" si="130"/>
        <v>73.768587477688584</v>
      </c>
      <c r="BK178" s="136"/>
      <c r="BL178" s="136">
        <f t="shared" si="131"/>
        <v>-23.861968157287219</v>
      </c>
      <c r="BM178" s="136">
        <f t="shared" si="132"/>
        <v>-73.768587477688584</v>
      </c>
      <c r="BN178" s="136"/>
      <c r="BO178" s="189"/>
      <c r="BP178" s="189" t="str">
        <f t="shared" si="104"/>
        <v>0.00001+1.65264612006218E-06j</v>
      </c>
      <c r="BQ178" s="189" t="str">
        <f t="shared" si="105"/>
        <v>2.0422012143426E-07+7.72322485418777E-07j</v>
      </c>
      <c r="BR178" s="189" t="str">
        <f t="shared" si="106"/>
        <v>-0.00511211586401916-0.0195063569508467j</v>
      </c>
      <c r="BS178" s="189" t="str">
        <f t="shared" si="107"/>
        <v>0.0000627042201214343+2.42496860548096E-06j</v>
      </c>
      <c r="BT178" s="189" t="str">
        <f t="shared" si="133"/>
        <v>-2.73248935210625E-07-1.23552762049099E-06j</v>
      </c>
      <c r="BU178" s="189" t="str">
        <f t="shared" si="134"/>
        <v>-2.0422012143426E-07-7.72322485418777E-07j</v>
      </c>
      <c r="BV178" s="189" t="str">
        <f t="shared" si="135"/>
        <v>-4.77469056644885E-07-2.00785010590977E-06j</v>
      </c>
      <c r="BW178" s="189" t="str">
        <f t="shared" si="108"/>
        <v>0.999993081737477-0.00263024992360159j</v>
      </c>
      <c r="BX178" s="189" t="str">
        <f t="shared" si="136"/>
        <v>-0.00001-1.65264612006218E-06j</v>
      </c>
      <c r="BY178" s="189" t="str">
        <f t="shared" si="137"/>
        <v>1.88808074529893-4.53359418145112j</v>
      </c>
      <c r="BZ178" s="136">
        <f t="shared" si="138"/>
        <v>13.823471449339548</v>
      </c>
      <c r="CA178" s="136">
        <f t="shared" si="139"/>
        <v>112.60999133923821</v>
      </c>
      <c r="CB178" s="189" t="str">
        <f t="shared" si="109"/>
        <v>14.5316074097156-47.0639271958758j</v>
      </c>
      <c r="CC178" s="136" t="str">
        <f t="shared" si="110"/>
        <v>-3.66147334069745-13.0788007488617j</v>
      </c>
      <c r="CD178" s="136">
        <f t="shared" si="140"/>
        <v>22.659055382585546</v>
      </c>
      <c r="CE178" s="136">
        <f t="shared" si="141"/>
        <v>74.360153873698252</v>
      </c>
      <c r="CF178" s="136"/>
      <c r="CG178" s="136">
        <f t="shared" si="142"/>
        <v>-21.659055382585546</v>
      </c>
      <c r="CH178" s="136">
        <f t="shared" si="143"/>
        <v>-74.360153873698252</v>
      </c>
      <c r="CI178" s="77"/>
      <c r="CJ178" s="189"/>
      <c r="CK178" s="189"/>
      <c r="CL178" s="189"/>
      <c r="CM178" s="77"/>
      <c r="CN178" s="189">
        <v>19952.623149688701</v>
      </c>
      <c r="CO178" s="189">
        <v>4.3614146056804799</v>
      </c>
      <c r="CP178" s="189">
        <v>92.866932939387198</v>
      </c>
      <c r="CQ178" s="74"/>
      <c r="CR178" s="75"/>
      <c r="CS178" s="75"/>
      <c r="CT178" s="75"/>
      <c r="CU178" s="74"/>
      <c r="CV178" s="75"/>
      <c r="CW178" s="75"/>
      <c r="CX178" s="75"/>
      <c r="CY178" s="74"/>
      <c r="CZ178" s="75"/>
      <c r="DA178" s="75"/>
      <c r="DB178" s="75"/>
      <c r="DC178" s="74"/>
      <c r="DD178" s="75"/>
      <c r="DE178" s="75"/>
      <c r="DF178" s="75"/>
      <c r="DG178" s="74"/>
      <c r="DH178" s="75"/>
      <c r="DI178" s="75"/>
      <c r="DJ178" s="75"/>
      <c r="DK178" s="74"/>
      <c r="DL178" s="75"/>
      <c r="DM178" s="75"/>
      <c r="DN178" s="75"/>
      <c r="DO178" s="76"/>
    </row>
    <row r="179" spans="1:119" x14ac:dyDescent="0.25">
      <c r="A179" s="136">
        <v>130</v>
      </c>
      <c r="B179" s="136">
        <f t="shared" si="144"/>
        <v>7943.2823472428154</v>
      </c>
      <c r="C179" s="136" t="str">
        <f t="shared" si="151"/>
        <v>49909.114934975j</v>
      </c>
      <c r="D179" s="136">
        <f t="shared" si="145"/>
        <v>0.99842260663879956</v>
      </c>
      <c r="E179" s="136" t="str">
        <f t="shared" si="146"/>
        <v>-0.0623863936687187j</v>
      </c>
      <c r="F179" s="136" t="str">
        <f t="shared" si="152"/>
        <v>0.9984226066388-0.0623863936687187j</v>
      </c>
      <c r="G179" s="136">
        <f t="shared" si="153"/>
        <v>3.2115645778321676E-3</v>
      </c>
      <c r="H179" s="136">
        <f t="shared" si="154"/>
        <v>-3.5754758289130582</v>
      </c>
      <c r="I179" s="136"/>
      <c r="J179" s="136">
        <f t="shared" si="147"/>
        <v>7.0726915520628681</v>
      </c>
      <c r="K179" s="136" t="str">
        <f t="shared" si="148"/>
        <v>1+3.66329576348388j</v>
      </c>
      <c r="L179" s="136">
        <f t="shared" si="149"/>
        <v>0.26723581026902254</v>
      </c>
      <c r="M179" s="136" t="str">
        <f t="shared" si="150"/>
        <v>0.268096076907327j</v>
      </c>
      <c r="N179" s="136" t="str">
        <f t="shared" si="155"/>
        <v>0.267235810269023+0.268096076907327j</v>
      </c>
      <c r="O179" s="136" t="str">
        <f t="shared" si="84"/>
        <v>1.23807658833881+1.30213704298929j</v>
      </c>
      <c r="P179" s="136" t="str">
        <f t="shared" si="85"/>
        <v>8.75653382715072+9.20961366357847j</v>
      </c>
      <c r="Q179" s="136"/>
      <c r="R179" s="136">
        <f t="shared" si="86"/>
        <v>11.787819253438114</v>
      </c>
      <c r="S179" s="136" t="str">
        <f t="shared" si="87"/>
        <v>1+0.00116875586676595j</v>
      </c>
      <c r="T179" s="136" t="str">
        <f t="shared" si="88"/>
        <v>0.907750454069491+0.0951240776877137j</v>
      </c>
      <c r="U179" s="136" t="str">
        <f t="shared" si="111"/>
        <v>1.08979209280674-0.112912873106635j</v>
      </c>
      <c r="V179" s="136" t="str">
        <f t="shared" si="112"/>
        <v>12.8462722138319-1.33099653956741j</v>
      </c>
      <c r="W179" s="136"/>
      <c r="X179" s="136" t="str">
        <f t="shared" si="89"/>
        <v>2.11279252893434+2.12583430931518j</v>
      </c>
      <c r="Y179" s="136">
        <f t="shared" si="113"/>
        <v>9.5342448324224325</v>
      </c>
      <c r="Z179" s="136">
        <f t="shared" si="114"/>
        <v>-134.82370785549415</v>
      </c>
      <c r="AA179" s="136"/>
      <c r="AB179" s="136" t="str">
        <f t="shared" si="90"/>
        <v>10.0988035900644-1.04633253977554j</v>
      </c>
      <c r="AC179" s="136">
        <f t="shared" si="115"/>
        <v>20.13177130465283</v>
      </c>
      <c r="AD179" s="136">
        <f t="shared" si="116"/>
        <v>174.0847163000293</v>
      </c>
      <c r="AE179" s="136"/>
      <c r="AF179" s="136" t="str">
        <f t="shared" si="117"/>
        <v>2.05587111664322-1.74016541247619j</v>
      </c>
      <c r="AG179" s="136">
        <f t="shared" si="118"/>
        <v>8.6062434949284743</v>
      </c>
      <c r="AH179" s="136">
        <f t="shared" si="119"/>
        <v>139.75418809286811</v>
      </c>
      <c r="AI179" s="136"/>
      <c r="AJ179" s="136" t="str">
        <f t="shared" si="91"/>
        <v>96959.465405871-17169.9915199397j</v>
      </c>
      <c r="AK179" s="136" t="str">
        <f t="shared" si="92"/>
        <v>19047.6153851965-8.35227010047754j</v>
      </c>
      <c r="AL179" s="136" t="str">
        <f t="shared" si="93"/>
        <v>10000-1254895.66159361j</v>
      </c>
      <c r="AM179" s="136" t="str">
        <f t="shared" si="94"/>
        <v>963.110031371447-389455.670716353j</v>
      </c>
      <c r="AN179" s="136" t="str">
        <f t="shared" si="120"/>
        <v>10963.1100313714-389455.670716353j</v>
      </c>
      <c r="AO179" s="136" t="str">
        <f t="shared" si="121"/>
        <v>18975.4437242478-934.35733582362j</v>
      </c>
      <c r="AP179" s="136" t="str">
        <f t="shared" si="122"/>
        <v>0.1606808541392+0.0237216440928827j</v>
      </c>
      <c r="AQ179" s="136" t="str">
        <f t="shared" si="95"/>
        <v>1+0.283334755579624j</v>
      </c>
      <c r="AR179" s="136" t="str">
        <f t="shared" si="96"/>
        <v>1+0.000565538434290667j</v>
      </c>
      <c r="AS179" s="136" t="str">
        <f t="shared" si="97"/>
        <v>8.87191953408698E-07j</v>
      </c>
      <c r="AT179" s="136" t="str">
        <f t="shared" si="123"/>
        <v>-5.01741148246033E-10+8.87191953408698E-07j</v>
      </c>
      <c r="AU179" s="179" t="str">
        <f t="shared" si="124"/>
        <v>318723.727846943-1127332.04236856j</v>
      </c>
      <c r="AV179" s="136" t="str">
        <f t="shared" si="98"/>
        <v>7998.35275136883-114.783603451636j</v>
      </c>
      <c r="AW179" s="136"/>
      <c r="AX179" s="136" t="str">
        <f t="shared" si="99"/>
        <v>0.499897046960552-0.00717397521572725j</v>
      </c>
      <c r="AY179" s="136"/>
      <c r="AZ179" s="136" t="str">
        <f t="shared" si="100"/>
        <v>4.90402885714822-10.8355917736084j</v>
      </c>
      <c r="BA179" s="136" t="str">
        <f t="shared" si="101"/>
        <v>2.37377527706612-5.45186171117528j</v>
      </c>
      <c r="BB179" s="136">
        <f t="shared" si="125"/>
        <v>15.484828420116576</v>
      </c>
      <c r="BC179" s="136">
        <f t="shared" si="126"/>
        <v>113.52861549447631</v>
      </c>
      <c r="BD179" s="136" t="str">
        <f t="shared" si="102"/>
        <v>18.2678299792824-57.5410389358604j</v>
      </c>
      <c r="BE179" s="136">
        <f t="shared" si="127"/>
        <v>35.616599724769387</v>
      </c>
      <c r="BF179" s="136">
        <f t="shared" si="128"/>
        <v>107.61333179450564</v>
      </c>
      <c r="BG179" s="136"/>
      <c r="BH179" s="136" t="str">
        <f t="shared" si="103"/>
        <v>-4.60696515386843-15.3390866580799j</v>
      </c>
      <c r="BI179" s="136">
        <f t="shared" si="129"/>
        <v>24.091071915045053</v>
      </c>
      <c r="BJ179" s="136">
        <f t="shared" si="130"/>
        <v>73.282803587344631</v>
      </c>
      <c r="BK179" s="136"/>
      <c r="BL179" s="136">
        <f t="shared" si="131"/>
        <v>-23.091071915045053</v>
      </c>
      <c r="BM179" s="136">
        <f t="shared" si="132"/>
        <v>-73.282803587344631</v>
      </c>
      <c r="BN179" s="136"/>
      <c r="BO179" s="189"/>
      <c r="BP179" s="189" t="str">
        <f t="shared" si="104"/>
        <v>0.00001+1.77084222237265E-06j</v>
      </c>
      <c r="BQ179" s="189" t="str">
        <f t="shared" si="105"/>
        <v>2.32227665996374E-07+8.19622942202416E-07j</v>
      </c>
      <c r="BR179" s="189" t="str">
        <f t="shared" si="106"/>
        <v>-0.00577158970796561-0.0207291839888949j</v>
      </c>
      <c r="BS179" s="189" t="str">
        <f t="shared" si="107"/>
        <v>0.0000627322276659964+2.59046516457507E-06j</v>
      </c>
      <c r="BT179" s="189" t="str">
        <f t="shared" si="133"/>
        <v>-3.08366450541521E-07-1.31533899140439E-06j</v>
      </c>
      <c r="BU179" s="189" t="str">
        <f t="shared" si="134"/>
        <v>-2.32227665996374E-07-8.19622942202416E-07j</v>
      </c>
      <c r="BV179" s="189" t="str">
        <f t="shared" si="135"/>
        <v>-5.40594116537895E-07-2.13496193360681E-06j</v>
      </c>
      <c r="BW179" s="189" t="str">
        <f t="shared" si="108"/>
        <v>0.999992056779971-0.00281836068201596j</v>
      </c>
      <c r="BX179" s="189" t="str">
        <f t="shared" si="136"/>
        <v>-0.00001-1.77084222237265E-06j</v>
      </c>
      <c r="BY179" s="189" t="str">
        <f t="shared" si="137"/>
        <v>1.88216556690892-4.20964124305896j</v>
      </c>
      <c r="BZ179" s="136">
        <f t="shared" si="138"/>
        <v>13.276373375730515</v>
      </c>
      <c r="CA179" s="136">
        <f t="shared" si="139"/>
        <v>114.08981517260597</v>
      </c>
      <c r="CB179" s="189" t="str">
        <f t="shared" si="109"/>
        <v>14.6029357708016-44.4817111761888j</v>
      </c>
      <c r="CC179" s="136" t="str">
        <f t="shared" si="110"/>
        <v>-3.45598226435599-11.9297592631235j</v>
      </c>
      <c r="CD179" s="136">
        <f t="shared" si="140"/>
        <v>21.882616870658968</v>
      </c>
      <c r="CE179" s="136">
        <f t="shared" si="141"/>
        <v>73.844003265474186</v>
      </c>
      <c r="CF179" s="136"/>
      <c r="CG179" s="136">
        <f t="shared" si="142"/>
        <v>-20.882616870658968</v>
      </c>
      <c r="CH179" s="136">
        <f t="shared" si="143"/>
        <v>-73.844003265474186</v>
      </c>
      <c r="CI179" s="77"/>
      <c r="CJ179" s="189"/>
      <c r="CK179" s="189"/>
      <c r="CL179" s="189"/>
      <c r="CM179" s="77"/>
      <c r="CN179" s="189">
        <v>20892.9613085403</v>
      </c>
      <c r="CO179" s="189">
        <v>4.0014318131444098</v>
      </c>
      <c r="CP179" s="189">
        <v>93.9667853973299</v>
      </c>
      <c r="CQ179" s="74"/>
      <c r="CR179" s="75"/>
      <c r="CS179" s="75"/>
      <c r="CT179" s="75"/>
      <c r="CU179" s="74"/>
      <c r="CV179" s="75"/>
      <c r="CW179" s="75"/>
      <c r="CX179" s="75"/>
      <c r="CY179" s="74"/>
      <c r="CZ179" s="75"/>
      <c r="DA179" s="75"/>
      <c r="DB179" s="75"/>
      <c r="DC179" s="74"/>
      <c r="DD179" s="75"/>
      <c r="DE179" s="75"/>
      <c r="DF179" s="75"/>
      <c r="DG179" s="74"/>
      <c r="DH179" s="75"/>
      <c r="DI179" s="75"/>
      <c r="DJ179" s="75"/>
      <c r="DK179" s="74"/>
      <c r="DL179" s="75"/>
      <c r="DM179" s="75"/>
      <c r="DN179" s="75"/>
      <c r="DO179" s="76"/>
    </row>
    <row r="180" spans="1:119" x14ac:dyDescent="0.25">
      <c r="A180" s="136">
        <v>131</v>
      </c>
      <c r="B180" s="136">
        <f t="shared" si="144"/>
        <v>8511.3803820237626</v>
      </c>
      <c r="C180" s="136" t="str">
        <f t="shared" si="151"/>
        <v>53478.5801601483j</v>
      </c>
      <c r="D180" s="136">
        <f t="shared" si="145"/>
        <v>0.99818891009981248</v>
      </c>
      <c r="E180" s="136" t="str">
        <f t="shared" si="146"/>
        <v>-0.0668482252001854j</v>
      </c>
      <c r="F180" s="136" t="str">
        <f t="shared" si="152"/>
        <v>0.998188910099812-0.0668482252001854j</v>
      </c>
      <c r="G180" s="136">
        <f t="shared" si="153"/>
        <v>3.6890041458615438E-3</v>
      </c>
      <c r="H180" s="136">
        <f t="shared" si="154"/>
        <v>-3.8313495258320596</v>
      </c>
      <c r="I180" s="136"/>
      <c r="J180" s="136">
        <f t="shared" si="147"/>
        <v>7.0726915520628681</v>
      </c>
      <c r="K180" s="136" t="str">
        <f t="shared" si="148"/>
        <v>1+3.92529213136811j</v>
      </c>
      <c r="L180" s="136">
        <f t="shared" si="149"/>
        <v>0.15867414185714568</v>
      </c>
      <c r="M180" s="136" t="str">
        <f t="shared" si="150"/>
        <v>0.287270122064667j</v>
      </c>
      <c r="N180" s="136" t="str">
        <f t="shared" si="155"/>
        <v>0.158674141857146+0.287270122064667j</v>
      </c>
      <c r="O180" s="136" t="str">
        <f t="shared" si="84"/>
        <v>1.27942107803266+1.41187987399071j</v>
      </c>
      <c r="P180" s="136" t="str">
        <f t="shared" si="85"/>
        <v>9.04895065013276+9.98579085730168j</v>
      </c>
      <c r="Q180" s="136"/>
      <c r="R180" s="136">
        <f t="shared" si="86"/>
        <v>11.787819253438114</v>
      </c>
      <c r="S180" s="136" t="str">
        <f t="shared" si="87"/>
        <v>1+0.00125234447434943j</v>
      </c>
      <c r="T180" s="136" t="str">
        <f t="shared" si="88"/>
        <v>0.894083349758442+0.101927285635308j</v>
      </c>
      <c r="U180" s="136" t="str">
        <f t="shared" si="111"/>
        <v>1.1042720169873-0.124488510886892j</v>
      </c>
      <c r="V180" s="136" t="str">
        <f t="shared" si="112"/>
        <v>13.0169589428758-1.46744806546435j</v>
      </c>
      <c r="W180" s="136"/>
      <c r="X180" s="136" t="str">
        <f t="shared" si="89"/>
        <v>2.18945933749288+2.30387582036123j</v>
      </c>
      <c r="Y180" s="136">
        <f t="shared" si="113"/>
        <v>10.043891350408076</v>
      </c>
      <c r="Z180" s="136">
        <f t="shared" si="114"/>
        <v>-133.54135847263981</v>
      </c>
      <c r="AA180" s="136"/>
      <c r="AB180" s="136" t="str">
        <f t="shared" si="90"/>
        <v>10.2329850649197-1.1536007913477j</v>
      </c>
      <c r="AC180" s="136">
        <f t="shared" si="115"/>
        <v>20.254892877749985</v>
      </c>
      <c r="AD180" s="136">
        <f t="shared" si="116"/>
        <v>173.56799910557061</v>
      </c>
      <c r="AE180" s="136"/>
      <c r="AF180" s="136" t="str">
        <f t="shared" si="117"/>
        <v>1.93662653890547-1.76059552833675j</v>
      </c>
      <c r="AG180" s="136">
        <f t="shared" si="118"/>
        <v>8.3570445383236862</v>
      </c>
      <c r="AH180" s="136">
        <f t="shared" si="119"/>
        <v>137.72589069070099</v>
      </c>
      <c r="AI180" s="136"/>
      <c r="AJ180" s="136" t="str">
        <f t="shared" si="91"/>
        <v>96524.6544518881-18315.4723698955j</v>
      </c>
      <c r="AK180" s="136" t="str">
        <f t="shared" si="92"/>
        <v>19047.6148425955-8.94961840027674j</v>
      </c>
      <c r="AL180" s="136" t="str">
        <f t="shared" si="93"/>
        <v>10000-1171136.77323371j</v>
      </c>
      <c r="AM180" s="136" t="str">
        <f t="shared" si="94"/>
        <v>963.105721921139-363461.911474393j</v>
      </c>
      <c r="AN180" s="136" t="str">
        <f t="shared" si="120"/>
        <v>10963.1057219211-363461.911474393j</v>
      </c>
      <c r="AO180" s="136" t="str">
        <f t="shared" si="121"/>
        <v>18964.8239589638-1000.2998904383j</v>
      </c>
      <c r="AP180" s="136" t="str">
        <f t="shared" si="122"/>
        <v>0.160781629827756+0.0254151002871212j</v>
      </c>
      <c r="AQ180" s="136" t="str">
        <f t="shared" si="95"/>
        <v>1+0.303598660448347j</v>
      </c>
      <c r="AR180" s="136" t="str">
        <f t="shared" si="96"/>
        <v>1+0.000605985350196302j</v>
      </c>
      <c r="AS180" s="136" t="str">
        <f t="shared" si="97"/>
        <v>9.50643305528887E-07j</v>
      </c>
      <c r="AT180" s="136" t="str">
        <f t="shared" si="123"/>
        <v>-5.76075916412693E-10+9.50643305528887E-07j</v>
      </c>
      <c r="AU180" s="179" t="str">
        <f t="shared" si="124"/>
        <v>318723.712744376-1052112.39929624j</v>
      </c>
      <c r="AV180" s="136" t="str">
        <f t="shared" si="98"/>
        <v>7998.10876321217-122.989095150881j</v>
      </c>
      <c r="AW180" s="136"/>
      <c r="AX180" s="136" t="str">
        <f t="shared" si="99"/>
        <v>0.499881797700761-0.00768681844693006j</v>
      </c>
      <c r="AY180" s="136"/>
      <c r="AZ180" s="136" t="str">
        <f t="shared" si="100"/>
        <v>4.90575053550025-10.052136040494j</v>
      </c>
      <c r="BA180" s="136" t="str">
        <f t="shared" si="101"/>
        <v>2.37502645201022-5.06258944836707j</v>
      </c>
      <c r="BB180" s="136">
        <f t="shared" si="125"/>
        <v>14.951356944521198</v>
      </c>
      <c r="BC180" s="136">
        <f t="shared" si="126"/>
        <v>115.13281110950129</v>
      </c>
      <c r="BD180" s="136" t="str">
        <f t="shared" si="102"/>
        <v>18.4634030183051-54.545234609471j</v>
      </c>
      <c r="BE180" s="136">
        <f t="shared" si="127"/>
        <v>35.206249822271182</v>
      </c>
      <c r="BF180" s="136">
        <f t="shared" si="128"/>
        <v>108.70081021507195</v>
      </c>
      <c r="BG180" s="136"/>
      <c r="BH180" s="136" t="str">
        <f t="shared" si="103"/>
        <v>-4.31363308703439-13.9858060323812j</v>
      </c>
      <c r="BI180" s="136">
        <f t="shared" si="129"/>
        <v>23.308401482844907</v>
      </c>
      <c r="BJ180" s="136">
        <f t="shared" si="130"/>
        <v>72.858701800202326</v>
      </c>
      <c r="BK180" s="136"/>
      <c r="BL180" s="136">
        <f t="shared" si="131"/>
        <v>-22.308401482844907</v>
      </c>
      <c r="BM180" s="136">
        <f t="shared" si="132"/>
        <v>-72.858701800202326</v>
      </c>
      <c r="BN180" s="136"/>
      <c r="BO180" s="189"/>
      <c r="BP180" s="189" t="str">
        <f t="shared" si="104"/>
        <v>0.00001+1.89749162780217E-06j</v>
      </c>
      <c r="BQ180" s="189" t="str">
        <f t="shared" si="105"/>
        <v>2.63729448783474E-07+8.68677906529641E-07j</v>
      </c>
      <c r="BR180" s="189" t="str">
        <f t="shared" si="106"/>
        <v>-0.00651548796678855-0.0220035185700104j</v>
      </c>
      <c r="BS180" s="189" t="str">
        <f t="shared" si="107"/>
        <v>0.0000627637294487835+2.76616953433181E-06j</v>
      </c>
      <c r="BT180" s="189" t="str">
        <f t="shared" si="133"/>
        <v>-3.48070861257854E-07-1.39904583076445E-06j</v>
      </c>
      <c r="BU180" s="189" t="str">
        <f t="shared" si="134"/>
        <v>-2.63729448783474E-07-8.68677906529641E-07j</v>
      </c>
      <c r="BV180" s="189" t="str">
        <f t="shared" si="135"/>
        <v>-6.11800310041328E-07-2.26772373729409E-06j</v>
      </c>
      <c r="BW180" s="189" t="str">
        <f t="shared" si="108"/>
        <v>0.99999087997389-0.00301992432600501j</v>
      </c>
      <c r="BX180" s="189" t="str">
        <f t="shared" si="136"/>
        <v>-0.00001-1.89749162780217E-06j</v>
      </c>
      <c r="BY180" s="189" t="str">
        <f t="shared" si="137"/>
        <v>1.87713613825642-3.90576967724371j</v>
      </c>
      <c r="BZ180" s="136">
        <f t="shared" si="138"/>
        <v>12.736649885910492</v>
      </c>
      <c r="CA180" s="136">
        <f t="shared" si="139"/>
        <v>115.66921620543465</v>
      </c>
      <c r="CB180" s="189" t="str">
        <f t="shared" si="109"/>
        <v>14.7030070771088-42.1331485088111j</v>
      </c>
      <c r="CC180" s="136" t="str">
        <f t="shared" si="110"/>
        <v>-3.24116896598265-10.868894702896j</v>
      </c>
      <c r="CD180" s="136">
        <f t="shared" si="140"/>
        <v>21.093694424234187</v>
      </c>
      <c r="CE180" s="136">
        <f t="shared" si="141"/>
        <v>73.395106896135587</v>
      </c>
      <c r="CF180" s="136"/>
      <c r="CG180" s="136">
        <f t="shared" si="142"/>
        <v>-20.093694424234187</v>
      </c>
      <c r="CH180" s="136">
        <f t="shared" si="143"/>
        <v>-73.395106896135587</v>
      </c>
      <c r="CI180" s="77"/>
      <c r="CJ180" s="189"/>
      <c r="CK180" s="189"/>
      <c r="CL180" s="189"/>
      <c r="CM180" s="77"/>
      <c r="CN180" s="189">
        <v>21877.616239495499</v>
      </c>
      <c r="CO180" s="189">
        <v>3.6526143487801099</v>
      </c>
      <c r="CP180" s="189">
        <v>95.054736502350295</v>
      </c>
      <c r="CQ180" s="74"/>
      <c r="CR180" s="75"/>
      <c r="CS180" s="75"/>
      <c r="CT180" s="75"/>
      <c r="CU180" s="74"/>
      <c r="CV180" s="75"/>
      <c r="CW180" s="75"/>
      <c r="CX180" s="75"/>
      <c r="CY180" s="74"/>
      <c r="CZ180" s="75"/>
      <c r="DA180" s="75"/>
      <c r="DB180" s="75"/>
      <c r="DC180" s="74"/>
      <c r="DD180" s="75"/>
      <c r="DE180" s="75"/>
      <c r="DF180" s="75"/>
      <c r="DG180" s="74"/>
      <c r="DH180" s="75"/>
      <c r="DI180" s="75"/>
      <c r="DJ180" s="75"/>
      <c r="DK180" s="74"/>
      <c r="DL180" s="75"/>
      <c r="DM180" s="75"/>
      <c r="DN180" s="75"/>
      <c r="DO180" s="76"/>
    </row>
    <row r="181" spans="1:119" x14ac:dyDescent="0.25">
      <c r="A181" s="136">
        <v>132</v>
      </c>
      <c r="B181" s="136">
        <f t="shared" si="144"/>
        <v>9120.1083935591087</v>
      </c>
      <c r="C181" s="136" t="str">
        <f t="shared" si="151"/>
        <v>57303.3310582958j</v>
      </c>
      <c r="D181" s="136">
        <f t="shared" si="145"/>
        <v>0.99792059057224336</v>
      </c>
      <c r="E181" s="136" t="str">
        <f t="shared" si="146"/>
        <v>-0.0716291638228698j</v>
      </c>
      <c r="F181" s="136" t="str">
        <f t="shared" si="152"/>
        <v>0.997920590572243-0.0716291638228698j</v>
      </c>
      <c r="G181" s="136">
        <f t="shared" si="153"/>
        <v>4.2376978226814771E-3</v>
      </c>
      <c r="H181" s="136">
        <f t="shared" si="154"/>
        <v>-4.1055594106663209</v>
      </c>
      <c r="I181" s="136"/>
      <c r="J181" s="136">
        <f t="shared" si="147"/>
        <v>7.0726915520628681</v>
      </c>
      <c r="K181" s="136" t="str">
        <f t="shared" si="148"/>
        <v>1+4.20602629745821j</v>
      </c>
      <c r="L181" s="136">
        <f t="shared" si="149"/>
        <v>3.4028669114307686E-2</v>
      </c>
      <c r="M181" s="136" t="str">
        <f t="shared" si="150"/>
        <v>0.307815481610255j</v>
      </c>
      <c r="N181" s="136" t="str">
        <f t="shared" si="155"/>
        <v>0.0340286691143077+0.307815481610255j</v>
      </c>
      <c r="O181" s="136" t="str">
        <f t="shared" si="84"/>
        <v>1.32914126493842+1.53370072835086j</v>
      </c>
      <c r="P181" s="136" t="str">
        <f t="shared" si="85"/>
        <v>9.40060619602812+10.8473921847998j</v>
      </c>
      <c r="Q181" s="136"/>
      <c r="R181" s="136">
        <f t="shared" si="86"/>
        <v>11.787819253438114</v>
      </c>
      <c r="S181" s="136" t="str">
        <f t="shared" si="87"/>
        <v>1+0.00134191128107305j</v>
      </c>
      <c r="T181" s="136" t="str">
        <f t="shared" si="88"/>
        <v>0.878391414448338+0.1092170542887j</v>
      </c>
      <c r="U181" s="136" t="str">
        <f t="shared" si="111"/>
        <v>1.12129949112451-0.137891962652019j</v>
      </c>
      <c r="V181" s="136" t="str">
        <f t="shared" si="112"/>
        <v>13.2176757303479-1.62544553224384j</v>
      </c>
      <c r="W181" s="136"/>
      <c r="X181" s="136" t="str">
        <f t="shared" si="89"/>
        <v>2.28145855309262+2.50121363650313j</v>
      </c>
      <c r="Y181" s="136">
        <f t="shared" si="113"/>
        <v>10.592271652234043</v>
      </c>
      <c r="Z181" s="136">
        <f t="shared" si="114"/>
        <v>-132.36921356241226</v>
      </c>
      <c r="AA181" s="136"/>
      <c r="AB181" s="136" t="str">
        <f t="shared" si="90"/>
        <v>10.3907739845509-1.27780689239978j</v>
      </c>
      <c r="AC181" s="136">
        <f t="shared" si="115"/>
        <v>20.398144154382095</v>
      </c>
      <c r="AD181" s="136">
        <f t="shared" si="116"/>
        <v>172.98924300856621</v>
      </c>
      <c r="AE181" s="136"/>
      <c r="AF181" s="136" t="str">
        <f t="shared" si="117"/>
        <v>1.81512886121317-1.77294086088441j</v>
      </c>
      <c r="AG181" s="136">
        <f t="shared" si="118"/>
        <v>8.0875178717395659</v>
      </c>
      <c r="AH181" s="136">
        <f t="shared" si="119"/>
        <v>135.67364437464062</v>
      </c>
      <c r="AI181" s="136"/>
      <c r="AJ181" s="136" t="str">
        <f t="shared" si="91"/>
        <v>96030.209281073-19524.8516906179j</v>
      </c>
      <c r="AK181" s="136" t="str">
        <f t="shared" si="92"/>
        <v>19047.6142196062-9.58968857675676j</v>
      </c>
      <c r="AL181" s="136" t="str">
        <f t="shared" si="93"/>
        <v>10000-1092968.43044188j</v>
      </c>
      <c r="AM181" s="136" t="str">
        <f t="shared" si="94"/>
        <v>963.100774057707-339203.176198859j</v>
      </c>
      <c r="AN181" s="136" t="str">
        <f t="shared" si="120"/>
        <v>10963.1007740577-339203.176198859j</v>
      </c>
      <c r="AO181" s="136" t="str">
        <f t="shared" si="121"/>
        <v>18952.6539724414-1070.75756544515j</v>
      </c>
      <c r="AP181" s="136" t="str">
        <f t="shared" si="122"/>
        <v>0.160897305496881+0.027228958616027j</v>
      </c>
      <c r="AQ181" s="136" t="str">
        <f t="shared" si="95"/>
        <v>1+0.32531182571468j</v>
      </c>
      <c r="AR181" s="136" t="str">
        <f t="shared" si="96"/>
        <v>1+0.000649325001426507j</v>
      </c>
      <c r="AS181" s="136" t="str">
        <f t="shared" si="97"/>
        <v>1.01863265426909E-06j</v>
      </c>
      <c r="AT181" s="136" t="str">
        <f t="shared" si="123"/>
        <v>-6.61423649686364E-10+1.01863265426909E-06j</v>
      </c>
      <c r="AU181" s="179" t="str">
        <f t="shared" si="124"/>
        <v>318723.695404312-981915.126319554j</v>
      </c>
      <c r="AV181" s="136" t="str">
        <f t="shared" si="98"/>
        <v>7997.82864568289-131.780574279026j</v>
      </c>
      <c r="AW181" s="136"/>
      <c r="AX181" s="136" t="str">
        <f t="shared" si="99"/>
        <v>0.499864290355181-0.00823628589243913j</v>
      </c>
      <c r="AY181" s="136"/>
      <c r="AZ181" s="136" t="str">
        <f t="shared" si="100"/>
        <v>4.90772688377505-9.31667911731192j</v>
      </c>
      <c r="BA181" s="136" t="str">
        <f t="shared" si="101"/>
        <v>2.37646258323696-4.69749663713884j</v>
      </c>
      <c r="BB181" s="136">
        <f t="shared" si="125"/>
        <v>14.426999815137123</v>
      </c>
      <c r="BC181" s="136">
        <f t="shared" si="126"/>
        <v>116.83483915935963</v>
      </c>
      <c r="BD181" s="136" t="str">
        <f t="shared" si="102"/>
        <v>18.6907920051965-51.8472861180882j</v>
      </c>
      <c r="BE181" s="136">
        <f t="shared" si="127"/>
        <v>34.825143969519246</v>
      </c>
      <c r="BF181" s="136">
        <f t="shared" si="128"/>
        <v>109.82408216792581</v>
      </c>
      <c r="BG181" s="136"/>
      <c r="BH181" s="136" t="str">
        <f t="shared" si="103"/>
        <v>-4.01479790942399-12.7398893397063j</v>
      </c>
      <c r="BI181" s="136">
        <f t="shared" si="129"/>
        <v>22.514517686876733</v>
      </c>
      <c r="BJ181" s="136">
        <f t="shared" si="130"/>
        <v>72.508483534000135</v>
      </c>
      <c r="BK181" s="136"/>
      <c r="BL181" s="136">
        <f t="shared" si="131"/>
        <v>-21.514517686876733</v>
      </c>
      <c r="BM181" s="136">
        <f t="shared" si="132"/>
        <v>-72.508483534000135</v>
      </c>
      <c r="BN181" s="136"/>
      <c r="BO181" s="189"/>
      <c r="BP181" s="189" t="str">
        <f t="shared" si="104"/>
        <v>0.00001+2.03319891071675E-06j</v>
      </c>
      <c r="BQ181" s="189" t="str">
        <f t="shared" si="105"/>
        <v>2.99062683758895E-07+9.19310827701642E-07j</v>
      </c>
      <c r="BR181" s="189" t="str">
        <f t="shared" si="106"/>
        <v>-0.00735258240224403-0.0233261529555059j</v>
      </c>
      <c r="BS181" s="189" t="str">
        <f t="shared" si="107"/>
        <v>0.0000627990626837589+2.95250973841839E-06j</v>
      </c>
      <c r="BT181" s="189" t="str">
        <f t="shared" si="133"/>
        <v>-3.92864589405057E-07-1.48656911276891E-06j</v>
      </c>
      <c r="BU181" s="189" t="str">
        <f t="shared" si="134"/>
        <v>-2.99062683758895E-07-9.19310827701642E-07j</v>
      </c>
      <c r="BV181" s="189" t="str">
        <f t="shared" si="135"/>
        <v>-6.91927273163952E-07-2.40587994047055E-06j</v>
      </c>
      <c r="BW181" s="189" t="str">
        <f t="shared" si="108"/>
        <v>0.999989528823142-0.0032359028434327j</v>
      </c>
      <c r="BX181" s="189" t="str">
        <f t="shared" si="136"/>
        <v>-0.00001-2.03319891071675E-06j</v>
      </c>
      <c r="BY181" s="189" t="str">
        <f t="shared" si="137"/>
        <v>1.87289634877869-3.62053247641903j</v>
      </c>
      <c r="BZ181" s="136">
        <f t="shared" si="138"/>
        <v>12.205263827964682</v>
      </c>
      <c r="CA181" s="136">
        <f t="shared" si="139"/>
        <v>117.35246182567039</v>
      </c>
      <c r="CB181" s="189" t="str">
        <f t="shared" si="109"/>
        <v>14.8345013041246-40.0133345294165j</v>
      </c>
      <c r="CC181" s="136" t="str">
        <f t="shared" si="110"/>
        <v>-3.01944174887338-9.89226745585877j</v>
      </c>
      <c r="CD181" s="136">
        <f t="shared" si="140"/>
        <v>20.292781699704285</v>
      </c>
      <c r="CE181" s="136">
        <f t="shared" si="141"/>
        <v>73.026106200310934</v>
      </c>
      <c r="CF181" s="136"/>
      <c r="CG181" s="136">
        <f t="shared" si="142"/>
        <v>-19.292781699704285</v>
      </c>
      <c r="CH181" s="136">
        <f t="shared" si="143"/>
        <v>-73.026106200310934</v>
      </c>
      <c r="CI181" s="77"/>
      <c r="CJ181" s="189"/>
      <c r="CK181" s="189"/>
      <c r="CL181" s="189"/>
      <c r="CM181" s="77"/>
      <c r="CN181" s="189">
        <v>22908.676527677701</v>
      </c>
      <c r="CO181" s="189">
        <v>3.31500305247814</v>
      </c>
      <c r="CP181" s="189">
        <v>96.126771157819107</v>
      </c>
      <c r="CQ181" s="74"/>
      <c r="CR181" s="75"/>
      <c r="CS181" s="75"/>
      <c r="CT181" s="75"/>
      <c r="CU181" s="74"/>
      <c r="CV181" s="75"/>
      <c r="CW181" s="75"/>
      <c r="CX181" s="75"/>
      <c r="CY181" s="74"/>
      <c r="CZ181" s="75"/>
      <c r="DA181" s="75"/>
      <c r="DB181" s="75"/>
      <c r="DC181" s="74"/>
      <c r="DD181" s="75"/>
      <c r="DE181" s="75"/>
      <c r="DF181" s="75"/>
      <c r="DG181" s="74"/>
      <c r="DH181" s="75"/>
      <c r="DI181" s="75"/>
      <c r="DJ181" s="75"/>
      <c r="DK181" s="74"/>
      <c r="DL181" s="75"/>
      <c r="DM181" s="75"/>
      <c r="DN181" s="75"/>
      <c r="DO181" s="76"/>
    </row>
    <row r="182" spans="1:119" x14ac:dyDescent="0.25">
      <c r="A182" s="136">
        <v>133</v>
      </c>
      <c r="B182" s="136">
        <f t="shared" si="144"/>
        <v>9772.3722095581161</v>
      </c>
      <c r="C182" s="136" t="str">
        <f t="shared" si="151"/>
        <v>61401.6254833857j</v>
      </c>
      <c r="D182" s="136">
        <f t="shared" si="145"/>
        <v>0.99761251853494637</v>
      </c>
      <c r="E182" s="136" t="str">
        <f t="shared" si="146"/>
        <v>-0.0767520318542321j</v>
      </c>
      <c r="F182" s="136" t="str">
        <f t="shared" si="152"/>
        <v>0.997612518534946-0.0767520318542321j</v>
      </c>
      <c r="G182" s="136">
        <f t="shared" si="153"/>
        <v>4.8683672908626935E-3</v>
      </c>
      <c r="H182" s="136">
        <f t="shared" si="154"/>
        <v>-4.399425171778975</v>
      </c>
      <c r="I182" s="136"/>
      <c r="J182" s="136">
        <f t="shared" si="147"/>
        <v>7.0726915520628681</v>
      </c>
      <c r="K182" s="136" t="str">
        <f t="shared" si="148"/>
        <v>1+4.50683837606352j</v>
      </c>
      <c r="L182" s="136">
        <f t="shared" si="149"/>
        <v>-0.10908348181857153</v>
      </c>
      <c r="M182" s="136" t="str">
        <f t="shared" si="150"/>
        <v>0.329830230996399j</v>
      </c>
      <c r="N182" s="136" t="str">
        <f t="shared" si="155"/>
        <v>-0.109083481818572+0.329830230996399j</v>
      </c>
      <c r="O182" s="136" t="str">
        <f t="shared" si="84"/>
        <v>1.38938462617601+1.66960918904845j</v>
      </c>
      <c r="P182" s="136" t="str">
        <f t="shared" si="85"/>
        <v>9.82668890812109+11.8086308066295j</v>
      </c>
      <c r="Q182" s="136"/>
      <c r="R182" s="136">
        <f t="shared" si="86"/>
        <v>11.787819253438114</v>
      </c>
      <c r="S182" s="136" t="str">
        <f t="shared" si="87"/>
        <v>1+0.00143788384358591j</v>
      </c>
      <c r="T182" s="136" t="str">
        <f t="shared" si="88"/>
        <v>0.860374662093744+0.117028182131526j</v>
      </c>
      <c r="U182" s="136" t="str">
        <f t="shared" si="111"/>
        <v>1.1413942204719-0.15358123930813j</v>
      </c>
      <c r="V182" s="136" t="str">
        <f t="shared" si="112"/>
        <v>13.4545487678417-1.81038788968326j</v>
      </c>
      <c r="W182" s="136"/>
      <c r="X182" s="136" t="str">
        <f t="shared" si="89"/>
        <v>2.3926524725419+2.72097670804304j</v>
      </c>
      <c r="Y182" s="136">
        <f t="shared" si="113"/>
        <v>11.182151118114611</v>
      </c>
      <c r="Z182" s="136">
        <f t="shared" si="114"/>
        <v>-131.32632586056158</v>
      </c>
      <c r="AA182" s="136"/>
      <c r="AB182" s="136" t="str">
        <f t="shared" si="90"/>
        <v>10.5769863146039-1.42319510402846j</v>
      </c>
      <c r="AC182" s="136">
        <f t="shared" si="115"/>
        <v>20.565165701851562</v>
      </c>
      <c r="AD182" s="136">
        <f t="shared" si="116"/>
        <v>172.33654762334257</v>
      </c>
      <c r="AE182" s="136"/>
      <c r="AF182" s="136" t="str">
        <f t="shared" si="117"/>
        <v>1.69249698655515-1.77691055351783j</v>
      </c>
      <c r="AG182" s="136">
        <f t="shared" si="118"/>
        <v>7.7973766197049388</v>
      </c>
      <c r="AH182" s="136">
        <f t="shared" si="119"/>
        <v>133.60622108816864</v>
      </c>
      <c r="AI182" s="136"/>
      <c r="AJ182" s="136" t="str">
        <f t="shared" si="91"/>
        <v>95468.7206248648-20798.9289324713j</v>
      </c>
      <c r="AK182" s="136" t="str">
        <f t="shared" si="92"/>
        <v>19047.6135043188-10.2755360553384j</v>
      </c>
      <c r="AL182" s="136" t="str">
        <f t="shared" si="93"/>
        <v>10000-1020017.48834521j</v>
      </c>
      <c r="AM182" s="136" t="str">
        <f t="shared" si="94"/>
        <v>963.095093213094-316563.663242908j</v>
      </c>
      <c r="AN182" s="136" t="str">
        <f t="shared" si="120"/>
        <v>10963.0950932131-316563.663242908j</v>
      </c>
      <c r="AO182" s="136" t="str">
        <f t="shared" si="121"/>
        <v>18938.7113635126-1146.00782531659j</v>
      </c>
      <c r="AP182" s="136" t="str">
        <f t="shared" si="122"/>
        <v>0.161030079005512+0.0291716664610032j</v>
      </c>
      <c r="AQ182" s="136" t="str">
        <f t="shared" si="95"/>
        <v>1+0.348577901475373j</v>
      </c>
      <c r="AR182" s="136" t="str">
        <f t="shared" si="96"/>
        <v>1+0.000695764274401942j</v>
      </c>
      <c r="AS182" s="136" t="str">
        <f t="shared" si="97"/>
        <v>1.09148455399476E-06j</v>
      </c>
      <c r="AT182" s="136" t="str">
        <f t="shared" si="123"/>
        <v>-7.59415958731091E-10+1.09148455399476E-06j</v>
      </c>
      <c r="AU182" s="179" t="str">
        <f t="shared" si="124"/>
        <v>318723.675495256-916405.12931198j</v>
      </c>
      <c r="AV182" s="136" t="str">
        <f t="shared" si="98"/>
        <v>7997.50705192306-141.199751506068j</v>
      </c>
      <c r="AW182" s="136"/>
      <c r="AX182" s="136" t="str">
        <f t="shared" si="99"/>
        <v>0.499844190745191-0.00882498446912925j</v>
      </c>
      <c r="AY182" s="136"/>
      <c r="AZ182" s="136" t="str">
        <f t="shared" si="100"/>
        <v>4.90999550417362-8.62571341129354j</v>
      </c>
      <c r="BA182" s="136" t="str">
        <f t="shared" si="101"/>
        <v>2.37811094245636-4.35484337373579j</v>
      </c>
      <c r="BB182" s="136">
        <f t="shared" si="125"/>
        <v>13.912893268586304</v>
      </c>
      <c r="BC182" s="136">
        <f t="shared" si="126"/>
        <v>118.63825432119134</v>
      </c>
      <c r="BD182" s="136" t="str">
        <f t="shared" si="102"/>
        <v>18.9554551246591-49.4456346163872j</v>
      </c>
      <c r="BE182" s="136">
        <f t="shared" si="127"/>
        <v>34.478058970437843</v>
      </c>
      <c r="BF182" s="136">
        <f t="shared" si="128"/>
        <v>110.97480194453391</v>
      </c>
      <c r="BG182" s="136"/>
      <c r="BH182" s="136" t="str">
        <f t="shared" si="103"/>
        <v>-3.71322154590708-11.5962497180544j</v>
      </c>
      <c r="BI182" s="136">
        <f t="shared" si="129"/>
        <v>21.710269888291222</v>
      </c>
      <c r="BJ182" s="136">
        <f t="shared" si="130"/>
        <v>72.244475409360035</v>
      </c>
      <c r="BK182" s="136"/>
      <c r="BL182" s="136">
        <f t="shared" si="131"/>
        <v>-20.710269888291222</v>
      </c>
      <c r="BM182" s="136">
        <f t="shared" si="132"/>
        <v>-72.244475409360035</v>
      </c>
      <c r="BN182" s="136"/>
      <c r="BO182" s="189"/>
      <c r="BP182" s="189" t="str">
        <f t="shared" si="104"/>
        <v>0.00001+2.17861188422108E-06j</v>
      </c>
      <c r="BQ182" s="189" t="str">
        <f t="shared" si="105"/>
        <v>3.38569559148303E-07+9.71288075679183E-07j</v>
      </c>
      <c r="BR182" s="189" t="str">
        <f t="shared" si="106"/>
        <v>-0.0082919775574788-0.0246925530349967j</v>
      </c>
      <c r="BS182" s="189" t="str">
        <f t="shared" si="107"/>
        <v>0.0000628385695591483+3.14989995990026E-06j</v>
      </c>
      <c r="BT182" s="189" t="str">
        <f t="shared" si="133"/>
        <v>-4.43276936713757E-07-1.57776361125839E-06j</v>
      </c>
      <c r="BU182" s="189" t="str">
        <f t="shared" si="134"/>
        <v>-3.38569559148303E-07-9.71288075679183E-07j</v>
      </c>
      <c r="BV182" s="189" t="str">
        <f t="shared" si="135"/>
        <v>-7.8184649586206E-07-2.54905168693757E-06j</v>
      </c>
      <c r="BW182" s="189" t="str">
        <f t="shared" si="108"/>
        <v>0.99998797749902-0.00346732698759875j</v>
      </c>
      <c r="BX182" s="189" t="str">
        <f t="shared" si="136"/>
        <v>-0.00001-2.17861188422108E-06j</v>
      </c>
      <c r="BY182" s="189" t="str">
        <f t="shared" si="137"/>
        <v>1.86936516355061-3.35257114477354j</v>
      </c>
      <c r="BZ182" s="136">
        <f t="shared" si="138"/>
        <v>11.683283113059792</v>
      </c>
      <c r="CA182" s="136">
        <f t="shared" si="139"/>
        <v>119.14366591031943</v>
      </c>
      <c r="CB182" s="189" t="str">
        <f t="shared" si="109"/>
        <v>15.0008869127233-38.1205704654122j</v>
      </c>
      <c r="CC182" s="136" t="str">
        <f t="shared" si="110"/>
        <v>-2.79332414248686-8.9959112472326j</v>
      </c>
      <c r="CD182" s="136">
        <f t="shared" si="140"/>
        <v>19.4806597327647</v>
      </c>
      <c r="CE182" s="136">
        <f t="shared" si="141"/>
        <v>72.749886998488108</v>
      </c>
      <c r="CF182" s="136"/>
      <c r="CG182" s="136">
        <f t="shared" si="142"/>
        <v>-18.4806597327647</v>
      </c>
      <c r="CH182" s="136">
        <f t="shared" si="143"/>
        <v>-72.749886998488108</v>
      </c>
      <c r="CI182" s="77"/>
      <c r="CJ182" s="189"/>
      <c r="CK182" s="189"/>
      <c r="CL182" s="189"/>
      <c r="CM182" s="77"/>
      <c r="CN182" s="189">
        <v>23988.3291901948</v>
      </c>
      <c r="CO182" s="189">
        <v>2.9886168468648702</v>
      </c>
      <c r="CP182" s="189">
        <v>97.1787906031891</v>
      </c>
      <c r="CQ182" s="74"/>
      <c r="CR182" s="75"/>
      <c r="CS182" s="75"/>
      <c r="CT182" s="75"/>
      <c r="CU182" s="74"/>
      <c r="CV182" s="75"/>
      <c r="CW182" s="75"/>
      <c r="CX182" s="75"/>
      <c r="CY182" s="74"/>
      <c r="CZ182" s="75"/>
      <c r="DA182" s="75"/>
      <c r="DB182" s="75"/>
      <c r="DC182" s="74"/>
      <c r="DD182" s="75"/>
      <c r="DE182" s="75"/>
      <c r="DF182" s="75"/>
      <c r="DG182" s="74"/>
      <c r="DH182" s="75"/>
      <c r="DI182" s="75"/>
      <c r="DJ182" s="75"/>
      <c r="DK182" s="74"/>
      <c r="DL182" s="75"/>
      <c r="DM182" s="75"/>
      <c r="DN182" s="75"/>
      <c r="DO182" s="76"/>
    </row>
    <row r="183" spans="1:119" x14ac:dyDescent="0.25">
      <c r="A183" s="136">
        <v>134</v>
      </c>
      <c r="B183" s="136">
        <f t="shared" si="144"/>
        <v>10471.285480509003</v>
      </c>
      <c r="C183" s="136" t="str">
        <f t="shared" si="151"/>
        <v>65793.0270784171j</v>
      </c>
      <c r="D183" s="136">
        <f t="shared" si="145"/>
        <v>0.99725880450964199</v>
      </c>
      <c r="E183" s="136" t="str">
        <f t="shared" si="146"/>
        <v>-0.0822412838480214j</v>
      </c>
      <c r="F183" s="136" t="str">
        <f t="shared" si="152"/>
        <v>0.997258804509642-0.0822412838480214j</v>
      </c>
      <c r="G183" s="136">
        <f t="shared" si="153"/>
        <v>5.5933751022120854E-3</v>
      </c>
      <c r="H183" s="136">
        <f t="shared" si="154"/>
        <v>-4.7143627677638298</v>
      </c>
      <c r="I183" s="136"/>
      <c r="J183" s="136">
        <f t="shared" si="147"/>
        <v>7.0726915520628681</v>
      </c>
      <c r="K183" s="136" t="str">
        <f t="shared" si="148"/>
        <v>1+4.82916432553776j</v>
      </c>
      <c r="L183" s="136">
        <f t="shared" si="149"/>
        <v>-0.27339821619236426</v>
      </c>
      <c r="M183" s="136" t="str">
        <f t="shared" si="150"/>
        <v>0.353419459963621j</v>
      </c>
      <c r="N183" s="136" t="str">
        <f t="shared" si="155"/>
        <v>-0.273398216192364+0.353419459963621j</v>
      </c>
      <c r="O183" s="136" t="str">
        <f t="shared" si="84"/>
        <v>1.46302660713857+1.82209392944244j</v>
      </c>
      <c r="P183" s="136" t="str">
        <f t="shared" si="85"/>
        <v>10.3475359247522+12.8871083418326j</v>
      </c>
      <c r="Q183" s="136"/>
      <c r="R183" s="136">
        <f t="shared" si="86"/>
        <v>11.787819253438114</v>
      </c>
      <c r="S183" s="136" t="str">
        <f t="shared" si="87"/>
        <v>1+0.00154072029709155j</v>
      </c>
      <c r="T183" s="136" t="str">
        <f t="shared" si="88"/>
        <v>0.839688662630207+0.125397956410792j</v>
      </c>
      <c r="U183" s="136" t="str">
        <f t="shared" si="111"/>
        <v>1.16520517165548-0.172175275744387j</v>
      </c>
      <c r="V183" s="136" t="str">
        <f t="shared" si="112"/>
        <v>13.7352279566461-2.0295710303857j</v>
      </c>
      <c r="W183" s="136"/>
      <c r="X183" s="136" t="str">
        <f t="shared" si="89"/>
        <v>2.52818846855954+2.96701296982706j</v>
      </c>
      <c r="Y183" s="136">
        <f t="shared" si="113"/>
        <v>11.816979290289693</v>
      </c>
      <c r="Z183" s="136">
        <f t="shared" si="114"/>
        <v>-130.43428011596518</v>
      </c>
      <c r="AA183" s="136"/>
      <c r="AB183" s="136" t="str">
        <f t="shared" si="90"/>
        <v>10.7976358503114-1.59550092562113j</v>
      </c>
      <c r="AC183" s="136">
        <f t="shared" si="115"/>
        <v>20.760377766956196</v>
      </c>
      <c r="AD183" s="136">
        <f t="shared" si="116"/>
        <v>171.59457441694889</v>
      </c>
      <c r="AE183" s="136"/>
      <c r="AF183" s="136" t="str">
        <f t="shared" si="117"/>
        <v>1.56989238377985-1.77240871491249j</v>
      </c>
      <c r="AG183" s="136">
        <f t="shared" si="118"/>
        <v>7.4865268665823468</v>
      </c>
      <c r="AH183" s="136">
        <f t="shared" si="119"/>
        <v>131.53257984668093</v>
      </c>
      <c r="AI183" s="136"/>
      <c r="AJ183" s="136" t="str">
        <f t="shared" si="91"/>
        <v>94832.0886793247-22137.8369460336j</v>
      </c>
      <c r="AK183" s="136" t="str">
        <f t="shared" si="92"/>
        <v>19047.612683059-11.0104347802326j</v>
      </c>
      <c r="AL183" s="136" t="str">
        <f t="shared" si="93"/>
        <v>10000-951935.70788632j</v>
      </c>
      <c r="AM183" s="136" t="str">
        <f t="shared" si="94"/>
        <v>963.088570813409-295435.300488743j</v>
      </c>
      <c r="AN183" s="136" t="str">
        <f t="shared" si="120"/>
        <v>10963.0885708134-295435.300488743j</v>
      </c>
      <c r="AO183" s="136" t="str">
        <f t="shared" si="121"/>
        <v>18922.7430478187-1226.33785333183j</v>
      </c>
      <c r="AP183" s="136" t="str">
        <f t="shared" si="122"/>
        <v>0.1611824707781+0.0312522378296469j</v>
      </c>
      <c r="AQ183" s="136" t="str">
        <f t="shared" si="95"/>
        <v>1+0.373507950810074j</v>
      </c>
      <c r="AR183" s="136" t="str">
        <f t="shared" si="96"/>
        <v>1+0.000745524851916315j</v>
      </c>
      <c r="AS183" s="136" t="str">
        <f t="shared" si="97"/>
        <v>1.16954677097404E-06j</v>
      </c>
      <c r="AT183" s="136" t="str">
        <f t="shared" si="123"/>
        <v>-8.71926183239626E-10+1.16954677097404E-06j</v>
      </c>
      <c r="AU183" s="179" t="str">
        <f t="shared" si="124"/>
        <v>318723.652636605-855269.689355719j</v>
      </c>
      <c r="AV183" s="136" t="str">
        <f t="shared" si="98"/>
        <v>7997.13784477556-151.291274907077j</v>
      </c>
      <c r="AW183" s="136"/>
      <c r="AX183" s="136" t="str">
        <f t="shared" si="99"/>
        <v>0.499821115298472-0.00945570468169231j</v>
      </c>
      <c r="AY183" s="136"/>
      <c r="AZ183" s="136" t="str">
        <f t="shared" si="100"/>
        <v>4.91259952912939-7.97594444519487j</v>
      </c>
      <c r="BA183" s="136" t="str">
        <f t="shared" si="101"/>
        <v>2.38000280043285-4.03299753852282j</v>
      </c>
      <c r="BB183" s="136">
        <f t="shared" si="125"/>
        <v>13.410283826781308</v>
      </c>
      <c r="BC183" s="136">
        <f t="shared" si="126"/>
        <v>120.54623466458844</v>
      </c>
      <c r="BD183" s="136" t="str">
        <f t="shared" si="102"/>
        <v>19.2637522560543-47.3441354772431j</v>
      </c>
      <c r="BE183" s="136">
        <f t="shared" si="127"/>
        <v>34.170661593737492</v>
      </c>
      <c r="BF183" s="136">
        <f t="shared" si="128"/>
        <v>112.14080908153727</v>
      </c>
      <c r="BG183" s="136"/>
      <c r="BH183" s="136" t="str">
        <f t="shared" si="103"/>
        <v>-3.41177171472422-10.5497098245332j</v>
      </c>
      <c r="BI183" s="136">
        <f t="shared" si="129"/>
        <v>20.896810693363676</v>
      </c>
      <c r="BJ183" s="136">
        <f t="shared" si="130"/>
        <v>72.078814511269442</v>
      </c>
      <c r="BK183" s="136"/>
      <c r="BL183" s="136">
        <f t="shared" si="131"/>
        <v>-19.896810693363676</v>
      </c>
      <c r="BM183" s="136">
        <f t="shared" si="132"/>
        <v>-72.078814511269442</v>
      </c>
      <c r="BN183" s="136"/>
      <c r="BO183" s="189"/>
      <c r="BP183" s="189" t="str">
        <f t="shared" si="104"/>
        <v>0.00001+2.33442469256296E-06j</v>
      </c>
      <c r="BQ183" s="189" t="str">
        <f t="shared" si="105"/>
        <v>3.82588818322235E-07+1.02431238074709E-06j</v>
      </c>
      <c r="BR183" s="189" t="str">
        <f t="shared" si="106"/>
        <v>-0.00934294745980537-0.0260966692841603j</v>
      </c>
      <c r="BS183" s="189" t="str">
        <f t="shared" si="107"/>
        <v>0.0000628825888183222+3.35873707331005E-06j</v>
      </c>
      <c r="BT183" s="189" t="str">
        <f t="shared" si="133"/>
        <v>-4.99856872851508E-07-1.67240662813083E-06j</v>
      </c>
      <c r="BU183" s="189" t="str">
        <f t="shared" si="134"/>
        <v>-3.82588818322235E-07-1.02431238074709E-06j</v>
      </c>
      <c r="BV183" s="189" t="str">
        <f t="shared" si="135"/>
        <v>-8.82445691173743E-07-2.69671900887792E-06j</v>
      </c>
      <c r="BW183" s="189" t="str">
        <f t="shared" si="108"/>
        <v>0.999986196346548-0.00371530118717416j</v>
      </c>
      <c r="BX183" s="189" t="str">
        <f t="shared" si="136"/>
        <v>-0.00001-2.33442469256296E-06j</v>
      </c>
      <c r="BY183" s="189" t="str">
        <f t="shared" si="137"/>
        <v>1.86647507551021-3.10060934739697j</v>
      </c>
      <c r="BZ183" s="136">
        <f t="shared" si="138"/>
        <v>11.17188656892419</v>
      </c>
      <c r="CA183" s="136">
        <f t="shared" si="139"/>
        <v>121.04669620719869</v>
      </c>
      <c r="CB183" s="189" t="str">
        <f t="shared" si="109"/>
        <v>15.2064931052803-36.4572133578894j</v>
      </c>
      <c r="CC183" s="136" t="str">
        <f t="shared" si="110"/>
        <v>-2.5653820233071-8.17577968955636j</v>
      </c>
      <c r="CD183" s="136">
        <f t="shared" si="140"/>
        <v>18.658413435506532</v>
      </c>
      <c r="CE183" s="136">
        <f t="shared" si="141"/>
        <v>72.579276053879752</v>
      </c>
      <c r="CF183" s="136"/>
      <c r="CG183" s="136">
        <f t="shared" si="142"/>
        <v>-17.658413435506532</v>
      </c>
      <c r="CH183" s="136">
        <f t="shared" si="143"/>
        <v>-72.579276053879752</v>
      </c>
      <c r="CI183" s="77"/>
      <c r="CJ183" s="189"/>
      <c r="CK183" s="189"/>
      <c r="CL183" s="189"/>
      <c r="CM183" s="77"/>
      <c r="CN183" s="189">
        <v>25118.8643150957</v>
      </c>
      <c r="CO183" s="189">
        <v>2.6734510223997101</v>
      </c>
      <c r="CP183" s="189">
        <v>98.2066078061995</v>
      </c>
      <c r="CQ183" s="74"/>
      <c r="CR183" s="75"/>
      <c r="CS183" s="75"/>
      <c r="CT183" s="75"/>
      <c r="CU183" s="74"/>
      <c r="CV183" s="75"/>
      <c r="CW183" s="75"/>
      <c r="CX183" s="75"/>
      <c r="CY183" s="74"/>
      <c r="CZ183" s="75"/>
      <c r="DA183" s="75"/>
      <c r="DB183" s="75"/>
      <c r="DC183" s="74"/>
      <c r="DD183" s="75"/>
      <c r="DE183" s="75"/>
      <c r="DF183" s="75"/>
      <c r="DG183" s="74"/>
      <c r="DH183" s="75"/>
      <c r="DI183" s="75"/>
      <c r="DJ183" s="75"/>
      <c r="DK183" s="74"/>
      <c r="DL183" s="75"/>
      <c r="DM183" s="75"/>
      <c r="DN183" s="75"/>
      <c r="DO183" s="76"/>
    </row>
    <row r="184" spans="1:119" x14ac:dyDescent="0.25">
      <c r="A184" s="136">
        <v>135</v>
      </c>
      <c r="B184" s="136">
        <f t="shared" si="144"/>
        <v>11220.184543019639</v>
      </c>
      <c r="C184" s="136" t="str">
        <f t="shared" si="151"/>
        <v>70498.4986645445j</v>
      </c>
      <c r="D184" s="136">
        <f t="shared" si="145"/>
        <v>0.99685268647051462</v>
      </c>
      <c r="E184" s="136" t="str">
        <f t="shared" si="146"/>
        <v>-0.0881231233306806j</v>
      </c>
      <c r="F184" s="136" t="str">
        <f t="shared" si="152"/>
        <v>0.996852686470515-0.0881231233306806j</v>
      </c>
      <c r="G184" s="136">
        <f t="shared" si="153"/>
        <v>6.4269843871032992E-3</v>
      </c>
      <c r="H184" s="136">
        <f t="shared" si="154"/>
        <v>-5.0518917374621441</v>
      </c>
      <c r="I184" s="136"/>
      <c r="J184" s="136">
        <f t="shared" si="147"/>
        <v>7.0726915520628681</v>
      </c>
      <c r="K184" s="136" t="str">
        <f t="shared" si="148"/>
        <v>1+5.17454280297846j</v>
      </c>
      <c r="L184" s="136">
        <f t="shared" si="149"/>
        <v>-0.46205677352893049</v>
      </c>
      <c r="M184" s="136" t="str">
        <f t="shared" si="150"/>
        <v>0.378695774197669j</v>
      </c>
      <c r="N184" s="136" t="str">
        <f t="shared" si="155"/>
        <v>-0.46205677352893+0.378695774197669j</v>
      </c>
      <c r="O184" s="136" t="str">
        <f t="shared" si="84"/>
        <v>1.5539924925814+1.99426045204031j</v>
      </c>
      <c r="P184" s="136" t="str">
        <f t="shared" si="85"/>
        <v>10.9909095742496+14.1047890517586j</v>
      </c>
      <c r="Q184" s="136"/>
      <c r="R184" s="136">
        <f t="shared" si="86"/>
        <v>11.787819253438114</v>
      </c>
      <c r="S184" s="136" t="str">
        <f t="shared" si="87"/>
        <v>1+0.00165091154230502j</v>
      </c>
      <c r="T184" s="136" t="str">
        <f t="shared" si="88"/>
        <v>0.815937957431864+0.134366331131508j</v>
      </c>
      <c r="U184" s="136" t="str">
        <f t="shared" si="111"/>
        <v>1.19354923841394-0.194526948038737j</v>
      </c>
      <c r="V184" s="136" t="str">
        <f t="shared" si="112"/>
        <v>14.0693426925022-2.29304850340358j</v>
      </c>
      <c r="W184" s="136"/>
      <c r="X184" s="136" t="str">
        <f t="shared" si="89"/>
        <v>2.69505765115736+3.24408222624118j</v>
      </c>
      <c r="Y184" s="136">
        <f t="shared" si="113"/>
        <v>12.501125992988719</v>
      </c>
      <c r="Z184" s="136">
        <f t="shared" si="114"/>
        <v>-129.7184872167436</v>
      </c>
      <c r="AA184" s="136"/>
      <c r="AB184" s="136" t="str">
        <f t="shared" si="90"/>
        <v>11.0602925212734-1.802627725219j</v>
      </c>
      <c r="AC184" s="136">
        <f t="shared" si="115"/>
        <v>20.989188788081993</v>
      </c>
      <c r="AD184" s="136">
        <f t="shared" si="116"/>
        <v>170.74321412685987</v>
      </c>
      <c r="AE184" s="136"/>
      <c r="AF184" s="136" t="str">
        <f t="shared" si="117"/>
        <v>1.44847549146845-1.75953988707086j</v>
      </c>
      <c r="AG184" s="136">
        <f t="shared" si="118"/>
        <v>7.1550711796378854</v>
      </c>
      <c r="AH184" s="136">
        <f t="shared" si="119"/>
        <v>129.46164350760316</v>
      </c>
      <c r="AI184" s="136"/>
      <c r="AJ184" s="136" t="str">
        <f t="shared" si="91"/>
        <v>94111.5286747817-23540.8801444192j</v>
      </c>
      <c r="AK184" s="136" t="str">
        <f t="shared" si="92"/>
        <v>19047.6117401268-11.7978928420363j</v>
      </c>
      <c r="AL184" s="136" t="str">
        <f t="shared" si="93"/>
        <v>10000-888398.093467134j</v>
      </c>
      <c r="AM184" s="136" t="str">
        <f t="shared" si="94"/>
        <v>963.08108220555-275717.229453788j</v>
      </c>
      <c r="AN184" s="136" t="str">
        <f t="shared" si="120"/>
        <v>10963.0810822056-275717.229453788j</v>
      </c>
      <c r="AO184" s="136" t="str">
        <f t="shared" si="121"/>
        <v>18904.4614094298-1312.04305259329j</v>
      </c>
      <c r="AP184" s="136" t="str">
        <f t="shared" si="122"/>
        <v>0.161357370625935+0.0334802853093298j</v>
      </c>
      <c r="AQ184" s="136" t="str">
        <f t="shared" si="95"/>
        <v>1+0.400220979952731j</v>
      </c>
      <c r="AR184" s="136" t="str">
        <f t="shared" si="96"/>
        <v>1+0.000798844271362737j</v>
      </c>
      <c r="AS184" s="136" t="str">
        <f t="shared" si="97"/>
        <v>1.25319194347699E-06j</v>
      </c>
      <c r="AT184" s="136" t="str">
        <f t="shared" si="123"/>
        <v>-1.00110520496453E-09+1.25319194347699E-06j</v>
      </c>
      <c r="AU184" s="179" t="str">
        <f t="shared" si="124"/>
        <v>318723.626391365-798216.96994471j</v>
      </c>
      <c r="AV184" s="136" t="str">
        <f t="shared" si="98"/>
        <v>7996.7139802887-162.102929538278j</v>
      </c>
      <c r="AW184" s="136"/>
      <c r="AX184" s="136" t="str">
        <f t="shared" si="99"/>
        <v>0.499794623768044-0.0101314330961424j</v>
      </c>
      <c r="AY184" s="136"/>
      <c r="AZ184" s="136" t="str">
        <f t="shared" si="100"/>
        <v>4.91558842773461-7.36427529836211j</v>
      </c>
      <c r="BA184" s="136" t="str">
        <f t="shared" si="101"/>
        <v>2.38217400635124-3.73042715735296j</v>
      </c>
      <c r="BB184" s="136">
        <f t="shared" si="125"/>
        <v>12.920530526817622</v>
      </c>
      <c r="BC184" s="136">
        <f t="shared" si="126"/>
        <v>122.56146369697791</v>
      </c>
      <c r="BD184" s="136" t="str">
        <f t="shared" si="102"/>
        <v>19.6229699260642-45.5537884997709j</v>
      </c>
      <c r="BE184" s="136">
        <f t="shared" si="127"/>
        <v>33.909719314899618</v>
      </c>
      <c r="BF184" s="136">
        <f t="shared" si="128"/>
        <v>113.30467782383781</v>
      </c>
      <c r="BG184" s="136"/>
      <c r="BH184" s="136" t="str">
        <f t="shared" si="103"/>
        <v>-3.11331471456193-9.59496249225248j</v>
      </c>
      <c r="BI184" s="136">
        <f t="shared" si="129"/>
        <v>20.075601706455508</v>
      </c>
      <c r="BJ184" s="136">
        <f t="shared" si="130"/>
        <v>72.023107204581024</v>
      </c>
      <c r="BK184" s="136"/>
      <c r="BL184" s="136">
        <f t="shared" si="131"/>
        <v>-19.075601706455508</v>
      </c>
      <c r="BM184" s="136">
        <f t="shared" si="132"/>
        <v>-72.023107204581024</v>
      </c>
      <c r="BN184" s="136"/>
      <c r="BO184" s="189"/>
      <c r="BP184" s="189" t="str">
        <f t="shared" si="104"/>
        <v>0.00001+2.50138112470457E-06j</v>
      </c>
      <c r="BQ184" s="189" t="str">
        <f t="shared" si="105"/>
        <v>4.31445093828213E-07+1.07801718410456E-06j</v>
      </c>
      <c r="BR184" s="189" t="str">
        <f t="shared" si="106"/>
        <v>-0.0105147175842641-0.0275307559987865j</v>
      </c>
      <c r="BS184" s="189" t="str">
        <f t="shared" si="107"/>
        <v>0.0000629314450938282+3.57939830880913E-06j</v>
      </c>
      <c r="BT184" s="189" t="str">
        <f t="shared" si="133"/>
        <v>-5.63162830868933E-07-1.77018662186793E-06j</v>
      </c>
      <c r="BU184" s="189" t="str">
        <f t="shared" si="134"/>
        <v>-4.31445093828213E-07-1.07801718410456E-06j</v>
      </c>
      <c r="BV184" s="189" t="str">
        <f t="shared" si="135"/>
        <v>-9.94607924697146E-07-2.84820380597249E-06j</v>
      </c>
      <c r="BW184" s="189" t="str">
        <f t="shared" si="108"/>
        <v>0.99998415131771-0.00398100880542247j</v>
      </c>
      <c r="BX184" s="189" t="str">
        <f t="shared" si="136"/>
        <v>-0.00001-2.50138112470457E-06j</v>
      </c>
      <c r="BY184" s="189" t="str">
        <f t="shared" si="137"/>
        <v>1.86417081486692-2.86344693834851j</v>
      </c>
      <c r="BZ184" s="136">
        <f t="shared" si="138"/>
        <v>10.672368459733022</v>
      </c>
      <c r="CA184" s="136">
        <f t="shared" si="139"/>
        <v>123.06506695914534</v>
      </c>
      <c r="CB184" s="189" t="str">
        <f t="shared" si="109"/>
        <v>15.4565456812883-35.0309667527025j</v>
      </c>
      <c r="CC184" s="136" t="str">
        <f t="shared" si="110"/>
        <v>-2.33814336528965-7.42771561638993j</v>
      </c>
      <c r="CD184" s="136">
        <f t="shared" si="140"/>
        <v>17.827439639370922</v>
      </c>
      <c r="CE184" s="136">
        <f t="shared" si="141"/>
        <v>72.526710466748426</v>
      </c>
      <c r="CF184" s="136"/>
      <c r="CG184" s="136">
        <f t="shared" si="142"/>
        <v>-16.827439639370922</v>
      </c>
      <c r="CH184" s="136">
        <f t="shared" si="143"/>
        <v>-72.526710466748426</v>
      </c>
      <c r="CI184" s="77"/>
      <c r="CJ184" s="189"/>
      <c r="CK184" s="189"/>
      <c r="CL184" s="189"/>
      <c r="CM184" s="77"/>
      <c r="CN184" s="189">
        <v>26302.6799189538</v>
      </c>
      <c r="CO184" s="189">
        <v>2.36947523576934</v>
      </c>
      <c r="CP184" s="189">
        <v>99.205945557449496</v>
      </c>
      <c r="CQ184" s="74"/>
      <c r="CR184" s="75"/>
      <c r="CS184" s="75"/>
      <c r="CT184" s="75"/>
      <c r="CU184" s="74"/>
      <c r="CV184" s="75"/>
      <c r="CW184" s="75"/>
      <c r="CX184" s="75"/>
      <c r="CY184" s="74"/>
      <c r="CZ184" s="75"/>
      <c r="DA184" s="75"/>
      <c r="DB184" s="75"/>
      <c r="DC184" s="74"/>
      <c r="DD184" s="75"/>
      <c r="DE184" s="75"/>
      <c r="DF184" s="75"/>
      <c r="DG184" s="74"/>
      <c r="DH184" s="75"/>
      <c r="DI184" s="75"/>
      <c r="DJ184" s="75"/>
      <c r="DK184" s="74"/>
      <c r="DL184" s="75"/>
      <c r="DM184" s="75"/>
      <c r="DN184" s="75"/>
      <c r="DO184" s="76"/>
    </row>
    <row r="185" spans="1:119" x14ac:dyDescent="0.25">
      <c r="A185" s="136">
        <v>136</v>
      </c>
      <c r="B185" s="136">
        <f t="shared" si="144"/>
        <v>12022.644346174151</v>
      </c>
      <c r="C185" s="136" t="str">
        <f t="shared" si="151"/>
        <v>75540.5023093271j</v>
      </c>
      <c r="D185" s="136">
        <f t="shared" si="145"/>
        <v>0.99638640057313521</v>
      </c>
      <c r="E185" s="136" t="str">
        <f t="shared" si="146"/>
        <v>-0.0944256278866589j</v>
      </c>
      <c r="F185" s="136" t="str">
        <f t="shared" si="152"/>
        <v>0.996386400573135-0.0944256278866589j</v>
      </c>
      <c r="G185" s="136">
        <f t="shared" si="153"/>
        <v>7.3856622893013991E-3</v>
      </c>
      <c r="H185" s="136">
        <f t="shared" si="154"/>
        <v>-5.41364312661804</v>
      </c>
      <c r="I185" s="136"/>
      <c r="J185" s="136">
        <f t="shared" si="147"/>
        <v>7.0726915520628681</v>
      </c>
      <c r="K185" s="136" t="str">
        <f t="shared" si="148"/>
        <v>1+5.54462250916974j</v>
      </c>
      <c r="L185" s="136">
        <f t="shared" si="149"/>
        <v>-0.6786657793612918</v>
      </c>
      <c r="M185" s="136" t="str">
        <f t="shared" si="150"/>
        <v>0.405779832864704j</v>
      </c>
      <c r="N185" s="136" t="str">
        <f t="shared" si="155"/>
        <v>-0.678665779361292+0.405779832864704j</v>
      </c>
      <c r="O185" s="136" t="str">
        <f t="shared" si="84"/>
        <v>1.66775849828874+2.19000620941707j</v>
      </c>
      <c r="P185" s="136" t="str">
        <f t="shared" si="85"/>
        <v>11.7955414417278+15.4892384163093j</v>
      </c>
      <c r="Q185" s="136"/>
      <c r="R185" s="136">
        <f t="shared" si="86"/>
        <v>11.787819253438114</v>
      </c>
      <c r="S185" s="136" t="str">
        <f t="shared" si="87"/>
        <v>1+0.00176898358881942j</v>
      </c>
      <c r="T185" s="136" t="str">
        <f t="shared" si="88"/>
        <v>0.78866849924528+0.14397611778136j</v>
      </c>
      <c r="U185" s="136" t="str">
        <f t="shared" si="111"/>
        <v>1.22746210785042-0.221837496477461j</v>
      </c>
      <c r="V185" s="136" t="str">
        <f t="shared" si="112"/>
        <v>14.4691014677849-2.61498031211152j</v>
      </c>
      <c r="W185" s="136"/>
      <c r="X185" s="136" t="str">
        <f t="shared" si="89"/>
        <v>2.90295978506539+3.55809024866241j</v>
      </c>
      <c r="Y185" s="136">
        <f t="shared" si="113"/>
        <v>13.240185408434771</v>
      </c>
      <c r="Z185" s="136">
        <f t="shared" si="114"/>
        <v>-129.21017366686175</v>
      </c>
      <c r="AA185" s="136"/>
      <c r="AB185" s="136" t="str">
        <f t="shared" si="90"/>
        <v>11.3745537550217-2.05570706616859j</v>
      </c>
      <c r="AC185" s="136">
        <f t="shared" si="115"/>
        <v>21.258272773401483</v>
      </c>
      <c r="AD185" s="136">
        <f t="shared" si="116"/>
        <v>169.75559636378728</v>
      </c>
      <c r="AE185" s="136"/>
      <c r="AF185" s="136" t="str">
        <f t="shared" si="117"/>
        <v>1.32936220364735-1.73860304322683j</v>
      </c>
      <c r="AG185" s="136">
        <f t="shared" si="118"/>
        <v>6.8033047324859215</v>
      </c>
      <c r="AH185" s="136">
        <f t="shared" si="119"/>
        <v>127.40207568139297</v>
      </c>
      <c r="AI185" s="136"/>
      <c r="AJ185" s="136" t="str">
        <f t="shared" si="91"/>
        <v>93297.6019331439-25006.3525296877j</v>
      </c>
      <c r="AK185" s="136" t="str">
        <f t="shared" si="92"/>
        <v>19047.6106574958-12.6416692228374j</v>
      </c>
      <c r="AL185" s="136" t="str">
        <f t="shared" si="93"/>
        <v>10000-829101.34154805j</v>
      </c>
      <c r="AM185" s="136" t="str">
        <f t="shared" si="94"/>
        <v>963.072484276917-257315.323831932j</v>
      </c>
      <c r="AN185" s="136" t="str">
        <f t="shared" si="120"/>
        <v>10963.0724842769-257315.323831932j</v>
      </c>
      <c r="AO185" s="136" t="str">
        <f t="shared" si="121"/>
        <v>18883.5400923636-1403.42498928552j</v>
      </c>
      <c r="AP185" s="136" t="str">
        <f t="shared" si="122"/>
        <v>0.161558091199433+0.0358660523609934j</v>
      </c>
      <c r="AQ185" s="136" t="str">
        <f t="shared" si="95"/>
        <v>1+0.428844506380466j</v>
      </c>
      <c r="AR185" s="136" t="str">
        <f t="shared" si="96"/>
        <v>1+0.000855977058643644j</v>
      </c>
      <c r="AS185" s="136" t="str">
        <f t="shared" si="97"/>
        <v>1.34281936060383E-06j</v>
      </c>
      <c r="AT185" s="136" t="str">
        <f t="shared" si="123"/>
        <v>-1.14942256657941E-09+1.34281936060383E-06j</v>
      </c>
      <c r="AU185" s="179" t="str">
        <f t="shared" si="124"/>
        <v>318723.596257804-744974.623872121j</v>
      </c>
      <c r="AV185" s="136" t="str">
        <f t="shared" si="98"/>
        <v>7996.22737414928-173.685848876413j</v>
      </c>
      <c r="AW185" s="136"/>
      <c r="AX185" s="136" t="str">
        <f t="shared" si="99"/>
        <v>0.49976421088433-0.0108553655547758j</v>
      </c>
      <c r="AY185" s="136"/>
      <c r="AZ185" s="136" t="str">
        <f t="shared" si="100"/>
        <v>4.91901892756047-6.78779202905883j</v>
      </c>
      <c r="BA185" s="136" t="str">
        <f t="shared" si="101"/>
        <v>2.38466564887211-3.44569327567906j</v>
      </c>
      <c r="BB185" s="136">
        <f t="shared" si="125"/>
        <v>12.445104736142403</v>
      </c>
      <c r="BC185" s="136">
        <f t="shared" si="126"/>
        <v>124.68599910434304</v>
      </c>
      <c r="BD185" s="136" t="str">
        <f t="shared" si="102"/>
        <v>20.0411715961864-44.095397412364j</v>
      </c>
      <c r="BE185" s="136">
        <f t="shared" si="127"/>
        <v>33.703377509543849</v>
      </c>
      <c r="BF185" s="136">
        <f t="shared" si="128"/>
        <v>114.4415954681303</v>
      </c>
      <c r="BG185" s="136"/>
      <c r="BH185" s="136" t="str">
        <f t="shared" si="103"/>
        <v>-2.82060843317505-8.72656136025708j</v>
      </c>
      <c r="BI185" s="136">
        <f t="shared" si="129"/>
        <v>19.248409468628299</v>
      </c>
      <c r="BJ185" s="136">
        <f t="shared" si="130"/>
        <v>72.088074785736083</v>
      </c>
      <c r="BK185" s="136"/>
      <c r="BL185" s="136">
        <f t="shared" si="131"/>
        <v>-18.248409468628299</v>
      </c>
      <c r="BM185" s="136">
        <f t="shared" si="132"/>
        <v>-72.088074785736083</v>
      </c>
      <c r="BN185" s="136"/>
      <c r="BO185" s="189"/>
      <c r="BP185" s="189" t="str">
        <f t="shared" si="104"/>
        <v>0.00001+2.68027816487791E-06j</v>
      </c>
      <c r="BQ185" s="189" t="str">
        <f t="shared" si="105"/>
        <v>4.85435922633233E-07+1.13196255381796E-06j</v>
      </c>
      <c r="BR185" s="189" t="str">
        <f t="shared" si="106"/>
        <v>-0.0118161865812216-0.0289852124476012j</v>
      </c>
      <c r="BS185" s="189" t="str">
        <f t="shared" si="107"/>
        <v>0.0000629854359226332+3.81224071869587E-06j</v>
      </c>
      <c r="BT185" s="189" t="str">
        <f t="shared" si="133"/>
        <v>-6.33749055628616E-07-1.87069238894694E-06j</v>
      </c>
      <c r="BU185" s="189" t="str">
        <f t="shared" si="134"/>
        <v>-4.85435922633233E-07-1.13196255381796E-06j</v>
      </c>
      <c r="BV185" s="189" t="str">
        <f t="shared" si="135"/>
        <v>-1.11918497826185E-06-0.0000030026549427649j</v>
      </c>
      <c r="BW185" s="189" t="str">
        <f t="shared" si="108"/>
        <v>0.99998180332076-0.0042657177732565j</v>
      </c>
      <c r="BX185" s="189" t="str">
        <f t="shared" si="136"/>
        <v>-0.00001-2.68027816487791E-06j</v>
      </c>
      <c r="BY185" s="189" t="str">
        <f t="shared" si="137"/>
        <v>1.86240829101728-2.63995434434325j</v>
      </c>
      <c r="BZ185" s="136">
        <f t="shared" si="138"/>
        <v>10.186141130073072</v>
      </c>
      <c r="CA185" s="136">
        <f t="shared" si="139"/>
        <v>125.2018166429782</v>
      </c>
      <c r="CB185" s="189" t="str">
        <f t="shared" si="109"/>
        <v>15.7570904199452-33.8568684844704j</v>
      </c>
      <c r="CC185" s="136" t="str">
        <f t="shared" si="110"/>
        <v>-2.11401746721721-6.74744424721804j</v>
      </c>
      <c r="CD185" s="136">
        <f t="shared" si="140"/>
        <v>16.989445862558959</v>
      </c>
      <c r="CE185" s="136">
        <f t="shared" si="141"/>
        <v>72.603892324371344</v>
      </c>
      <c r="CF185" s="136"/>
      <c r="CG185" s="136">
        <f t="shared" si="142"/>
        <v>-15.989445862558959</v>
      </c>
      <c r="CH185" s="136">
        <f t="shared" si="143"/>
        <v>-72.603892324371344</v>
      </c>
      <c r="CI185" s="77"/>
      <c r="CJ185" s="189"/>
      <c r="CK185" s="189"/>
      <c r="CL185" s="189"/>
      <c r="CM185" s="77"/>
      <c r="CN185" s="189">
        <v>27542.287033381599</v>
      </c>
      <c r="CO185" s="189">
        <v>2.0766313280804898</v>
      </c>
      <c r="CP185" s="189">
        <v>100.172437636371</v>
      </c>
      <c r="CQ185" s="74"/>
      <c r="CR185" s="75"/>
      <c r="CS185" s="75"/>
      <c r="CT185" s="75"/>
      <c r="CU185" s="74"/>
      <c r="CV185" s="75"/>
      <c r="CW185" s="75"/>
      <c r="CX185" s="75"/>
      <c r="CY185" s="74"/>
      <c r="CZ185" s="75"/>
      <c r="DA185" s="75"/>
      <c r="DB185" s="75"/>
      <c r="DC185" s="74"/>
      <c r="DD185" s="75"/>
      <c r="DE185" s="75"/>
      <c r="DF185" s="75"/>
      <c r="DG185" s="74"/>
      <c r="DH185" s="75"/>
      <c r="DI185" s="75"/>
      <c r="DJ185" s="75"/>
      <c r="DK185" s="74"/>
      <c r="DL185" s="75"/>
      <c r="DM185" s="75"/>
      <c r="DN185" s="75"/>
      <c r="DO185" s="76"/>
    </row>
    <row r="186" spans="1:119" x14ac:dyDescent="0.25">
      <c r="A186" s="136">
        <v>137</v>
      </c>
      <c r="B186" s="136">
        <f t="shared" si="144"/>
        <v>12882.495516931338</v>
      </c>
      <c r="C186" s="136" t="str">
        <f t="shared" si="151"/>
        <v>80943.1065517899j</v>
      </c>
      <c r="D186" s="136">
        <f t="shared" si="145"/>
        <v>0.99585103273140607</v>
      </c>
      <c r="E186" s="136" t="str">
        <f t="shared" si="146"/>
        <v>-0.101178883189737j</v>
      </c>
      <c r="F186" s="136" t="str">
        <f t="shared" si="152"/>
        <v>0.995851032731406-0.101178883189737j</v>
      </c>
      <c r="G186" s="136">
        <f t="shared" si="153"/>
        <v>8.4884352554901368E-3</v>
      </c>
      <c r="H186" s="136">
        <f t="shared" si="154"/>
        <v>-5.801368095233169</v>
      </c>
      <c r="I186" s="136"/>
      <c r="J186" s="136">
        <f t="shared" si="147"/>
        <v>7.0726915520628681</v>
      </c>
      <c r="K186" s="136" t="str">
        <f t="shared" si="148"/>
        <v>1+5.94117005883034j</v>
      </c>
      <c r="L186" s="136">
        <f t="shared" si="149"/>
        <v>-0.92736619385655072</v>
      </c>
      <c r="M186" s="136" t="str">
        <f t="shared" si="150"/>
        <v>0.434800924590619j</v>
      </c>
      <c r="N186" s="136" t="str">
        <f t="shared" si="155"/>
        <v>-0.927366193856551+0.434800924590619j</v>
      </c>
      <c r="O186" s="136" t="str">
        <f t="shared" si="84"/>
        <v>1.81215413626786+2.41423149812496j</v>
      </c>
      <c r="P186" s="136" t="str">
        <f t="shared" si="85"/>
        <v>12.8168072506175+17.0751147215125j</v>
      </c>
      <c r="Q186" s="136"/>
      <c r="R186" s="136">
        <f t="shared" si="86"/>
        <v>11.787819253438114</v>
      </c>
      <c r="S186" s="136" t="str">
        <f t="shared" si="87"/>
        <v>1+0.00189550006606851j</v>
      </c>
      <c r="T186" s="136" t="str">
        <f t="shared" si="88"/>
        <v>0.757358972072098+0.15427318969589j</v>
      </c>
      <c r="U186" s="136" t="str">
        <f t="shared" si="111"/>
        <v>1.26826329230245-0.255841061579443j</v>
      </c>
      <c r="V186" s="136" t="str">
        <f t="shared" si="112"/>
        <v>14.9500584554316-3.0158081915062j</v>
      </c>
      <c r="W186" s="136"/>
      <c r="X186" s="136" t="str">
        <f t="shared" si="89"/>
        <v>3.16567975817653+3.91634658635688j</v>
      </c>
      <c r="Y186" s="136">
        <f t="shared" si="113"/>
        <v>14.041372428528685</v>
      </c>
      <c r="Z186" s="136">
        <f t="shared" si="114"/>
        <v>-128.94946569883135</v>
      </c>
      <c r="AA186" s="136"/>
      <c r="AB186" s="136" t="str">
        <f t="shared" si="90"/>
        <v>11.7526471094722-2.3708087517043j</v>
      </c>
      <c r="AC186" s="136">
        <f t="shared" si="115"/>
        <v>21.575941013925366</v>
      </c>
      <c r="AD186" s="136">
        <f t="shared" si="116"/>
        <v>168.59503709266514</v>
      </c>
      <c r="AE186" s="136"/>
      <c r="AF186" s="136" t="str">
        <f t="shared" si="117"/>
        <v>1.21358385881455-1.71007474601186j</v>
      </c>
      <c r="AG186" s="136">
        <f t="shared" si="118"/>
        <v>6.4317043347138778</v>
      </c>
      <c r="AH186" s="136">
        <f t="shared" si="119"/>
        <v>125.36207029685511</v>
      </c>
      <c r="AI186" s="136"/>
      <c r="AJ186" s="136" t="str">
        <f t="shared" si="91"/>
        <v>92380.2800286141-26531.3374087372j</v>
      </c>
      <c r="AK186" s="136" t="str">
        <f t="shared" si="92"/>
        <v>19047.6094144693-13.5457917387145j</v>
      </c>
      <c r="AL186" s="136" t="str">
        <f t="shared" si="93"/>
        <v>10000-773762.392796272j</v>
      </c>
      <c r="AM186" s="136" t="str">
        <f t="shared" si="94"/>
        <v>963.062612723344-240141.740171474j</v>
      </c>
      <c r="AN186" s="136" t="str">
        <f t="shared" si="120"/>
        <v>10963.0626127233-240141.740171474j</v>
      </c>
      <c r="AO186" s="136" t="str">
        <f t="shared" si="121"/>
        <v>18859.6094396216-1500.7886558668j</v>
      </c>
      <c r="AP186" s="136" t="str">
        <f t="shared" si="122"/>
        <v>0.161788428957667+0.0384204455413097j</v>
      </c>
      <c r="AQ186" s="136" t="str">
        <f t="shared" si="95"/>
        <v>1+0.45951516753176j</v>
      </c>
      <c r="AR186" s="136" t="str">
        <f t="shared" si="96"/>
        <v>1+0.000917195943177166j</v>
      </c>
      <c r="AS186" s="136" t="str">
        <f t="shared" si="97"/>
        <v>1.43885686833382E-06j</v>
      </c>
      <c r="AT186" s="136" t="str">
        <f t="shared" si="123"/>
        <v>-1.31971368244838E-09+1.43885686833382E-06j</v>
      </c>
      <c r="AU186" s="179" t="str">
        <f t="shared" si="124"/>
        <v>318723.561659854-695288.49315201j</v>
      </c>
      <c r="AV186" s="136" t="str">
        <f t="shared" si="98"/>
        <v>7995.66874857426-186.094738418422j</v>
      </c>
      <c r="AW186" s="136"/>
      <c r="AX186" s="136" t="str">
        <f t="shared" si="99"/>
        <v>0.499729296785891-0.0116309211511514j</v>
      </c>
      <c r="AY186" s="136"/>
      <c r="AZ186" s="136" t="str">
        <f t="shared" si="100"/>
        <v>4.92295606768001-6.24375001710177j</v>
      </c>
      <c r="BA186" s="136" t="str">
        <f t="shared" si="101"/>
        <v>2.38752480967316-3.17744331920693j</v>
      </c>
      <c r="BB186" s="136">
        <f t="shared" si="125"/>
        <v>11.985586933644681</v>
      </c>
      <c r="BC186" s="136">
        <f t="shared" si="126"/>
        <v>126.92112986833376</v>
      </c>
      <c r="BD186" s="136" t="str">
        <f t="shared" si="102"/>
        <v>20.5266261239784-43.0037347546735j</v>
      </c>
      <c r="BE186" s="136">
        <f t="shared" si="127"/>
        <v>33.561527947570077</v>
      </c>
      <c r="BF186" s="136">
        <f t="shared" si="128"/>
        <v>115.51616696099894</v>
      </c>
      <c r="BG186" s="136"/>
      <c r="BH186" s="136" t="str">
        <f t="shared" si="103"/>
        <v>-2.53620400552125-7.93893980698654j</v>
      </c>
      <c r="BI186" s="136">
        <f t="shared" si="129"/>
        <v>18.4172912683586</v>
      </c>
      <c r="BJ186" s="136">
        <f t="shared" si="130"/>
        <v>72.283200165188916</v>
      </c>
      <c r="BK186" s="136"/>
      <c r="BL186" s="136">
        <f t="shared" si="131"/>
        <v>-17.4172912683586</v>
      </c>
      <c r="BM186" s="136">
        <f t="shared" si="132"/>
        <v>-72.283200165188916</v>
      </c>
      <c r="BN186" s="136"/>
      <c r="BO186" s="189"/>
      <c r="BP186" s="189" t="str">
        <f t="shared" si="104"/>
        <v>0.00001+0.0000028719697970735j</v>
      </c>
      <c r="BQ186" s="189" t="str">
        <f t="shared" si="105"/>
        <v>5.44816545335606E-07+1.18563343243278E-06j</v>
      </c>
      <c r="BR186" s="189" t="str">
        <f t="shared" si="106"/>
        <v>-0.0132555851478906-0.0304484630956279j</v>
      </c>
      <c r="BS186" s="189" t="str">
        <f t="shared" si="107"/>
        <v>0.0000630448165453356+4.05760322950628E-06j</v>
      </c>
      <c r="BT186" s="189" t="str">
        <f t="shared" si="133"/>
        <v>-7.12148151659516E-07-1.97340367505636E-06j</v>
      </c>
      <c r="BU186" s="189" t="str">
        <f t="shared" si="134"/>
        <v>-5.44816545335606E-07-1.18563343243278E-06j</v>
      </c>
      <c r="BV186" s="189" t="str">
        <f t="shared" si="135"/>
        <v>-1.25696469699512E-06-3.15903710748914E-06j</v>
      </c>
      <c r="BW186" s="189" t="str">
        <f t="shared" si="108"/>
        <v>0.999979107473155-0.0045707866223379j</v>
      </c>
      <c r="BX186" s="189" t="str">
        <f t="shared" si="136"/>
        <v>-0.00001-0.0000028719697970735j</v>
      </c>
      <c r="BY186" s="189" t="str">
        <f t="shared" si="137"/>
        <v>1.86115374662802-2.42906728207672j</v>
      </c>
      <c r="BZ186" s="136">
        <f t="shared" si="138"/>
        <v>9.714735158207171</v>
      </c>
      <c r="CA186" s="136">
        <f t="shared" si="139"/>
        <v>127.45937145615028</v>
      </c>
      <c r="CB186" s="189" t="str">
        <f t="shared" si="109"/>
        <v>16.1146292297652-32.9604101621855j</v>
      </c>
      <c r="CC186" s="136" t="str">
        <f t="shared" si="110"/>
        <v>-1.89522046976307-6.1305888660568j</v>
      </c>
      <c r="CD186" s="136">
        <f t="shared" si="140"/>
        <v>16.146439492921086</v>
      </c>
      <c r="CE186" s="136">
        <f t="shared" si="141"/>
        <v>72.821441753005502</v>
      </c>
      <c r="CF186" s="136"/>
      <c r="CG186" s="136">
        <f t="shared" si="142"/>
        <v>-15.146439492921086</v>
      </c>
      <c r="CH186" s="136">
        <f t="shared" si="143"/>
        <v>-72.821441753005502</v>
      </c>
      <c r="CI186" s="77"/>
      <c r="CJ186" s="189"/>
      <c r="CK186" s="189"/>
      <c r="CL186" s="189"/>
      <c r="CM186" s="77"/>
      <c r="CN186" s="189">
        <v>28840.315031266</v>
      </c>
      <c r="CO186" s="189">
        <v>1.7948310781741299</v>
      </c>
      <c r="CP186" s="189">
        <v>101.10163323333499</v>
      </c>
      <c r="CQ186" s="74"/>
      <c r="CR186" s="75"/>
      <c r="CS186" s="75"/>
      <c r="CT186" s="75"/>
      <c r="CU186" s="74"/>
      <c r="CV186" s="75"/>
      <c r="CW186" s="75"/>
      <c r="CX186" s="75"/>
      <c r="CY186" s="74"/>
      <c r="CZ186" s="75"/>
      <c r="DA186" s="75"/>
      <c r="DB186" s="75"/>
      <c r="DC186" s="74"/>
      <c r="DD186" s="75"/>
      <c r="DE186" s="75"/>
      <c r="DF186" s="75"/>
      <c r="DG186" s="74"/>
      <c r="DH186" s="75"/>
      <c r="DI186" s="75"/>
      <c r="DJ186" s="75"/>
      <c r="DK186" s="74"/>
      <c r="DL186" s="75"/>
      <c r="DM186" s="75"/>
      <c r="DN186" s="75"/>
      <c r="DO186" s="76"/>
    </row>
    <row r="187" spans="1:119" x14ac:dyDescent="0.25">
      <c r="A187" s="136">
        <v>138</v>
      </c>
      <c r="B187" s="136">
        <f t="shared" si="144"/>
        <v>13803.842646028841</v>
      </c>
      <c r="C187" s="136" t="str">
        <f t="shared" si="151"/>
        <v>86732.1012961474j</v>
      </c>
      <c r="D187" s="136">
        <f t="shared" si="145"/>
        <v>0.99523634820509188</v>
      </c>
      <c r="E187" s="136" t="str">
        <f t="shared" si="146"/>
        <v>-0.108415126620184j</v>
      </c>
      <c r="F187" s="136" t="str">
        <f t="shared" si="152"/>
        <v>0.995236348205092-0.108415126620184j</v>
      </c>
      <c r="G187" s="136">
        <f t="shared" si="153"/>
        <v>9.757306028537251E-3</v>
      </c>
      <c r="H187" s="136">
        <f t="shared" si="154"/>
        <v>-6.216947278180613</v>
      </c>
      <c r="I187" s="136"/>
      <c r="J187" s="136">
        <f t="shared" si="147"/>
        <v>7.0726915520628681</v>
      </c>
      <c r="K187" s="136" t="str">
        <f t="shared" si="148"/>
        <v>1+6.36607841373636j</v>
      </c>
      <c r="L187" s="136">
        <f t="shared" si="149"/>
        <v>-1.2129124754270584</v>
      </c>
      <c r="M187" s="136" t="str">
        <f t="shared" si="150"/>
        <v>0.465897584634009j</v>
      </c>
      <c r="N187" s="136" t="str">
        <f t="shared" si="155"/>
        <v>-1.21291247542706+0.465897584634009j</v>
      </c>
      <c r="O187" s="136" t="str">
        <f t="shared" si="84"/>
        <v>1.998687108793+2.67305870490179j</v>
      </c>
      <c r="P187" s="136" t="str">
        <f t="shared" si="85"/>
        <v>14.1360974295772+18.905719720327j</v>
      </c>
      <c r="Q187" s="136"/>
      <c r="R187" s="136">
        <f t="shared" si="86"/>
        <v>11.787819253438114</v>
      </c>
      <c r="S187" s="136" t="str">
        <f t="shared" si="87"/>
        <v>1+0.00203106491387157j</v>
      </c>
      <c r="T187" s="136" t="str">
        <f t="shared" si="88"/>
        <v>0.721410825060853+0.16530670103973j</v>
      </c>
      <c r="U187" s="136" t="str">
        <f t="shared" si="111"/>
        <v>1.31763313613161-0.299111843771509j</v>
      </c>
      <c r="V187" s="136" t="str">
        <f t="shared" si="112"/>
        <v>15.5320212510602-3.52587635094117j</v>
      </c>
      <c r="W187" s="136"/>
      <c r="X187" s="136" t="str">
        <f t="shared" si="89"/>
        <v>3.50334478881344+4.32777311407967j</v>
      </c>
      <c r="Y187" s="136">
        <f t="shared" si="113"/>
        <v>14.914043483712982</v>
      </c>
      <c r="Z187" s="136">
        <f t="shared" si="114"/>
        <v>-128.99026951480869</v>
      </c>
      <c r="AA187" s="136"/>
      <c r="AB187" s="136" t="str">
        <f t="shared" si="90"/>
        <v>12.2101438736658-2.77178718917919j</v>
      </c>
      <c r="AC187" s="136">
        <f t="shared" si="115"/>
        <v>21.952641153077693</v>
      </c>
      <c r="AD187" s="136">
        <f t="shared" si="116"/>
        <v>167.21021622464983</v>
      </c>
      <c r="AE187" s="136"/>
      <c r="AF187" s="136" t="str">
        <f t="shared" si="117"/>
        <v>1.10205368877247-1.67458319701699j</v>
      </c>
      <c r="AG187" s="136">
        <f t="shared" si="118"/>
        <v>6.0409112175007671</v>
      </c>
      <c r="AH187" s="136">
        <f t="shared" si="119"/>
        <v>123.34916499994813</v>
      </c>
      <c r="AI187" s="136"/>
      <c r="AJ187" s="136" t="str">
        <f t="shared" si="91"/>
        <v>91349.0505462311-28111.4926484743j</v>
      </c>
      <c r="AK187" s="136" t="str">
        <f t="shared" si="92"/>
        <v>19047.6079872841-14.5145762652232j</v>
      </c>
      <c r="AL187" s="136" t="str">
        <f t="shared" si="93"/>
        <v>10000-722117.080872091j</v>
      </c>
      <c r="AM187" s="136" t="str">
        <f t="shared" si="94"/>
        <v>963.051278912917-224114.498544926j</v>
      </c>
      <c r="AN187" s="136" t="str">
        <f t="shared" si="120"/>
        <v>10963.0512789129-224114.498544926j</v>
      </c>
      <c r="AO187" s="136" t="str">
        <f t="shared" si="121"/>
        <v>18832.2516050339-1604.43891222403j</v>
      </c>
      <c r="AP187" s="136" t="str">
        <f t="shared" si="122"/>
        <v>0.162052733642602+0.0411550661162092j</v>
      </c>
      <c r="AQ187" s="136" t="str">
        <f t="shared" si="95"/>
        <v>1+0.492379373059774j</v>
      </c>
      <c r="AR187" s="136" t="str">
        <f t="shared" si="96"/>
        <v>1+0.000982793159799949j</v>
      </c>
      <c r="AS187" s="136" t="str">
        <f t="shared" si="97"/>
        <v>1.54176291189342E-06j</v>
      </c>
      <c r="AT187" s="136" t="str">
        <f t="shared" si="123"/>
        <v>-1.5152340438421E-09+1.54176291189342E-06j</v>
      </c>
      <c r="AU187" s="179" t="str">
        <f t="shared" si="124"/>
        <v>318723.521936099-648921.395769165j</v>
      </c>
      <c r="AV187" s="136" t="str">
        <f t="shared" si="98"/>
        <v>7995.02745684419-199.388111634249j</v>
      </c>
      <c r="AW187" s="136"/>
      <c r="AX187" s="136" t="str">
        <f t="shared" si="99"/>
        <v>0.499689216052762-0.0124617569771406j</v>
      </c>
      <c r="AY187" s="136"/>
      <c r="AZ187" s="136" t="str">
        <f t="shared" si="100"/>
        <v>4.92747440064164-5.72956117217119j</v>
      </c>
      <c r="BA187" s="136" t="str">
        <f t="shared" si="101"/>
        <v>2.39080542146342-2.92440491894044j</v>
      </c>
      <c r="BB187" s="136">
        <f t="shared" si="125"/>
        <v>11.543659829628741</v>
      </c>
      <c r="BC187" s="136">
        <f t="shared" si="126"/>
        <v>129.26722457365895</v>
      </c>
      <c r="BD187" s="136" t="str">
        <f t="shared" si="102"/>
        <v>21.0862500797169-42.3342086441513j</v>
      </c>
      <c r="BE187" s="136">
        <f t="shared" si="127"/>
        <v>33.496300982706458</v>
      </c>
      <c r="BF187" s="136">
        <f t="shared" si="128"/>
        <v>116.47744079830879</v>
      </c>
      <c r="BG187" s="136"/>
      <c r="BH187" s="136" t="str">
        <f t="shared" si="103"/>
        <v>-2.26236340467051-7.22645381450243j</v>
      </c>
      <c r="BI187" s="136">
        <f t="shared" si="129"/>
        <v>17.584571047129504</v>
      </c>
      <c r="BJ187" s="136">
        <f t="shared" si="130"/>
        <v>72.616389573607108</v>
      </c>
      <c r="BK187" s="136"/>
      <c r="BL187" s="136">
        <f t="shared" si="131"/>
        <v>-16.584571047129504</v>
      </c>
      <c r="BM187" s="136">
        <f t="shared" si="132"/>
        <v>-72.616389573607108</v>
      </c>
      <c r="BN187" s="136"/>
      <c r="BO187" s="189"/>
      <c r="BP187" s="189" t="str">
        <f t="shared" si="104"/>
        <v>0.00001+3.07737108162359E-06j</v>
      </c>
      <c r="BQ187" s="189" t="str">
        <f t="shared" si="105"/>
        <v>6.09782829502939E-07+1.23844105351853E-06j</v>
      </c>
      <c r="BR187" s="189" t="str">
        <f t="shared" si="106"/>
        <v>-0.0148400738657161-0.0319068972072697j</v>
      </c>
      <c r="BS187" s="189" t="str">
        <f t="shared" si="107"/>
        <v>0.0000631097828295029+4.31581213514212E-06j</v>
      </c>
      <c r="BT187" s="189" t="str">
        <f t="shared" si="133"/>
        <v>-7.98849664677258E-07-2.07768432439013E-06j</v>
      </c>
      <c r="BU187" s="189" t="str">
        <f t="shared" si="134"/>
        <v>-6.09782829502939E-07-1.23844105351853E-06j</v>
      </c>
      <c r="BV187" s="189" t="str">
        <f t="shared" si="135"/>
        <v>-0.0000014086324941802-3.31612537790866E-06j</v>
      </c>
      <c r="BW187" s="189" t="str">
        <f t="shared" si="108"/>
        <v>0.99997601224389-0.00489767094617877j</v>
      </c>
      <c r="BX187" s="189" t="str">
        <f t="shared" si="136"/>
        <v>-0.00001-3.07737108162359E-06j</v>
      </c>
      <c r="BY187" s="189" t="str">
        <f t="shared" si="137"/>
        <v>1.86038310748455-2.22978178865256j</v>
      </c>
      <c r="BZ187" s="136">
        <f t="shared" si="138"/>
        <v>9.259796351270456</v>
      </c>
      <c r="CA187" s="136">
        <f t="shared" si="139"/>
        <v>129.83939617149511</v>
      </c>
      <c r="CB187" s="189" t="str">
        <f t="shared" si="109"/>
        <v>16.5350648060716-32.3825425106187j</v>
      </c>
      <c r="CC187" s="136" t="str">
        <f t="shared" si="110"/>
        <v>-1.68371305015873-5.5727055371501j</v>
      </c>
      <c r="CD187" s="136">
        <f t="shared" si="140"/>
        <v>15.300707568771211</v>
      </c>
      <c r="CE187" s="136">
        <f t="shared" si="141"/>
        <v>73.188561171443212</v>
      </c>
      <c r="CF187" s="136"/>
      <c r="CG187" s="136">
        <f t="shared" si="142"/>
        <v>-14.300707568771211</v>
      </c>
      <c r="CH187" s="136">
        <f t="shared" si="143"/>
        <v>-73.188561171443212</v>
      </c>
      <c r="CI187" s="77"/>
      <c r="CJ187" s="189"/>
      <c r="CK187" s="189"/>
      <c r="CL187" s="189"/>
      <c r="CM187" s="77"/>
      <c r="CN187" s="189">
        <v>30199.5172040201</v>
      </c>
      <c r="CO187" s="189">
        <v>1.52395400868401</v>
      </c>
      <c r="CP187" s="189">
        <v>101.989004650285</v>
      </c>
      <c r="CQ187" s="74"/>
      <c r="CR187" s="75"/>
      <c r="CS187" s="75"/>
      <c r="CT187" s="75"/>
      <c r="CU187" s="74"/>
      <c r="CV187" s="75"/>
      <c r="CW187" s="75"/>
      <c r="CX187" s="75"/>
      <c r="CY187" s="74"/>
      <c r="CZ187" s="75"/>
      <c r="DA187" s="75"/>
      <c r="DB187" s="75"/>
      <c r="DC187" s="74"/>
      <c r="DD187" s="75"/>
      <c r="DE187" s="75"/>
      <c r="DF187" s="75"/>
      <c r="DG187" s="74"/>
      <c r="DH187" s="75"/>
      <c r="DI187" s="75"/>
      <c r="DJ187" s="75"/>
      <c r="DK187" s="74"/>
      <c r="DL187" s="75"/>
      <c r="DM187" s="75"/>
      <c r="DN187" s="75"/>
      <c r="DO187" s="76"/>
    </row>
    <row r="188" spans="1:119" x14ac:dyDescent="0.25">
      <c r="A188" s="136">
        <v>139</v>
      </c>
      <c r="B188" s="136">
        <f t="shared" si="144"/>
        <v>14791.083881682089</v>
      </c>
      <c r="C188" s="136" t="str">
        <f t="shared" si="151"/>
        <v>92935.1209226457j</v>
      </c>
      <c r="D188" s="136">
        <f t="shared" si="145"/>
        <v>0.99453059594012616</v>
      </c>
      <c r="E188" s="136" t="str">
        <f t="shared" si="146"/>
        <v>-0.116168901153307j</v>
      </c>
      <c r="F188" s="136" t="str">
        <f t="shared" si="152"/>
        <v>0.994530595940126-0.116168901153307j</v>
      </c>
      <c r="G188" s="136">
        <f t="shared" si="153"/>
        <v>1.1217744327280633E-2</v>
      </c>
      <c r="H188" s="136">
        <f t="shared" si="154"/>
        <v>-6.662400981366102</v>
      </c>
      <c r="I188" s="136"/>
      <c r="J188" s="136">
        <f t="shared" si="147"/>
        <v>7.0726915520628681</v>
      </c>
      <c r="K188" s="136" t="str">
        <f t="shared" si="148"/>
        <v>1+6.82137591897491j</v>
      </c>
      <c r="L188" s="136">
        <f t="shared" si="149"/>
        <v>-1.5407634727172179</v>
      </c>
      <c r="M188" s="136" t="str">
        <f t="shared" si="150"/>
        <v>0.499218256198913j</v>
      </c>
      <c r="N188" s="136" t="str">
        <f t="shared" si="155"/>
        <v>-1.54076347271722+0.499218256198913j</v>
      </c>
      <c r="O188" s="136" t="str">
        <f t="shared" si="84"/>
        <v>2.244804528013+2.97395276559325j</v>
      </c>
      <c r="P188" s="136" t="str">
        <f t="shared" si="85"/>
        <v>15.87681002131+21.0338506014454j</v>
      </c>
      <c r="Q188" s="136"/>
      <c r="R188" s="136">
        <f t="shared" si="86"/>
        <v>11.787819253438114</v>
      </c>
      <c r="S188" s="136" t="str">
        <f t="shared" si="87"/>
        <v>1+0.00217632526540414j</v>
      </c>
      <c r="T188" s="136" t="str">
        <f t="shared" si="88"/>
        <v>0.680136829883791+0.177129321449212j</v>
      </c>
      <c r="U188" s="136" t="str">
        <f t="shared" si="111"/>
        <v>1.37768458101424-0.355593167601309j</v>
      </c>
      <c r="V188" s="136" t="str">
        <f t="shared" si="112"/>
        <v>16.2398968292445-4.19166798744176j</v>
      </c>
      <c r="W188" s="136"/>
      <c r="X188" s="136" t="str">
        <f t="shared" si="89"/>
        <v>3.94624606889124+4.80283279134795j</v>
      </c>
      <c r="Y188" s="136">
        <f t="shared" si="113"/>
        <v>15.870378017554527</v>
      </c>
      <c r="Z188" s="136">
        <f t="shared" si="114"/>
        <v>-129.40822463603729</v>
      </c>
      <c r="AA188" s="136"/>
      <c r="AB188" s="136" t="str">
        <f t="shared" si="90"/>
        <v>12.7666240969783-3.29518408261318j</v>
      </c>
      <c r="AC188" s="136">
        <f t="shared" si="115"/>
        <v>22.401620269050312</v>
      </c>
      <c r="AD188" s="136">
        <f t="shared" si="116"/>
        <v>165.52730158662763</v>
      </c>
      <c r="AE188" s="136"/>
      <c r="AF188" s="136" t="str">
        <f t="shared" si="117"/>
        <v>0.995541857208894-1.63287572981301j</v>
      </c>
      <c r="AG188" s="136">
        <f t="shared" si="118"/>
        <v>5.6317088582392616</v>
      </c>
      <c r="AH188" s="136">
        <f t="shared" si="119"/>
        <v>121.37008714760694</v>
      </c>
      <c r="AI188" s="136"/>
      <c r="AJ188" s="136" t="str">
        <f t="shared" si="91"/>
        <v>90193.0734409768-29740.8279536438j</v>
      </c>
      <c r="AK188" s="136" t="str">
        <f t="shared" si="92"/>
        <v>19047.6063486565-15.552647337567j</v>
      </c>
      <c r="AL188" s="136" t="str">
        <f t="shared" si="93"/>
        <v>10000-673918.871402852j</v>
      </c>
      <c r="AM188" s="136" t="str">
        <f t="shared" si="94"/>
        <v>963.038266286388-209157.091208928j</v>
      </c>
      <c r="AN188" s="136" t="str">
        <f t="shared" si="120"/>
        <v>10963.0382662864-209157.091208928j</v>
      </c>
      <c r="AO188" s="136" t="str">
        <f t="shared" si="121"/>
        <v>18800.9953874199-1714.67594214538j</v>
      </c>
      <c r="AP188" s="136" t="str">
        <f t="shared" si="122"/>
        <v>0.162355987352685+0.0440822403746526j</v>
      </c>
      <c r="AQ188" s="136" t="str">
        <f t="shared" si="95"/>
        <v>1+0.527594003734338j</v>
      </c>
      <c r="AR188" s="136" t="str">
        <f t="shared" si="96"/>
        <v>1+0.00105308184378111j</v>
      </c>
      <c r="AS188" s="136" t="str">
        <f t="shared" si="97"/>
        <v>1.65202872419314E-06j</v>
      </c>
      <c r="AT188" s="136" t="str">
        <f t="shared" si="123"/>
        <v>-1.73972145485267E-09+1.65202872419314E-06j</v>
      </c>
      <c r="AU188" s="179" t="str">
        <f t="shared" si="124"/>
        <v>318723.476327142-605651.993465554j</v>
      </c>
      <c r="AV188" s="136" t="str">
        <f t="shared" si="98"/>
        <v>7994.29128226935-213.62853832556j</v>
      </c>
      <c r="AW188" s="136"/>
      <c r="AX188" s="136" t="str">
        <f t="shared" si="99"/>
        <v>0.499643205141834-0.0133517836453475j</v>
      </c>
      <c r="AY188" s="136"/>
      <c r="AZ188" s="136" t="str">
        <f t="shared" si="100"/>
        <v>4.93265936324232-5.24278195963331j</v>
      </c>
      <c r="BA188" s="136" t="str">
        <f t="shared" si="101"/>
        <v>2.39456924369852-2.68538018278518j</v>
      </c>
      <c r="BB188" s="136">
        <f t="shared" si="125"/>
        <v>11.121097236815453</v>
      </c>
      <c r="BC188" s="136">
        <f t="shared" si="126"/>
        <v>131.72357499346754</v>
      </c>
      <c r="BD188" s="136" t="str">
        <f t="shared" si="102"/>
        <v>21.7217433744061-42.1737858076438j</v>
      </c>
      <c r="BE188" s="136">
        <f t="shared" si="127"/>
        <v>33.522717505865785</v>
      </c>
      <c r="BF188" s="136">
        <f t="shared" si="128"/>
        <v>117.25087658009519</v>
      </c>
      <c r="BG188" s="136"/>
      <c r="BH188" s="136" t="str">
        <f t="shared" si="103"/>
        <v>-2.00099821370382-6.58344237587393j</v>
      </c>
      <c r="BI188" s="136">
        <f t="shared" si="129"/>
        <v>16.752806095054723</v>
      </c>
      <c r="BJ188" s="136">
        <f t="shared" si="130"/>
        <v>73.093662141074532</v>
      </c>
      <c r="BK188" s="136"/>
      <c r="BL188" s="136">
        <f t="shared" si="131"/>
        <v>-15.752806095054723</v>
      </c>
      <c r="BM188" s="136">
        <f t="shared" si="132"/>
        <v>-73.093662141074532</v>
      </c>
      <c r="BN188" s="136"/>
      <c r="BO188" s="189"/>
      <c r="BP188" s="189" t="str">
        <f t="shared" si="104"/>
        <v>0.00001+3.29746252333961E-06j</v>
      </c>
      <c r="BQ188" s="189" t="str">
        <f t="shared" si="105"/>
        <v>6.80452951599785E-07+1.28972836458243E-06j</v>
      </c>
      <c r="BR188" s="189" t="str">
        <f t="shared" si="106"/>
        <v>-0.0165752879662668-0.0333448903165071j</v>
      </c>
      <c r="BS188" s="189" t="str">
        <f t="shared" si="107"/>
        <v>0.0000631804529515998+4.58719088792204E-06j</v>
      </c>
      <c r="BT188" s="189" t="str">
        <f t="shared" si="133"/>
        <v>-8.94274824493297E-07-2.18277928374188E-06j</v>
      </c>
      <c r="BU188" s="189" t="str">
        <f t="shared" si="134"/>
        <v>-6.80452951599785E-07-1.28972836458243E-06j</v>
      </c>
      <c r="BV188" s="189" t="str">
        <f t="shared" si="135"/>
        <v>-1.57472777609308E-06-3.47250764832431E-06j</v>
      </c>
      <c r="BW188" s="189" t="str">
        <f t="shared" si="108"/>
        <v>0.99997245846883-0.00524793031905434j</v>
      </c>
      <c r="BX188" s="189" t="str">
        <f t="shared" si="136"/>
        <v>-0.00001-3.29746252333961E-06j</v>
      </c>
      <c r="BY188" s="189" t="str">
        <f t="shared" si="137"/>
        <v>1.86008151531015-2.04114954612256j</v>
      </c>
      <c r="BZ188" s="136">
        <f t="shared" si="138"/>
        <v>8.8230788955604904</v>
      </c>
      <c r="CA188" s="136">
        <f t="shared" si="139"/>
        <v>132.3426351874229</v>
      </c>
      <c r="CB188" s="189" t="str">
        <f t="shared" si="109"/>
        <v>17.0209980010864-32.1878999826777j</v>
      </c>
      <c r="CC188" s="136" t="str">
        <f t="shared" si="110"/>
        <v>-1.48115454847056-5.06933177181171j</v>
      </c>
      <c r="CD188" s="136">
        <f t="shared" si="140"/>
        <v>14.454787753799769</v>
      </c>
      <c r="CE188" s="136">
        <f t="shared" si="141"/>
        <v>73.712722335029994</v>
      </c>
      <c r="CF188" s="136"/>
      <c r="CG188" s="136">
        <f t="shared" si="142"/>
        <v>-13.454787753799769</v>
      </c>
      <c r="CH188" s="136">
        <f t="shared" si="143"/>
        <v>-73.712722335029994</v>
      </c>
      <c r="CI188" s="77"/>
      <c r="CJ188" s="189"/>
      <c r="CK188" s="189"/>
      <c r="CL188" s="189"/>
      <c r="CM188" s="77"/>
      <c r="CN188" s="189">
        <v>31622.776601683701</v>
      </c>
      <c r="CO188" s="189">
        <v>1.2638453593465999</v>
      </c>
      <c r="CP188" s="189">
        <v>102.829958102958</v>
      </c>
      <c r="CQ188" s="74"/>
      <c r="CR188" s="75"/>
      <c r="CS188" s="75"/>
      <c r="CT188" s="75"/>
      <c r="CU188" s="74"/>
      <c r="CV188" s="75"/>
      <c r="CW188" s="75"/>
      <c r="CX188" s="75"/>
      <c r="CY188" s="74"/>
      <c r="CZ188" s="75"/>
      <c r="DA188" s="75"/>
      <c r="DB188" s="75"/>
      <c r="DC188" s="74"/>
      <c r="DD188" s="75"/>
      <c r="DE188" s="75"/>
      <c r="DF188" s="75"/>
      <c r="DG188" s="74"/>
      <c r="DH188" s="75"/>
      <c r="DI188" s="75"/>
      <c r="DJ188" s="75"/>
      <c r="DK188" s="74"/>
      <c r="DL188" s="75"/>
      <c r="DM188" s="75"/>
      <c r="DN188" s="75"/>
      <c r="DO188" s="76"/>
    </row>
    <row r="189" spans="1:119" x14ac:dyDescent="0.25">
      <c r="A189" s="136">
        <v>140</v>
      </c>
      <c r="B189" s="136">
        <f t="shared" si="144"/>
        <v>15848.931924611146</v>
      </c>
      <c r="C189" s="136" t="str">
        <f t="shared" si="151"/>
        <v>99581.7762032062j</v>
      </c>
      <c r="D189" s="136">
        <f t="shared" si="145"/>
        <v>0.99372028392122602</v>
      </c>
      <c r="E189" s="136" t="str">
        <f t="shared" si="146"/>
        <v>-0.124477220254008j</v>
      </c>
      <c r="F189" s="136" t="str">
        <f t="shared" si="152"/>
        <v>0.993720283921226-0.124477220254008j</v>
      </c>
      <c r="G189" s="136">
        <f t="shared" si="153"/>
        <v>1.2899265851857696E-2</v>
      </c>
      <c r="H189" s="136">
        <f t="shared" si="154"/>
        <v>-7.1399003068019171</v>
      </c>
      <c r="I189" s="136"/>
      <c r="J189" s="136">
        <f t="shared" si="147"/>
        <v>7.0726915520628681</v>
      </c>
      <c r="K189" s="136" t="str">
        <f t="shared" si="148"/>
        <v>1+7.30923598546453j</v>
      </c>
      <c r="L189" s="136">
        <f t="shared" si="149"/>
        <v>-1.9171867825672648</v>
      </c>
      <c r="M189" s="136" t="str">
        <f t="shared" si="150"/>
        <v>0.534921999044188j</v>
      </c>
      <c r="N189" s="136" t="str">
        <f t="shared" si="155"/>
        <v>-1.91718678256726+0.534921999044188j</v>
      </c>
      <c r="O189" s="136" t="str">
        <f t="shared" si="84"/>
        <v>2.57788607365858+3.32539760384184j</v>
      </c>
      <c r="P189" s="136" t="str">
        <f t="shared" si="85"/>
        <v>18.2325930553456+23.5195115399423j</v>
      </c>
      <c r="Q189" s="136"/>
      <c r="R189" s="136">
        <f t="shared" si="86"/>
        <v>11.787819253438114</v>
      </c>
      <c r="S189" s="136" t="str">
        <f t="shared" si="87"/>
        <v>1+0.00233197453635689j</v>
      </c>
      <c r="T189" s="136" t="str">
        <f t="shared" si="88"/>
        <v>0.632747942847599+0.189797487456468j</v>
      </c>
      <c r="U189" s="136" t="str">
        <f t="shared" si="111"/>
        <v>1.45096387854246-0.431542017777623j</v>
      </c>
      <c r="V189" s="136" t="str">
        <f t="shared" si="112"/>
        <v>17.103699943526-5.0869393058266j</v>
      </c>
      <c r="W189" s="136"/>
      <c r="X189" s="136" t="str">
        <f t="shared" si="89"/>
        <v>4.54152252688525+5.35250098030204j</v>
      </c>
      <c r="Y189" s="136">
        <f t="shared" si="113"/>
        <v>16.926239324849291</v>
      </c>
      <c r="Z189" s="136">
        <f t="shared" si="114"/>
        <v>-130.31414088655507</v>
      </c>
      <c r="AA189" s="136"/>
      <c r="AB189" s="136" t="str">
        <f t="shared" si="90"/>
        <v>13.4456831925985-3.99898118839548j</v>
      </c>
      <c r="AC189" s="136">
        <f t="shared" si="115"/>
        <v>22.939770874714252</v>
      </c>
      <c r="AD189" s="136">
        <f t="shared" si="116"/>
        <v>163.4366021584801</v>
      </c>
      <c r="AE189" s="136"/>
      <c r="AF189" s="136" t="str">
        <f t="shared" si="117"/>
        <v>0.894660187008402-1.5857827291617j</v>
      </c>
      <c r="AG189" s="136">
        <f t="shared" si="118"/>
        <v>5.2049974011525162</v>
      </c>
      <c r="AH189" s="136">
        <f t="shared" si="119"/>
        <v>119.43063803720661</v>
      </c>
      <c r="AI189" s="136"/>
      <c r="AJ189" s="136" t="str">
        <f t="shared" si="91"/>
        <v>88901.3968769237-31411.4839035673j</v>
      </c>
      <c r="AK189" s="136" t="str">
        <f t="shared" si="92"/>
        <v>19047.6044672607-16.6649602237012j</v>
      </c>
      <c r="AL189" s="136" t="str">
        <f t="shared" si="93"/>
        <v>10000-628937.685124966j</v>
      </c>
      <c r="AM189" s="136" t="str">
        <f t="shared" si="94"/>
        <v>963.023326225776-195198.117386155j</v>
      </c>
      <c r="AN189" s="136" t="str">
        <f t="shared" si="120"/>
        <v>10963.0233262258-195198.117386155j</v>
      </c>
      <c r="AO189" s="136" t="str">
        <f t="shared" si="121"/>
        <v>18765.310868928-1831.78954173998j</v>
      </c>
      <c r="AP189" s="136" t="str">
        <f t="shared" si="122"/>
        <v>0.162703894421168+0.047215047762347j</v>
      </c>
      <c r="AQ189" s="136" t="str">
        <f t="shared" si="95"/>
        <v>1+0.565327160328944j</v>
      </c>
      <c r="AR189" s="136" t="str">
        <f t="shared" si="96"/>
        <v>1+0.00112839752560667j</v>
      </c>
      <c r="AS189" s="136" t="str">
        <f t="shared" si="97"/>
        <v>1.77018067078001E-06j</v>
      </c>
      <c r="AT189" s="136" t="str">
        <f t="shared" si="123"/>
        <v>-1.99746748878492E-09+1.77018067078001E-06j</v>
      </c>
      <c r="AU189" s="179" t="str">
        <f t="shared" si="124"/>
        <v>318723.423961066-565273.735158546j</v>
      </c>
      <c r="AV189" s="136" t="str">
        <f t="shared" si="98"/>
        <v>7993.44620793624-228.882905258622j</v>
      </c>
      <c r="AW189" s="136"/>
      <c r="AX189" s="136" t="str">
        <f t="shared" si="99"/>
        <v>0.499590387996015-0.0143051815786639j</v>
      </c>
      <c r="AY189" s="136"/>
      <c r="AZ189" s="136" t="str">
        <f t="shared" si="100"/>
        <v>4.93860883819625-4.78110220245364j</v>
      </c>
      <c r="BA189" s="136" t="str">
        <f t="shared" si="101"/>
        <v>2.39888697048276-2.45924040054881j</v>
      </c>
      <c r="BB189" s="136">
        <f t="shared" si="125"/>
        <v>10.719748202826962</v>
      </c>
      <c r="BC189" s="136">
        <f t="shared" si="126"/>
        <v>134.28824036980333</v>
      </c>
      <c r="BD189" s="136" t="str">
        <f t="shared" si="102"/>
        <v>22.4202181204267-42.6592711882658j</v>
      </c>
      <c r="BE189" s="136">
        <f t="shared" si="127"/>
        <v>33.659519077541191</v>
      </c>
      <c r="BF189" s="136">
        <f t="shared" si="128"/>
        <v>117.72484252828346</v>
      </c>
      <c r="BG189" s="136"/>
      <c r="BH189" s="136" t="str">
        <f t="shared" si="103"/>
        <v>-1.75363228842288-6.00429800365621j</v>
      </c>
      <c r="BI189" s="136">
        <f t="shared" si="129"/>
        <v>15.924745603979479</v>
      </c>
      <c r="BJ189" s="136">
        <f t="shared" si="130"/>
        <v>73.718878407009939</v>
      </c>
      <c r="BK189" s="136"/>
      <c r="BL189" s="136">
        <f t="shared" si="131"/>
        <v>-14.924745603979479</v>
      </c>
      <c r="BM189" s="136">
        <f t="shared" si="132"/>
        <v>-73.718878407009939</v>
      </c>
      <c r="BN189" s="136"/>
      <c r="BO189" s="189"/>
      <c r="BP189" s="189" t="str">
        <f t="shared" si="104"/>
        <v>0.00001+0.0000035332947520559j</v>
      </c>
      <c r="BQ189" s="189" t="str">
        <f t="shared" si="105"/>
        <v>7.56848803701379E-07+1.33878019103309E-06j</v>
      </c>
      <c r="BR189" s="189" t="str">
        <f t="shared" si="106"/>
        <v>-0.0184648447246916-0.0347449304608753j</v>
      </c>
      <c r="BS189" s="189" t="str">
        <f t="shared" si="107"/>
        <v>0.0000632568488037014+4.87207494308899E-06j</v>
      </c>
      <c r="BT189" s="189" t="str">
        <f t="shared" si="133"/>
        <v>-9.9874798583584E-07-2.28781692016991E-06j</v>
      </c>
      <c r="BU189" s="189" t="str">
        <f t="shared" si="134"/>
        <v>-7.56848803701379E-07-1.33878019103309E-06j</v>
      </c>
      <c r="BV189" s="189" t="str">
        <f t="shared" si="135"/>
        <v>-1.75559678953722E-06-0.000003626597111203j</v>
      </c>
      <c r="BW189" s="189" t="str">
        <f t="shared" si="108"/>
        <v>0.999968378220275-0.00562323570448355j</v>
      </c>
      <c r="BX189" s="189" t="str">
        <f t="shared" si="136"/>
        <v>-0.00001-0.0000035332947520559j</v>
      </c>
      <c r="BY189" s="189" t="str">
        <f t="shared" si="137"/>
        <v>1.86024303409533-1.8622734827994j</v>
      </c>
      <c r="BZ189" s="136">
        <f t="shared" si="138"/>
        <v>8.4064340035265452</v>
      </c>
      <c r="CA189" s="136">
        <f t="shared" si="139"/>
        <v>134.96874798830422</v>
      </c>
      <c r="CB189" s="189" t="str">
        <f t="shared" si="109"/>
        <v>17.5650418723214-32.4786161668887j</v>
      </c>
      <c r="CC189" s="136" t="str">
        <f t="shared" si="110"/>
        <v>-1.28887574523431-4.61604321789383j</v>
      </c>
      <c r="CD189" s="136">
        <f t="shared" si="140"/>
        <v>13.611431404679067</v>
      </c>
      <c r="CE189" s="136">
        <f t="shared" si="141"/>
        <v>74.399386025510609</v>
      </c>
      <c r="CF189" s="136"/>
      <c r="CG189" s="136">
        <f t="shared" si="142"/>
        <v>-12.611431404679067</v>
      </c>
      <c r="CH189" s="136">
        <f t="shared" si="143"/>
        <v>-74.399386025510609</v>
      </c>
      <c r="CI189" s="77"/>
      <c r="CJ189" s="189"/>
      <c r="CK189" s="189"/>
      <c r="CL189" s="189"/>
      <c r="CM189" s="77"/>
      <c r="CN189" s="189">
        <v>33113.112148259097</v>
      </c>
      <c r="CO189" s="189">
        <v>1.01431433222046</v>
      </c>
      <c r="CP189" s="189">
        <v>103.61984730887499</v>
      </c>
      <c r="CQ189" s="74"/>
      <c r="CR189" s="75"/>
      <c r="CS189" s="75"/>
      <c r="CT189" s="75"/>
      <c r="CU189" s="74"/>
      <c r="CV189" s="75"/>
      <c r="CW189" s="75"/>
      <c r="CX189" s="75"/>
      <c r="CY189" s="74"/>
      <c r="CZ189" s="75"/>
      <c r="DA189" s="75"/>
      <c r="DB189" s="75"/>
      <c r="DC189" s="74"/>
      <c r="DD189" s="75"/>
      <c r="DE189" s="75"/>
      <c r="DF189" s="75"/>
      <c r="DG189" s="74"/>
      <c r="DH189" s="75"/>
      <c r="DI189" s="75"/>
      <c r="DJ189" s="75"/>
      <c r="DK189" s="74"/>
      <c r="DL189" s="75"/>
      <c r="DM189" s="75"/>
      <c r="DN189" s="75"/>
      <c r="DO189" s="76"/>
    </row>
    <row r="190" spans="1:119" x14ac:dyDescent="0.25">
      <c r="A190" s="136">
        <v>141</v>
      </c>
      <c r="B190" s="136">
        <f t="shared" si="144"/>
        <v>16982.436524617453</v>
      </c>
      <c r="C190" s="136" t="str">
        <f t="shared" si="151"/>
        <v>106703.795651586j</v>
      </c>
      <c r="D190" s="136">
        <f t="shared" si="145"/>
        <v>0.99278992124218357</v>
      </c>
      <c r="E190" s="136" t="str">
        <f t="shared" si="146"/>
        <v>-0.133379744564483j</v>
      </c>
      <c r="F190" s="136" t="str">
        <f t="shared" si="152"/>
        <v>0.992789921242184-0.133379744564483j</v>
      </c>
      <c r="G190" s="136">
        <f t="shared" si="153"/>
        <v>1.4836117571897895E-2</v>
      </c>
      <c r="H190" s="136">
        <f t="shared" si="154"/>
        <v>-7.6517793124648197</v>
      </c>
      <c r="I190" s="136"/>
      <c r="J190" s="136">
        <f t="shared" si="147"/>
        <v>7.0726915520628681</v>
      </c>
      <c r="K190" s="136" t="str">
        <f t="shared" si="148"/>
        <v>1+7.83198746496265j</v>
      </c>
      <c r="L190" s="136">
        <f t="shared" si="149"/>
        <v>-2.3493785689874196</v>
      </c>
      <c r="M190" s="136" t="str">
        <f t="shared" si="150"/>
        <v>0.573179248772139j</v>
      </c>
      <c r="N190" s="136" t="str">
        <f t="shared" si="155"/>
        <v>-2.34937856898742+0.573179248772139j</v>
      </c>
      <c r="O190" s="136" t="str">
        <f t="shared" si="84"/>
        <v>3.04252167617682+3.73506577977305j</v>
      </c>
      <c r="P190" s="136" t="str">
        <f t="shared" si="85"/>
        <v>21.518817356064+26.416968187j</v>
      </c>
      <c r="Q190" s="136"/>
      <c r="R190" s="136">
        <f t="shared" si="86"/>
        <v>11.787819253438114</v>
      </c>
      <c r="S190" s="136" t="str">
        <f t="shared" si="87"/>
        <v>1+0.00249875573502893j</v>
      </c>
      <c r="T190" s="136" t="str">
        <f t="shared" si="88"/>
        <v>0.578338220578293+0.203371671895198j</v>
      </c>
      <c r="U190" s="136" t="str">
        <f t="shared" si="111"/>
        <v>1.54016041573861-0.537274266068451j</v>
      </c>
      <c r="V190" s="136" t="str">
        <f t="shared" si="112"/>
        <v>18.1551326020268-6.33329193793852j</v>
      </c>
      <c r="W190" s="136"/>
      <c r="X190" s="136" t="str">
        <f t="shared" si="89"/>
        <v>5.3651919144756+5.98430187446875j</v>
      </c>
      <c r="Y190" s="136">
        <f t="shared" si="113"/>
        <v>18.102133790621245</v>
      </c>
      <c r="Z190" s="136">
        <f t="shared" si="114"/>
        <v>-131.8776346703155</v>
      </c>
      <c r="AA190" s="136"/>
      <c r="AB190" s="136" t="str">
        <f t="shared" si="90"/>
        <v>14.2722429703794-4.97877285294589j</v>
      </c>
      <c r="AC190" s="136">
        <f t="shared" si="115"/>
        <v>23.588578812609047</v>
      </c>
      <c r="AD190" s="136">
        <f t="shared" si="116"/>
        <v>160.76902897855092</v>
      </c>
      <c r="AE190" s="136"/>
      <c r="AF190" s="136" t="str">
        <f t="shared" si="117"/>
        <v>0.799856620733826-1.53418097347566j</v>
      </c>
      <c r="AG190" s="136">
        <f t="shared" si="118"/>
        <v>4.7617663263915331</v>
      </c>
      <c r="AH190" s="136">
        <f t="shared" si="119"/>
        <v>117.53561764504514</v>
      </c>
      <c r="AI190" s="136"/>
      <c r="AJ190" s="136" t="str">
        <f t="shared" si="91"/>
        <v>87463.2403497478-33113.5262769918j</v>
      </c>
      <c r="AK190" s="136" t="str">
        <f t="shared" si="92"/>
        <v>19047.6023071297-17.8568245756242j</v>
      </c>
      <c r="AL190" s="136" t="str">
        <f t="shared" si="93"/>
        <v>10000-586958.799576176j</v>
      </c>
      <c r="AM190" s="136" t="str">
        <f t="shared" si="94"/>
        <v>963.006173312716-182170.942425828j</v>
      </c>
      <c r="AN190" s="136" t="str">
        <f t="shared" si="120"/>
        <v>10963.0061733127-182170.942425828j</v>
      </c>
      <c r="AO190" s="136" t="str">
        <f t="shared" si="121"/>
        <v>18724.6039816965-1956.05203719483j</v>
      </c>
      <c r="AP190" s="136" t="str">
        <f t="shared" si="122"/>
        <v>0.163102983416244+0.0505673457241098j</v>
      </c>
      <c r="AQ190" s="136" t="str">
        <f t="shared" si="95"/>
        <v>1+0.605758966067619j</v>
      </c>
      <c r="AR190" s="136" t="str">
        <f t="shared" si="96"/>
        <v>1+0.0012090997326699j</v>
      </c>
      <c r="AS190" s="136" t="str">
        <f t="shared" si="97"/>
        <v>1.89678276249923E-06j</v>
      </c>
      <c r="AT190" s="136" t="str">
        <f t="shared" si="123"/>
        <v>-2.29339953107069E-09+1.89678276249923E-06j</v>
      </c>
      <c r="AU190" s="179" t="str">
        <f t="shared" si="124"/>
        <v>318723.363836789-527593.870947344j</v>
      </c>
      <c r="AV190" s="136" t="str">
        <f t="shared" si="98"/>
        <v>7992.4761530843-245.222688699651j</v>
      </c>
      <c r="AW190" s="136"/>
      <c r="AX190" s="136" t="str">
        <f t="shared" si="99"/>
        <v>0.499529759567769-0.0153264180437282j</v>
      </c>
      <c r="AY190" s="136"/>
      <c r="AZ190" s="136" t="str">
        <f t="shared" si="100"/>
        <v>4.94543493116578-4.34233462492996j</v>
      </c>
      <c r="BA190" s="136" t="str">
        <f t="shared" si="101"/>
        <v>2.40383948637586-2.24492117431716j</v>
      </c>
      <c r="BB190" s="136">
        <f t="shared" si="125"/>
        <v>10.341516080767581</v>
      </c>
      <c r="BC190" s="136">
        <f t="shared" si="126"/>
        <v>136.95789906567603</v>
      </c>
      <c r="BD190" s="136" t="str">
        <f t="shared" si="102"/>
        <v>23.1312286116547-44.0082312268116j</v>
      </c>
      <c r="BE190" s="136">
        <f t="shared" si="127"/>
        <v>33.930094893376655</v>
      </c>
      <c r="BF190" s="136">
        <f t="shared" si="128"/>
        <v>117.72692804422698</v>
      </c>
      <c r="BG190" s="136"/>
      <c r="BH190" s="136" t="str">
        <f t="shared" si="103"/>
        <v>-1.52138842423089-5.4835398675905j</v>
      </c>
      <c r="BI190" s="136">
        <f t="shared" si="129"/>
        <v>15.10328240715914</v>
      </c>
      <c r="BJ190" s="136">
        <f t="shared" si="130"/>
        <v>74.493516710721224</v>
      </c>
      <c r="BK190" s="136"/>
      <c r="BL190" s="136">
        <f t="shared" si="131"/>
        <v>-14.10328240715914</v>
      </c>
      <c r="BM190" s="136">
        <f t="shared" si="132"/>
        <v>-74.493516710721224</v>
      </c>
      <c r="BN190" s="136"/>
      <c r="BO190" s="189"/>
      <c r="BP190" s="189" t="str">
        <f t="shared" si="104"/>
        <v>0.00001+3.78599353792262E-06j</v>
      </c>
      <c r="BQ190" s="189" t="str">
        <f t="shared" si="105"/>
        <v>8.38878424043191E-07+1.38483864215647E-06j</v>
      </c>
      <c r="BR190" s="189" t="str">
        <f t="shared" si="106"/>
        <v>-0.020509838057005-0.0360878698456341j</v>
      </c>
      <c r="BS190" s="189" t="str">
        <f t="shared" si="107"/>
        <v>0.0000633388784240432+5.17083218007909E-06j</v>
      </c>
      <c r="BT190" s="189" t="str">
        <f t="shared" si="133"/>
        <v>-1.11246582048114E-06-2.39181813136868E-06j</v>
      </c>
      <c r="BU190" s="189" t="str">
        <f t="shared" si="134"/>
        <v>-8.38878424043191E-07-1.38483864215647E-06j</v>
      </c>
      <c r="BV190" s="189" t="str">
        <f t="shared" si="135"/>
        <v>-1.95134424452433E-06-3.77665677352515E-06j</v>
      </c>
      <c r="BW190" s="189" t="str">
        <f t="shared" si="108"/>
        <v>0.999963693509182-0.00602537738707836j</v>
      </c>
      <c r="BX190" s="189" t="str">
        <f t="shared" si="136"/>
        <v>-0.00001-3.78599353792262E-06j</v>
      </c>
      <c r="BY190" s="189" t="str">
        <f t="shared" si="137"/>
        <v>1.8608705235921-1.69230363577911j</v>
      </c>
      <c r="BZ190" s="136">
        <f t="shared" si="138"/>
        <v>8.0117934900754513</v>
      </c>
      <c r="CA190" s="136">
        <f t="shared" si="139"/>
        <v>137.71614471811333</v>
      </c>
      <c r="CB190" s="189" t="str">
        <f t="shared" si="109"/>
        <v>18.133200848365-33.4178203152035j</v>
      </c>
      <c r="CC190" s="136" t="str">
        <f t="shared" si="110"/>
        <v>-1.10787043073242-4.20851241876654j</v>
      </c>
      <c r="CD190" s="136">
        <f t="shared" si="140"/>
        <v>12.773559816466991</v>
      </c>
      <c r="CE190" s="136">
        <f t="shared" si="141"/>
        <v>75.251762363158633</v>
      </c>
      <c r="CF190" s="136"/>
      <c r="CG190" s="136">
        <f t="shared" si="142"/>
        <v>-11.773559816466991</v>
      </c>
      <c r="CH190" s="136">
        <f t="shared" si="143"/>
        <v>-75.251762363158633</v>
      </c>
      <c r="CI190" s="77"/>
      <c r="CJ190" s="189"/>
      <c r="CK190" s="189"/>
      <c r="CL190" s="189"/>
      <c r="CM190" s="77"/>
      <c r="CN190" s="189">
        <v>34673.6850452531</v>
      </c>
      <c r="CO190" s="189">
        <v>0.775132698694039</v>
      </c>
      <c r="CP190" s="189">
        <v>104.35398937412</v>
      </c>
      <c r="CQ190" s="74"/>
      <c r="CR190" s="75"/>
      <c r="CS190" s="75"/>
      <c r="CT190" s="75"/>
      <c r="CU190" s="74"/>
      <c r="CV190" s="75"/>
      <c r="CW190" s="75"/>
      <c r="CX190" s="75"/>
      <c r="CY190" s="74"/>
      <c r="CZ190" s="75"/>
      <c r="DA190" s="75"/>
      <c r="DB190" s="75"/>
      <c r="DC190" s="74"/>
      <c r="DD190" s="75"/>
      <c r="DE190" s="75"/>
      <c r="DF190" s="75"/>
      <c r="DG190" s="74"/>
      <c r="DH190" s="75"/>
      <c r="DI190" s="75"/>
      <c r="DJ190" s="75"/>
      <c r="DK190" s="74"/>
      <c r="DL190" s="75"/>
      <c r="DM190" s="75"/>
      <c r="DN190" s="75"/>
      <c r="DO190" s="76"/>
    </row>
    <row r="191" spans="1:119" x14ac:dyDescent="0.25">
      <c r="A191" s="136">
        <v>142</v>
      </c>
      <c r="B191" s="136">
        <f t="shared" si="144"/>
        <v>18197.008586099837</v>
      </c>
      <c r="C191" s="136" t="str">
        <f t="shared" si="151"/>
        <v>114335.176982803j</v>
      </c>
      <c r="D191" s="136">
        <f t="shared" si="145"/>
        <v>0.99172172196293529</v>
      </c>
      <c r="E191" s="136" t="str">
        <f t="shared" si="146"/>
        <v>-0.142918971228504j</v>
      </c>
      <c r="F191" s="136" t="str">
        <f t="shared" si="152"/>
        <v>0.991721721962935-0.142918971228504j</v>
      </c>
      <c r="G191" s="136">
        <f t="shared" si="153"/>
        <v>1.7068091412403282E-2</v>
      </c>
      <c r="H191" s="136">
        <f t="shared" si="154"/>
        <v>-8.2005483267692014</v>
      </c>
      <c r="I191" s="136"/>
      <c r="J191" s="136">
        <f t="shared" si="147"/>
        <v>7.0726915520628681</v>
      </c>
      <c r="K191" s="136" t="str">
        <f t="shared" si="148"/>
        <v>1+8.39212576708642j</v>
      </c>
      <c r="L191" s="136">
        <f t="shared" si="149"/>
        <v>-2.8456011337469671</v>
      </c>
      <c r="M191" s="136" t="str">
        <f t="shared" si="150"/>
        <v>0.614172630420935j</v>
      </c>
      <c r="N191" s="136" t="str">
        <f t="shared" si="155"/>
        <v>-2.84560113374697+0.614172630420935j</v>
      </c>
      <c r="O191" s="136" t="str">
        <f t="shared" si="84"/>
        <v>3.71402667057668+4.20319219288893j</v>
      </c>
      <c r="P191" s="136" t="str">
        <f t="shared" si="85"/>
        <v>26.2681650571239+29.7278819143421j</v>
      </c>
      <c r="Q191" s="136"/>
      <c r="R191" s="136">
        <f t="shared" si="86"/>
        <v>11.787819253438114</v>
      </c>
      <c r="S191" s="136" t="str">
        <f t="shared" si="87"/>
        <v>1+0.00267746500915669j</v>
      </c>
      <c r="T191" s="136" t="str">
        <f t="shared" si="88"/>
        <v>0.515867500910144+0.217916672574153j</v>
      </c>
      <c r="U191" s="136" t="str">
        <f t="shared" si="111"/>
        <v>1.64680966881329-0.690467644798621j</v>
      </c>
      <c r="V191" s="136" t="str">
        <f t="shared" si="112"/>
        <v>19.4122947207853-8.13910779723325j</v>
      </c>
      <c r="W191" s="136"/>
      <c r="X191" s="136" t="str">
        <f t="shared" si="89"/>
        <v>6.54410232612279+6.68951448662519j</v>
      </c>
      <c r="Y191" s="136">
        <f t="shared" si="113"/>
        <v>19.423795475309461</v>
      </c>
      <c r="Z191" s="136">
        <f t="shared" si="114"/>
        <v>-134.37045420621718</v>
      </c>
      <c r="AA191" s="136"/>
      <c r="AB191" s="136" t="str">
        <f t="shared" si="90"/>
        <v>15.2605322660509-6.39837375967469j</v>
      </c>
      <c r="AC191" s="136">
        <f t="shared" si="115"/>
        <v>24.374699747257928</v>
      </c>
      <c r="AD191" s="136">
        <f t="shared" si="116"/>
        <v>157.25286904597098</v>
      </c>
      <c r="AE191" s="136"/>
      <c r="AF191" s="136" t="str">
        <f t="shared" si="117"/>
        <v>0.711418542335917-1.4789590493822j</v>
      </c>
      <c r="AG191" s="136">
        <f t="shared" si="118"/>
        <v>4.3030669473310326</v>
      </c>
      <c r="AH191" s="136">
        <f t="shared" si="119"/>
        <v>115.68878897362039</v>
      </c>
      <c r="AI191" s="136"/>
      <c r="AJ191" s="136" t="str">
        <f t="shared" si="91"/>
        <v>85868.3505072601-34834.7733147259j</v>
      </c>
      <c r="AK191" s="136" t="str">
        <f t="shared" si="92"/>
        <v>19047.5998269681-19.1339297716201j</v>
      </c>
      <c r="AL191" s="136" t="str">
        <f t="shared" si="93"/>
        <v>10000-547781.824095106j</v>
      </c>
      <c r="AM191" s="136" t="str">
        <f t="shared" si="94"/>
        <v>962.986479886982-170013.379715742j</v>
      </c>
      <c r="AN191" s="136" t="str">
        <f t="shared" si="120"/>
        <v>10962.986479887-170013.379715742j</v>
      </c>
      <c r="AO191" s="136" t="str">
        <f t="shared" si="121"/>
        <v>18678.2111810776-2087.70961380849j</v>
      </c>
      <c r="AP191" s="136" t="str">
        <f t="shared" si="122"/>
        <v>0.16356072268794+0.0541537898626196j</v>
      </c>
      <c r="AQ191" s="136" t="str">
        <f t="shared" si="95"/>
        <v>1+0.649082426462227j</v>
      </c>
      <c r="AR191" s="136" t="str">
        <f t="shared" si="96"/>
        <v>1+0.00129557370551343j</v>
      </c>
      <c r="AS191" s="136" t="str">
        <f t="shared" si="97"/>
        <v>2.03243934785985E-06j</v>
      </c>
      <c r="AT191" s="136" t="str">
        <f t="shared" si="123"/>
        <v>-2.63317497713809E-09+2.03243934785985E-06j</v>
      </c>
      <c r="AU191" s="179" t="str">
        <f t="shared" si="124"/>
        <v>318723.29480491-492432.532000717j</v>
      </c>
      <c r="AV191" s="136" t="str">
        <f t="shared" si="98"/>
        <v>7991.36267140393-262.724238172498j</v>
      </c>
      <c r="AW191" s="136"/>
      <c r="AX191" s="136" t="str">
        <f t="shared" si="99"/>
        <v>0.499460166962746-0.0164202648857811j</v>
      </c>
      <c r="AY191" s="136"/>
      <c r="AZ191" s="136" t="str">
        <f t="shared" si="100"/>
        <v>4.95326599005985-3.92440511167257j</v>
      </c>
      <c r="BA191" s="136" t="str">
        <f t="shared" si="101"/>
        <v>2.40951928695341-2.04141797191195j</v>
      </c>
      <c r="BB191" s="136">
        <f t="shared" si="125"/>
        <v>9.9883324506169071</v>
      </c>
      <c r="BC191" s="136">
        <f t="shared" si="126"/>
        <v>139.72771529531761</v>
      </c>
      <c r="BD191" s="136" t="str">
        <f t="shared" si="102"/>
        <v>23.7087916402147-46.5701298079312j</v>
      </c>
      <c r="BE191" s="136">
        <f t="shared" si="127"/>
        <v>34.363032197874823</v>
      </c>
      <c r="BF191" s="136">
        <f t="shared" si="128"/>
        <v>116.98058434128859</v>
      </c>
      <c r="BG191" s="136"/>
      <c r="BH191" s="136" t="str">
        <f t="shared" si="103"/>
        <v>-1.30499688427595-5.01588295197662j</v>
      </c>
      <c r="BI191" s="136">
        <f t="shared" si="129"/>
        <v>14.291399397947908</v>
      </c>
      <c r="BJ191" s="136">
        <f t="shared" si="130"/>
        <v>75.416504268938098</v>
      </c>
      <c r="BK191" s="136"/>
      <c r="BL191" s="136">
        <f t="shared" si="131"/>
        <v>-13.291399397947908</v>
      </c>
      <c r="BM191" s="136">
        <f t="shared" si="132"/>
        <v>-75.416504268938098</v>
      </c>
      <c r="BN191" s="136"/>
      <c r="BO191" s="189"/>
      <c r="BP191" s="189" t="str">
        <f t="shared" si="104"/>
        <v>0.00001+4.05676516538892E-06j</v>
      </c>
      <c r="BQ191" s="189" t="str">
        <f t="shared" si="105"/>
        <v>9.26321031020325E-07+0.0000014271238801968j</v>
      </c>
      <c r="BR191" s="189" t="str">
        <f t="shared" si="106"/>
        <v>-0.0227083540150544-0.0373533169387597j</v>
      </c>
      <c r="BS191" s="189" t="str">
        <f t="shared" si="107"/>
        <v>0.0000634263210310203+5.48388904558572E-06j</v>
      </c>
      <c r="BT191" s="189" t="str">
        <f t="shared" si="133"/>
        <v>-1.23546590626814E-06-2.49371356555766E-06j</v>
      </c>
      <c r="BU191" s="189" t="str">
        <f t="shared" si="134"/>
        <v>-9.26321031020325E-07-0.0000014271238801968j</v>
      </c>
      <c r="BV191" s="189" t="str">
        <f t="shared" si="135"/>
        <v>-2.16178693728846E-06-3.92083744575446E-06j</v>
      </c>
      <c r="BW191" s="189" t="str">
        <f t="shared" si="108"/>
        <v>0.999958314795306-0.0064562734637013j</v>
      </c>
      <c r="BX191" s="189" t="str">
        <f t="shared" si="136"/>
        <v>-0.00001-4.05676516538892E-06j</v>
      </c>
      <c r="BY191" s="189" t="str">
        <f t="shared" si="137"/>
        <v>1.86197567656529-1.53043326103423j</v>
      </c>
      <c r="BZ191" s="136">
        <f t="shared" si="138"/>
        <v>7.6411478763269258</v>
      </c>
      <c r="CA191" s="136">
        <f t="shared" si="139"/>
        <v>140.58182903491925</v>
      </c>
      <c r="CB191" s="189" t="str">
        <f t="shared" si="109"/>
        <v>18.6224558724917-35.2688424711382j</v>
      </c>
      <c r="CC191" s="136" t="str">
        <f t="shared" si="110"/>
        <v>-0.938804099195072-3.84256437629314j</v>
      </c>
      <c r="CD191" s="136">
        <f t="shared" si="140"/>
        <v>11.944214823657923</v>
      </c>
      <c r="CE191" s="136">
        <f t="shared" si="141"/>
        <v>76.270618008539614</v>
      </c>
      <c r="CF191" s="136"/>
      <c r="CG191" s="136">
        <f t="shared" si="142"/>
        <v>-10.944214823657923</v>
      </c>
      <c r="CH191" s="136">
        <f t="shared" si="143"/>
        <v>-76.270618008539614</v>
      </c>
      <c r="CI191" s="77"/>
      <c r="CJ191" s="189"/>
      <c r="CK191" s="189"/>
      <c r="CL191" s="189"/>
      <c r="CM191" s="77"/>
      <c r="CN191" s="189">
        <v>36307.805477010101</v>
      </c>
      <c r="CO191" s="189">
        <v>0.54603383875449596</v>
      </c>
      <c r="CP191" s="189">
        <v>105.027682391372</v>
      </c>
      <c r="CQ191" s="74"/>
      <c r="CR191" s="75"/>
      <c r="CS191" s="75"/>
      <c r="CT191" s="75"/>
      <c r="CU191" s="74"/>
      <c r="CV191" s="75"/>
      <c r="CW191" s="75"/>
      <c r="CX191" s="75"/>
      <c r="CY191" s="74"/>
      <c r="CZ191" s="75"/>
      <c r="DA191" s="75"/>
      <c r="DB191" s="75"/>
      <c r="DC191" s="74"/>
      <c r="DD191" s="75"/>
      <c r="DE191" s="75"/>
      <c r="DF191" s="75"/>
      <c r="DG191" s="74"/>
      <c r="DH191" s="75"/>
      <c r="DI191" s="75"/>
      <c r="DJ191" s="75"/>
      <c r="DK191" s="74"/>
      <c r="DL191" s="75"/>
      <c r="DM191" s="75"/>
      <c r="DN191" s="75"/>
      <c r="DO191" s="76"/>
    </row>
    <row r="192" spans="1:119" x14ac:dyDescent="0.25">
      <c r="A192" s="136">
        <v>143</v>
      </c>
      <c r="B192" s="136">
        <f t="shared" si="144"/>
        <v>19498.445997580486</v>
      </c>
      <c r="C192" s="136" t="str">
        <f t="shared" si="151"/>
        <v>122512.349404832j</v>
      </c>
      <c r="D192" s="136">
        <f t="shared" si="145"/>
        <v>0.99049526509198604</v>
      </c>
      <c r="E192" s="136" t="str">
        <f t="shared" si="146"/>
        <v>-0.15314043675604j</v>
      </c>
      <c r="F192" s="136" t="str">
        <f t="shared" si="152"/>
        <v>0.990495265091986-0.15314043675604j</v>
      </c>
      <c r="G192" s="136">
        <f t="shared" si="153"/>
        <v>1.9641493673776503E-2</v>
      </c>
      <c r="H192" s="136">
        <f t="shared" si="154"/>
        <v>-8.7889085528085271</v>
      </c>
      <c r="I192" s="136"/>
      <c r="J192" s="136">
        <f t="shared" si="147"/>
        <v>7.0726915520628681</v>
      </c>
      <c r="K192" s="136" t="str">
        <f t="shared" si="148"/>
        <v>1+8.99232477141507j</v>
      </c>
      <c r="L192" s="136">
        <f t="shared" si="149"/>
        <v>-3.415340868544094</v>
      </c>
      <c r="M192" s="136" t="str">
        <f t="shared" si="150"/>
        <v>0.658097830244595j</v>
      </c>
      <c r="N192" s="136" t="str">
        <f t="shared" si="155"/>
        <v>-3.41534086854409+0.658097830244595j</v>
      </c>
      <c r="O192" s="136" t="str">
        <f t="shared" ref="O192:O255" si="156">IMDIV(K177,N177)</f>
        <v>4.72289008406734+4.7007389200086j</v>
      </c>
      <c r="P192" s="136" t="str">
        <f t="shared" ref="P192:P255" si="157">IMPRODUCT(J177,O192)</f>
        <v>33.4035447989046+33.246876447998j</v>
      </c>
      <c r="Q192" s="136"/>
      <c r="R192" s="136">
        <f t="shared" ref="R192:R255" si="158">Vin/(1+((DCR*10^-3)/Rout))</f>
        <v>11.787819253438114</v>
      </c>
      <c r="S192" s="136" t="str">
        <f t="shared" ref="S192:S255" si="159">IMSUM(1,IMPRODUCT(C177,ncap*(cap*10^-6)*(esr/(ncap*1000))))</f>
        <v>1+0.00286895544640957j</v>
      </c>
      <c r="T192" s="136" t="str">
        <f t="shared" ref="T192:T255" si="160">IMSUM(L177,M177)</f>
        <v>0.444141517885648+0.233501921596347j</v>
      </c>
      <c r="U192" s="136" t="str">
        <f t="shared" si="111"/>
        <v>1.76663310150199-0.922325997488687j</v>
      </c>
      <c r="V192" s="136" t="str">
        <f t="shared" si="112"/>
        <v>20.8247516876462-10.8722121511437j</v>
      </c>
      <c r="W192" s="136"/>
      <c r="X192" s="136" t="str">
        <f t="shared" ref="X192:X255" si="161">IMPRODUCT(Fm,Rt,P192,F177)</f>
        <v>8.294448132869+7.4034476713661j</v>
      </c>
      <c r="Y192" s="136">
        <f t="shared" si="113"/>
        <v>20.920497671184858</v>
      </c>
      <c r="Z192" s="136">
        <f t="shared" si="114"/>
        <v>-138.24857870615443</v>
      </c>
      <c r="AA192" s="136"/>
      <c r="AB192" s="136" t="str">
        <f t="shared" ref="AB192:AB255" si="162">IMPRODUCT(Fm,V192)</f>
        <v>16.3709030608086-8.54694134425169j</v>
      </c>
      <c r="AC192" s="136">
        <f t="shared" si="115"/>
        <v>25.328265516790665</v>
      </c>
      <c r="AD192" s="136">
        <f t="shared" si="116"/>
        <v>152.4317832875135</v>
      </c>
      <c r="AE192" s="136"/>
      <c r="AF192" s="136" t="str">
        <f t="shared" si="117"/>
        <v>0.629483420991401-1.42098688623025j</v>
      </c>
      <c r="AG192" s="136">
        <f t="shared" si="118"/>
        <v>3.8299861082559437</v>
      </c>
      <c r="AH192" s="136">
        <f t="shared" si="119"/>
        <v>113.89287847356007</v>
      </c>
      <c r="AI192" s="136"/>
      <c r="AJ192" s="136" t="str">
        <f t="shared" ref="AJ192:AJ255" si="163">IMDIV(_Rfb1,IMSUM(1,IMPRODUCT(C177,_Cfb1*_Rfb1)))</f>
        <v>84107.4310300127-36560.6776268291j</v>
      </c>
      <c r="AK192" s="136" t="str">
        <f t="shared" ref="AK192:AK255" si="164">IMDIV(_Rfb2,IMSUM(1,IMPRODUCT(C177,_Cfb2*_Rfb2)))</f>
        <v>19047.5969793623-20.5023720702576j</v>
      </c>
      <c r="AL192" s="136" t="str">
        <f t="shared" ref="AL192:AL255" si="165">IMDIV(IMSUM(1,IMPRODUCT(C177,10000,0.000000000045)),IMPRODUCT(C177,0.000000000045))</f>
        <v>10000-511219.743235179j</v>
      </c>
      <c r="AM192" s="136" t="str">
        <f t="shared" ref="AM192:AM255" si="166">IMDIV(AL192,IMSUM(1,IMPRODUCT(C177,AL192,0.0000000001)))</f>
        <v>962.963869802179-158667.393827402j</v>
      </c>
      <c r="AN192" s="136" t="str">
        <f t="shared" si="120"/>
        <v>10962.9638698022-158667.393827402j</v>
      </c>
      <c r="AO192" s="136" t="str">
        <f t="shared" si="121"/>
        <v>18625.3944713588-2226.97182985242j</v>
      </c>
      <c r="AP192" s="136" t="str">
        <f t="shared" si="122"/>
        <v>0.164085650984319+0.0579898476812982j</v>
      </c>
      <c r="AQ192" s="136" t="str">
        <f t="shared" ref="AQ192:AQ255" si="167">IMSUM(1,IMPRODUCT(C177,_Res1*_Cap1))</f>
        <v>1+0.695504350644744j</v>
      </c>
      <c r="AR192" s="136" t="str">
        <f t="shared" ref="AR192:AR255" si="168">IMSUM(1,IMPRODUCT(C177,_Res1*_Cap1*_Cap2/(_Cap1+_Cap2)))</f>
        <v>1+0.00138823223681586j</v>
      </c>
      <c r="AS192" s="136" t="str">
        <f t="shared" ref="AS192:AS255" si="169">IMPRODUCT(C177,(_Cap1+_Cap2))</f>
        <v>2.17779799795635E-06j</v>
      </c>
      <c r="AT192" s="136" t="str">
        <f t="shared" si="123"/>
        <v>-3.02328938603605E-09+2.17779799795635E-06j</v>
      </c>
      <c r="AU192" s="179" t="str">
        <f t="shared" si="124"/>
        <v>318723.215545746-459621.871933921j</v>
      </c>
      <c r="AV192" s="136" t="str">
        <f t="shared" ref="AV192:AV255" si="170">+IMDIV(1,IMSUM(IMDIV(1,_R3_T),IMDIV(1,AJ192),IMDIV(1,AK192)))</f>
        <v>7990.08460592349-281.469070365505j</v>
      </c>
      <c r="AW192" s="136"/>
      <c r="AX192" s="136" t="str">
        <f t="shared" ref="AX192:AX255" si="171">IMDIV(AV192,_R3_T)</f>
        <v>0.499380287870218-0.0175918168978441j</v>
      </c>
      <c r="AY192" s="136"/>
      <c r="AZ192" s="136" t="str">
        <f t="shared" ref="AZ192:AZ255" si="172">IMDIV(IMDIV(AU192,AJ192),IMPRODUCT(IMSUM(1,IMPRODUCT(C177,1/700000)),IMSUM(1,IMPRODUCT(C177,1/35000000))))</f>
        <v>4.96224889595089-3.5253436636924j</v>
      </c>
      <c r="BA192" s="136" t="str">
        <f t="shared" ref="BA192:BA255" si="173">IMPRODUCT(AX192, IMDIV(IMDIV(AU192,AJ192),IMPRODUCT(IMSUM(1,IMPRODUCT(C177,1/700000)),IMSUM(1,IMPRODUCT(C177,1/35000000)))))</f>
        <v>2.41603208190998-1.84778210759526j</v>
      </c>
      <c r="BB192" s="136">
        <f t="shared" si="125"/>
        <v>9.6621261029217571</v>
      </c>
      <c r="BC192" s="136">
        <f t="shared" si="126"/>
        <v>142.59122926277797</v>
      </c>
      <c r="BD192" s="136" t="str">
        <f t="shared" ref="BD192:BD255" si="174">IMPRODUCT(BA192,Fm,V192)</f>
        <v>23.7597417141773-50.8995462508535j</v>
      </c>
      <c r="BE192" s="136">
        <f t="shared" si="127"/>
        <v>34.990391619712412</v>
      </c>
      <c r="BF192" s="136">
        <f t="shared" si="128"/>
        <v>115.02301255029137</v>
      </c>
      <c r="BG192" s="136"/>
      <c r="BH192" s="136" t="str">
        <f t="shared" ref="BH192:BH255" si="175">IMDIV(BD192,IMSUM(1,X192))</f>
        <v>-1.10482200335809-4.5962981074414j</v>
      </c>
      <c r="BI192" s="136">
        <f t="shared" si="129"/>
        <v>13.492112211177671</v>
      </c>
      <c r="BJ192" s="136">
        <f t="shared" si="130"/>
        <v>76.484107736337947</v>
      </c>
      <c r="BK192" s="136"/>
      <c r="BL192" s="136">
        <f t="shared" si="131"/>
        <v>-12.492112211177671</v>
      </c>
      <c r="BM192" s="136">
        <f t="shared" si="132"/>
        <v>-76.484107736337947</v>
      </c>
      <c r="BN192" s="136"/>
      <c r="BO192" s="189"/>
      <c r="BP192" s="189" t="str">
        <f t="shared" ref="BP192:BP255" si="176">IMSUM(1/_Rfb1,IMPRODUCT(C177,_Cfb1))</f>
        <v>0.00001+4.34690219152965E-06j</v>
      </c>
      <c r="BQ192" s="189" t="str">
        <f t="shared" ref="BQ192:BQ255" si="177">IMDIV(IMPRODUCT(C177,_Cap1),IMSUM(1,IMPRODUCT(C177,_Cap1,_Res1)))</f>
        <v>1.01881640247196E-06+1.46485985533735E-06j</v>
      </c>
      <c r="BR192" s="189" t="str">
        <f t="shared" ref="BR192:BR255" si="178">IMDIV(IMSUM(1/70000000,BQ192),IMSUB(BQ192,gm))</f>
        <v>-0.0250550488599594-0.0385201744023248j</v>
      </c>
      <c r="BS192" s="189" t="str">
        <f t="shared" ref="BS192:BS255" si="179">IMSUM(BP192,BQ192,1/_Rfb2)</f>
        <v>0.000063518816402472+0.000005811762046867j</v>
      </c>
      <c r="BT192" s="189" t="str">
        <f t="shared" si="133"/>
        <v>-0.0000013675969608606-2.59236986769918E-06j</v>
      </c>
      <c r="BU192" s="189" t="str">
        <f t="shared" si="134"/>
        <v>-1.01881640247196E-06-1.46485985533735E-06j</v>
      </c>
      <c r="BV192" s="189" t="str">
        <f t="shared" si="135"/>
        <v>-2.38641336333256E-06-4.05722972303653E-06j</v>
      </c>
      <c r="BW192" s="189" t="str">
        <f t="shared" ref="BW192:BW255" si="180">IMDIV(1,IMSUM(1,IMPRODUCT(C177,1/6283185)))</f>
        <v>0.999952139276846-0.00691797893209779j</v>
      </c>
      <c r="BX192" s="189" t="str">
        <f t="shared" si="136"/>
        <v>-0.00001-4.34690219152965E-06j</v>
      </c>
      <c r="BY192" s="189" t="str">
        <f t="shared" si="137"/>
        <v>1.86357921919257-1.37589517954665j</v>
      </c>
      <c r="BZ192" s="136">
        <f t="shared" si="138"/>
        <v>7.2965188650401842</v>
      </c>
      <c r="CA192" s="136">
        <f t="shared" si="139"/>
        <v>143.56125668686636</v>
      </c>
      <c r="CB192" s="189" t="str">
        <f t="shared" ref="CB192:CB255" si="181">IMPRODUCT(BY192,Fm,V192)</f>
        <v>18.748779348115-38.4525488829973j</v>
      </c>
      <c r="CC192" s="136" t="str">
        <f t="shared" ref="CC192:CC255" si="182">IMDIV(CB192,IMSUM(1,X192))</f>
        <v>-0.782036784777381-3.51422483647044j</v>
      </c>
      <c r="CD192" s="136">
        <f t="shared" si="140"/>
        <v>11.126504973296097</v>
      </c>
      <c r="CE192" s="136">
        <f t="shared" si="141"/>
        <v>77.454135160426389</v>
      </c>
      <c r="CF192" s="136"/>
      <c r="CG192" s="136">
        <f t="shared" si="142"/>
        <v>-10.126504973296097</v>
      </c>
      <c r="CH192" s="136">
        <f t="shared" si="143"/>
        <v>-77.454135160426389</v>
      </c>
      <c r="CI192" s="77"/>
      <c r="CJ192" s="189"/>
      <c r="CK192" s="189"/>
      <c r="CL192" s="189"/>
      <c r="CM192" s="77"/>
      <c r="CN192" s="189">
        <v>38018.939632056099</v>
      </c>
      <c r="CO192" s="189">
        <v>0.32671226045969098</v>
      </c>
      <c r="CP192" s="189">
        <v>105.63622407701099</v>
      </c>
      <c r="CQ192" s="74"/>
      <c r="CR192" s="75"/>
      <c r="CS192" s="75"/>
      <c r="CT192" s="75"/>
      <c r="CU192" s="74"/>
      <c r="CV192" s="75"/>
      <c r="CW192" s="75"/>
      <c r="CX192" s="75"/>
      <c r="CY192" s="74"/>
      <c r="CZ192" s="75"/>
      <c r="DA192" s="75"/>
      <c r="DB192" s="75"/>
      <c r="DC192" s="74"/>
      <c r="DD192" s="75"/>
      <c r="DE192" s="75"/>
      <c r="DF192" s="75"/>
      <c r="DG192" s="74"/>
      <c r="DH192" s="75"/>
      <c r="DI192" s="75"/>
      <c r="DJ192" s="75"/>
      <c r="DK192" s="74"/>
      <c r="DL192" s="75"/>
      <c r="DM192" s="75"/>
      <c r="DN192" s="75"/>
      <c r="DO192" s="76"/>
    </row>
    <row r="193" spans="1:119" x14ac:dyDescent="0.25">
      <c r="A193" s="136">
        <v>144</v>
      </c>
      <c r="B193" s="136">
        <f t="shared" si="144"/>
        <v>20892.961308540423</v>
      </c>
      <c r="C193" s="136" t="str">
        <f t="shared" si="151"/>
        <v>131274.347517293j</v>
      </c>
      <c r="D193" s="136">
        <f t="shared" si="145"/>
        <v>0.98908710419399581</v>
      </c>
      <c r="E193" s="136" t="str">
        <f t="shared" si="146"/>
        <v>-0.164092934396616j</v>
      </c>
      <c r="F193" s="136" t="str">
        <f t="shared" si="152"/>
        <v>0.989087104193996-0.164092934396616j</v>
      </c>
      <c r="G193" s="136">
        <f t="shared" si="153"/>
        <v>2.2610304093814908E-2</v>
      </c>
      <c r="H193" s="136">
        <f t="shared" si="154"/>
        <v>-9.4197681139333049</v>
      </c>
      <c r="I193" s="136"/>
      <c r="J193" s="136">
        <f t="shared" si="147"/>
        <v>7.0726915520628681</v>
      </c>
      <c r="K193" s="136" t="str">
        <f t="shared" si="148"/>
        <v>1+9.63544959153763j</v>
      </c>
      <c r="L193" s="136">
        <f t="shared" si="149"/>
        <v>-4.0694896083621437</v>
      </c>
      <c r="M193" s="136" t="str">
        <f t="shared" si="150"/>
        <v>0.705164529842067j</v>
      </c>
      <c r="N193" s="136" t="str">
        <f t="shared" si="155"/>
        <v>-4.06948960836214+0.705164529842067j</v>
      </c>
      <c r="O193" s="136" t="str">
        <f t="shared" si="156"/>
        <v>6.29056449017719+5.09931341636296j</v>
      </c>
      <c r="P193" s="136" t="str">
        <f t="shared" si="157"/>
        <v>44.4912223273829+36.0658709212311j</v>
      </c>
      <c r="Q193" s="136"/>
      <c r="R193" s="136">
        <f t="shared" si="158"/>
        <v>11.787819253438114</v>
      </c>
      <c r="S193" s="136" t="str">
        <f t="shared" si="159"/>
        <v>1+0.00307414114669443j</v>
      </c>
      <c r="T193" s="136" t="str">
        <f t="shared" si="160"/>
        <v>0.361789070720647+0.250201816800564j</v>
      </c>
      <c r="U193" s="136" t="str">
        <f t="shared" ref="U193:U256" si="183">IMDIV(S193,T193)</f>
        <v>1.87376067343952-1.28733624448524j</v>
      </c>
      <c r="V193" s="136" t="str">
        <f t="shared" ref="V193:V256" si="184">IMPRODUCT(R193,U193)</f>
        <v>22.0875521427055-15.1748869683918j</v>
      </c>
      <c r="W193" s="136"/>
      <c r="X193" s="136" t="str">
        <f t="shared" si="161"/>
        <v>10.9735346177806+7.88311123124567j</v>
      </c>
      <c r="Y193" s="136">
        <f t="shared" ref="Y193:Y256" si="185">20*LOG(IMABS(X193),10)</f>
        <v>22.61410158147936</v>
      </c>
      <c r="Z193" s="136">
        <f t="shared" ref="Z193:Z256" si="186">IF((IMARGUMENT(X193)*(180/PI()))&lt;0,(IMARGUMENT(X193)*(180/PI()))+180,(IMARGUMENT(X193)*(180/PI()))-180)</f>
        <v>-144.30748411843948</v>
      </c>
      <c r="AA193" s="136"/>
      <c r="AB193" s="136" t="str">
        <f t="shared" si="162"/>
        <v>17.3636248058263-11.9293909115681j</v>
      </c>
      <c r="AC193" s="136">
        <f t="shared" ref="AC193:AC256" si="187">20*LOG(IMABS(AB193),10)</f>
        <v>26.471930068233533</v>
      </c>
      <c r="AD193" s="136">
        <f t="shared" ref="AD193:AD256" si="188">IF((IMARGUMENT(AB193)*(180/PI()))&lt;0,(IMARGUMENT(AB193)*(180/PI()))+180,(IMARGUMENT(AB193)*(180/PI()))-180)</f>
        <v>145.50963307662576</v>
      </c>
      <c r="AE193" s="136"/>
      <c r="AF193" s="136" t="str">
        <f t="shared" ref="AF193:AF256" si="189">IMDIV(AB193,IMSUM(1,X193))</f>
        <v>0.554054867044624-1.36109073694019j</v>
      </c>
      <c r="AG193" s="136">
        <f t="shared" ref="AG193:AG256" si="190">20*LOG(IMABS(AF193),10)</f>
        <v>3.3436221592975683</v>
      </c>
      <c r="AH193" s="136">
        <f t="shared" ref="AH193:AH256" si="191">IF((IMARGUMENT(AF193)*(180/PI()))&lt;0,(IMARGUMENT(AF193)*(180/PI()))+180,(IMARGUMENT(AF193)*(180/PI()))-180)</f>
        <v>112.14960712011069</v>
      </c>
      <c r="AI193" s="136"/>
      <c r="AJ193" s="136" t="str">
        <f t="shared" si="163"/>
        <v>82172.6419521577-38274.2878420783j</v>
      </c>
      <c r="AK193" s="136" t="str">
        <f t="shared" si="164"/>
        <v>19047.5937098745-21.9686837055572j</v>
      </c>
      <c r="AL193" s="136" t="str">
        <f t="shared" si="165"/>
        <v>10000-477098.024026563j</v>
      </c>
      <c r="AM193" s="136" t="str">
        <f t="shared" si="166"/>
        <v>962.937911260734-148078.823477153j</v>
      </c>
      <c r="AN193" s="136" t="str">
        <f t="shared" ref="AN193:AN256" si="192">IMSUM(10000,AM193)</f>
        <v>10962.9379112607-148078.823477153j</v>
      </c>
      <c r="AO193" s="136" t="str">
        <f t="shared" ref="AO193:AO256" si="193">IMDIV(IMPRODUCT(AN193,AK193),IMSUM(AN193,AK193))</f>
        <v>18565.3371127085-2373.99909199864j</v>
      </c>
      <c r="AP193" s="136" t="str">
        <f t="shared" ref="AP193:AP256" si="194">IMDIV(AK193,IMSUM(AJ193,AK193))</f>
        <v>0.16468752473784+0.0620918037697144j</v>
      </c>
      <c r="AQ193" s="136" t="str">
        <f t="shared" si="167"/>
        <v>1+0.745246338592589j</v>
      </c>
      <c r="AR193" s="136" t="str">
        <f t="shared" si="168"/>
        <v>1+0.00148751764190137j</v>
      </c>
      <c r="AS193" s="136" t="str">
        <f t="shared" si="169"/>
        <v>2.33355259771804E-06j</v>
      </c>
      <c r="AT193" s="136" t="str">
        <f t="shared" ref="AT193:AT256" si="195">IMPRODUCT(AR193,AS193)</f>
        <v>-3.47120065741035E-09+2.33355259771804E-06j</v>
      </c>
      <c r="AU193" s="179" t="str">
        <f t="shared" ref="AU193:AU256" si="196">IMDIV(AQ193,AT193)</f>
        <v>318723.124544098-429005.265575939j</v>
      </c>
      <c r="AV193" s="136" t="str">
        <f t="shared" si="170"/>
        <v>7988.61769446053-301.544171617322j</v>
      </c>
      <c r="AW193" s="136"/>
      <c r="AX193" s="136" t="str">
        <f t="shared" si="171"/>
        <v>0.499288605903783-0.0188465107260826j</v>
      </c>
      <c r="AY193" s="136"/>
      <c r="AZ193" s="136" t="str">
        <f t="shared" si="172"/>
        <v>4.97255165729656-3.14327604280906j</v>
      </c>
      <c r="BA193" s="136" t="str">
        <f t="shared" si="173"/>
        <v>2.42349859910031-1.66311716153013j</v>
      </c>
      <c r="BB193" s="136">
        <f t="shared" ref="BB193:BB256" si="197">20*LOG(IMABS(BA193),10)</f>
        <v>9.3647876391850335</v>
      </c>
      <c r="BC193" s="136">
        <f t="shared" ref="BC193:BC256" si="198">IF((IMARGUMENT(BA193)*(180/PI()))&lt;0,(IMARGUMENT(BA193)*(180/PI()))+180,(IMARGUMENT(BA193)*(180/PI()))-180)</f>
        <v>145.54027908858248</v>
      </c>
      <c r="BD193" s="136" t="str">
        <f t="shared" si="174"/>
        <v>22.2407456405929-57.7886045632453j</v>
      </c>
      <c r="BE193" s="136">
        <f t="shared" ref="BE193:BE256" si="199">20*LOG(IMABS(BD193),10)</f>
        <v>35.836717707418572</v>
      </c>
      <c r="BF193" s="136">
        <f t="shared" ref="BF193:BF256" si="200">IF((IMARGUMENT(BD193)*(180/PI()))&lt;0,(IMARGUMENT(BD193)*(180/PI()))+180,(IMARGUMENT(BD193)*(180/PI()))-180)</f>
        <v>111.04991216520814</v>
      </c>
      <c r="BG193" s="136"/>
      <c r="BH193" s="136" t="str">
        <f t="shared" si="175"/>
        <v>-0.920902168897577-4.22005965203417j</v>
      </c>
      <c r="BI193" s="136">
        <f t="shared" ref="BI193:BI256" si="201">20*LOG(IMABS(BH193),10)</f>
        <v>12.708409798482611</v>
      </c>
      <c r="BJ193" s="136">
        <f t="shared" ref="BJ193:BJ256" si="202">IF((IMARGUMENT(BH193)*(180/PI()))&lt;0,(IMARGUMENT(BH193)*(180/PI()))+180,(IMARGUMENT(BH193)*(180/PI()))-180)</f>
        <v>77.689886208693039</v>
      </c>
      <c r="BK193" s="136"/>
      <c r="BL193" s="136">
        <f t="shared" ref="BL193:BL256" si="203">1-BI193</f>
        <v>-11.708409798482611</v>
      </c>
      <c r="BM193" s="136">
        <f t="shared" ref="BM193:BM256" si="204">+-1*BJ193</f>
        <v>-77.689886208693039</v>
      </c>
      <c r="BN193" s="136"/>
      <c r="BO193" s="189"/>
      <c r="BP193" s="189" t="str">
        <f t="shared" si="176"/>
        <v>0.00001+4.65778961620368E-06j</v>
      </c>
      <c r="BQ193" s="189" t="str">
        <f t="shared" si="177"/>
        <v>1.11586031774156E-06+1.49730399192418E-06j</v>
      </c>
      <c r="BR193" s="189" t="str">
        <f t="shared" si="178"/>
        <v>-0.0275408365042021-0.0395673148212879j</v>
      </c>
      <c r="BS193" s="189" t="str">
        <f t="shared" si="179"/>
        <v>0.0000636158603177416+6.15509360812786E-06j</v>
      </c>
      <c r="BT193" s="189" t="str">
        <f t="shared" ref="BT193:BT256" si="205">IMPRODUCT(BR193,BS193)</f>
        <v>-1.50849348153779E-06-2.68662519954867E-06j</v>
      </c>
      <c r="BU193" s="189" t="str">
        <f t="shared" ref="BU193:BU256" si="206">IMPRODUCT(-1,BQ193)</f>
        <v>-1.11586031774156E-06-1.49730399192418E-06j</v>
      </c>
      <c r="BV193" s="189" t="str">
        <f t="shared" ref="BV193:BV256" si="207">IMSUM(BT193,BU193)</f>
        <v>-2.62435379927935E-06-4.18392919147285E-06j</v>
      </c>
      <c r="BW193" s="189" t="str">
        <f t="shared" si="180"/>
        <v>0.999945048927027-0.0074126954174779j</v>
      </c>
      <c r="BX193" s="189" t="str">
        <f t="shared" ref="BX193:BX256" si="208">IMPRODUCT(-1,BP193)</f>
        <v>-0.00001-4.65778961620368E-06j</v>
      </c>
      <c r="BY193" s="189" t="str">
        <f t="shared" ref="BY193:BY256" si="209">IMPRODUCT(BW193,IMDIV(BX193,BV193))</f>
        <v>1.86571127669311-1.22795835028398j</v>
      </c>
      <c r="BZ193" s="136">
        <f t="shared" ref="BZ193:BZ256" si="210">20*LOG(IMABS(BY193),10)</f>
        <v>6.9799263554112381</v>
      </c>
      <c r="CA193" s="136">
        <f t="shared" ref="CA193:CA256" si="211">IF((IMARGUMENT(BY193)*(180/PI()))&lt;0,(IMARGUMENT(BY193)*(180/PI()))+180,(IMARGUMENT(BY193)*(180/PI()))-180)</f>
        <v>146.6482191338817</v>
      </c>
      <c r="CB193" s="189" t="str">
        <f t="shared" si="181"/>
        <v>17.7467154208364-43.5786072193054j</v>
      </c>
      <c r="CC193" s="136" t="str">
        <f t="shared" si="182"/>
        <v>-0.637656322568035-3.21975863701478j</v>
      </c>
      <c r="CD193" s="136">
        <f t="shared" ref="CD193:CD256" si="212">20*LOG(IMABS(CC193),10)</f>
        <v>10.323548514708826</v>
      </c>
      <c r="CE193" s="136">
        <f t="shared" ref="CE193:CE256" si="213">IF((IMARGUMENT(CC193)*(180/PI()))&lt;0,(IMARGUMENT(CC193)*(180/PI()))+180,(IMARGUMENT(CC193)*(180/PI()))-180)</f>
        <v>78.797826253992241</v>
      </c>
      <c r="CF193" s="136"/>
      <c r="CG193" s="136">
        <f t="shared" ref="CG193:CG256" si="214">1-CD193</f>
        <v>-9.3235485147088255</v>
      </c>
      <c r="CH193" s="136">
        <f t="shared" ref="CH193:CH256" si="215">+-1*CE193</f>
        <v>-78.797826253992241</v>
      </c>
      <c r="CI193" s="77"/>
      <c r="CJ193" s="189"/>
      <c r="CK193" s="189"/>
      <c r="CL193" s="189"/>
      <c r="CM193" s="77"/>
      <c r="CN193" s="189">
        <v>39810.717055349698</v>
      </c>
      <c r="CO193" s="189">
        <v>0.116823623319861</v>
      </c>
      <c r="CP193" s="189">
        <v>106.17493072168899</v>
      </c>
      <c r="CQ193" s="74"/>
      <c r="CR193" s="75"/>
      <c r="CS193" s="75"/>
      <c r="CT193" s="75"/>
      <c r="CU193" s="74"/>
      <c r="CV193" s="75"/>
      <c r="CW193" s="75"/>
      <c r="CX193" s="75"/>
      <c r="CY193" s="74"/>
      <c r="CZ193" s="75"/>
      <c r="DA193" s="75"/>
      <c r="DB193" s="75"/>
      <c r="DC193" s="74"/>
      <c r="DD193" s="75"/>
      <c r="DE193" s="75"/>
      <c r="DF193" s="75"/>
      <c r="DG193" s="74"/>
      <c r="DH193" s="75"/>
      <c r="DI193" s="75"/>
      <c r="DJ193" s="75"/>
      <c r="DK193" s="74"/>
      <c r="DL193" s="75"/>
      <c r="DM193" s="75"/>
      <c r="DN193" s="75"/>
      <c r="DO193" s="76"/>
    </row>
    <row r="194" spans="1:119" x14ac:dyDescent="0.25">
      <c r="A194" s="136">
        <v>145</v>
      </c>
      <c r="B194" s="136">
        <f t="shared" si="144"/>
        <v>22387.211385683382</v>
      </c>
      <c r="C194" s="136" t="str">
        <f t="shared" si="151"/>
        <v>140662.997647249j</v>
      </c>
      <c r="D194" s="136">
        <f t="shared" si="145"/>
        <v>0.98747031915931827</v>
      </c>
      <c r="E194" s="136" t="str">
        <f t="shared" si="146"/>
        <v>-0.175828747059061j</v>
      </c>
      <c r="F194" s="136" t="str">
        <f t="shared" si="152"/>
        <v>0.987470319159318-0.175828747059061j</v>
      </c>
      <c r="G194" s="136">
        <f t="shared" si="153"/>
        <v>2.6037566741944022E-2</v>
      </c>
      <c r="H194" s="136">
        <f t="shared" si="154"/>
        <v>-10.096259709181236</v>
      </c>
      <c r="I194" s="136"/>
      <c r="J194" s="136">
        <f t="shared" si="147"/>
        <v>7.0726915520628681</v>
      </c>
      <c r="K194" s="136" t="str">
        <f t="shared" si="148"/>
        <v>1+10.3245702519763j</v>
      </c>
      <c r="L194" s="136">
        <f t="shared" si="149"/>
        <v>-4.8205528529817459</v>
      </c>
      <c r="M194" s="136" t="str">
        <f t="shared" si="150"/>
        <v>0.75559740709457j</v>
      </c>
      <c r="N194" s="136" t="str">
        <f t="shared" si="155"/>
        <v>-4.82055285298175+0.75559740709457j</v>
      </c>
      <c r="O194" s="136" t="str">
        <f t="shared" si="156"/>
        <v>8.71900904829075+4.96102540218324j</v>
      </c>
      <c r="P194" s="136" t="str">
        <f t="shared" si="157"/>
        <v>61.6668616382057+35.0878024515907j</v>
      </c>
      <c r="Q194" s="136"/>
      <c r="R194" s="136">
        <f t="shared" si="158"/>
        <v>11.787819253438114</v>
      </c>
      <c r="S194" s="136" t="str">
        <f t="shared" si="159"/>
        <v>1+0.00329400158570835j</v>
      </c>
      <c r="T194" s="136" t="str">
        <f t="shared" si="160"/>
        <v>0.267235810269023+0.268096076907327j</v>
      </c>
      <c r="U194" s="136" t="str">
        <f t="shared" si="183"/>
        <v>1.87115648085018-1.86485377729974j</v>
      </c>
      <c r="V194" s="136" t="str">
        <f t="shared" si="184"/>
        <v>22.0568543911613-21.9825592609007j</v>
      </c>
      <c r="W194" s="136"/>
      <c r="X194" s="136" t="str">
        <f t="shared" si="161"/>
        <v>15.0367079770409+7.35467924162736j</v>
      </c>
      <c r="Y194" s="136">
        <f t="shared" si="185"/>
        <v>24.474586661625569</v>
      </c>
      <c r="Z194" s="136">
        <f t="shared" si="186"/>
        <v>-153.93605009748649</v>
      </c>
      <c r="AA194" s="136"/>
      <c r="AB194" s="136" t="str">
        <f t="shared" si="162"/>
        <v>17.3394924693522-17.2810870490318j</v>
      </c>
      <c r="AC194" s="136">
        <f t="shared" si="187"/>
        <v>27.77639906968259</v>
      </c>
      <c r="AD194" s="136">
        <f t="shared" si="188"/>
        <v>135.09665872024621</v>
      </c>
      <c r="AE194" s="136"/>
      <c r="AF194" s="136" t="str">
        <f t="shared" si="189"/>
        <v>0.485022102889984-1.30003421342677j</v>
      </c>
      <c r="AG194" s="136">
        <f t="shared" si="190"/>
        <v>2.8450639519812948</v>
      </c>
      <c r="AH194" s="136">
        <f t="shared" si="191"/>
        <v>110.45974564908929</v>
      </c>
      <c r="AI194" s="136"/>
      <c r="AJ194" s="136" t="str">
        <f t="shared" si="163"/>
        <v>80058.1558225436-39956.3170042947j</v>
      </c>
      <c r="AK194" s="136" t="str">
        <f t="shared" si="164"/>
        <v>19047.5899560016-23.5398640619594j</v>
      </c>
      <c r="AL194" s="136" t="str">
        <f t="shared" si="165"/>
        <v>10000-445253.782824538j</v>
      </c>
      <c r="AM194" s="136" t="str">
        <f t="shared" si="166"/>
        <v>962.908108593202-138197.122980828j</v>
      </c>
      <c r="AN194" s="136" t="str">
        <f t="shared" si="192"/>
        <v>10962.9081085932-138197.122980828j</v>
      </c>
      <c r="AO194" s="136" t="str">
        <f t="shared" si="193"/>
        <v>18497.1404366085-2528.88788976904j</v>
      </c>
      <c r="AP194" s="136" t="str">
        <f t="shared" si="194"/>
        <v>0.165377483669122+0.0664767537999272j</v>
      </c>
      <c r="AQ194" s="136" t="str">
        <f t="shared" si="167"/>
        <v>1+0.7985458389596j</v>
      </c>
      <c r="AR194" s="136" t="str">
        <f t="shared" si="168"/>
        <v>1+0.00159390387017884j</v>
      </c>
      <c r="AS194" s="136" t="str">
        <f t="shared" si="169"/>
        <v>2.50044665824225E-06j</v>
      </c>
      <c r="AT194" s="136" t="str">
        <f t="shared" si="195"/>
        <v>-3.98547160574807E-09+2.50044665824225E-06j</v>
      </c>
      <c r="AU194" s="179" t="str">
        <f t="shared" si="196"/>
        <v>318723.020060288-400436.561302378j</v>
      </c>
      <c r="AV194" s="136" t="str">
        <f t="shared" si="170"/>
        <v>7986.93411884694-323.042306786807j</v>
      </c>
      <c r="AW194" s="136"/>
      <c r="AX194" s="136" t="str">
        <f t="shared" si="171"/>
        <v>0.499183382427934-0.0201901441741754j</v>
      </c>
      <c r="AY194" s="136"/>
      <c r="AZ194" s="136" t="str">
        <f t="shared" si="172"/>
        <v>4.98436634123492-2.7764161060908j</v>
      </c>
      <c r="BA194" s="136" t="str">
        <f t="shared" si="173"/>
        <v>2.43205660800812-1.48657585791224j</v>
      </c>
      <c r="BB194" s="136">
        <f t="shared" si="197"/>
        <v>9.0981306009291369</v>
      </c>
      <c r="BC194" s="136">
        <f t="shared" si="198"/>
        <v>148.56496225605241</v>
      </c>
      <c r="BD194" s="136" t="str">
        <f t="shared" si="174"/>
        <v>16.4809804340246-67.8050528445514j</v>
      </c>
      <c r="BE194" s="136">
        <f t="shared" si="199"/>
        <v>36.874529670611722</v>
      </c>
      <c r="BF194" s="136">
        <f t="shared" si="200"/>
        <v>103.66162097629869</v>
      </c>
      <c r="BG194" s="136"/>
      <c r="BH194" s="136" t="str">
        <f t="shared" si="175"/>
        <v>-0.752998265776583-3.8827789481113j</v>
      </c>
      <c r="BI194" s="136">
        <f t="shared" si="201"/>
        <v>11.943194552910448</v>
      </c>
      <c r="BJ194" s="136">
        <f t="shared" si="202"/>
        <v>79.024707905141767</v>
      </c>
      <c r="BK194" s="136"/>
      <c r="BL194" s="136">
        <f t="shared" si="203"/>
        <v>-10.943194552910448</v>
      </c>
      <c r="BM194" s="136">
        <f t="shared" si="204"/>
        <v>-79.024707905141767</v>
      </c>
      <c r="BN194" s="136"/>
      <c r="BO194" s="189"/>
      <c r="BP194" s="189" t="str">
        <f t="shared" si="176"/>
        <v>0.00001+0.0000049909114934975j</v>
      </c>
      <c r="BQ194" s="189" t="str">
        <f t="shared" si="177"/>
        <v>1.21680751485534E-06+1.52377916894625E-06j</v>
      </c>
      <c r="BR194" s="189" t="str">
        <f t="shared" si="178"/>
        <v>-0.0301527324759298-0.0404743697977195j</v>
      </c>
      <c r="BS194" s="189" t="str">
        <f t="shared" si="179"/>
        <v>0.0000637168075148553+6.51469066244375E-06j</v>
      </c>
      <c r="BT194" s="189" t="str">
        <f t="shared" si="205"/>
        <v>-1.65755785222625E-06-2.77533335439447E-06j</v>
      </c>
      <c r="BU194" s="189" t="str">
        <f t="shared" si="206"/>
        <v>-1.21680751485534E-06-1.52377916894625E-06j</v>
      </c>
      <c r="BV194" s="189" t="str">
        <f t="shared" si="207"/>
        <v>-2.87436536708159E-06-4.29911252334072E-06j</v>
      </c>
      <c r="BW194" s="189" t="str">
        <f t="shared" si="180"/>
        <v>0.999936908240204-0.0079427815798968j</v>
      </c>
      <c r="BX194" s="189" t="str">
        <f t="shared" si="208"/>
        <v>-0.00001-0.0000049909114934975j</v>
      </c>
      <c r="BY194" s="189" t="str">
        <f t="shared" si="209"/>
        <v>1.86841190886464-1.08592466343923j</v>
      </c>
      <c r="BZ194" s="136">
        <f t="shared" si="210"/>
        <v>6.6933505507071178</v>
      </c>
      <c r="CA194" s="136">
        <f t="shared" si="211"/>
        <v>149.83476182949522</v>
      </c>
      <c r="CB194" s="189" t="str">
        <f t="shared" si="181"/>
        <v>13.6313555858226-51.1175713645258j</v>
      </c>
      <c r="CC194" s="136" t="str">
        <f t="shared" si="182"/>
        <v>-0.505518142572728-2.95569687013945j</v>
      </c>
      <c r="CD194" s="136">
        <f t="shared" si="212"/>
        <v>9.5384145026884219</v>
      </c>
      <c r="CE194" s="136">
        <f t="shared" si="213"/>
        <v>80.294507478584606</v>
      </c>
      <c r="CF194" s="136"/>
      <c r="CG194" s="136">
        <f t="shared" si="214"/>
        <v>-8.5384145026884219</v>
      </c>
      <c r="CH194" s="136">
        <f t="shared" si="215"/>
        <v>-80.294507478584606</v>
      </c>
      <c r="CI194" s="77"/>
      <c r="CJ194" s="189"/>
      <c r="CK194" s="189"/>
      <c r="CL194" s="189"/>
      <c r="CM194" s="77"/>
      <c r="CN194" s="189">
        <v>41686.938347033501</v>
      </c>
      <c r="CO194" s="189">
        <v>-8.40147351722762E-2</v>
      </c>
      <c r="CP194" s="189">
        <v>106.63915573489101</v>
      </c>
      <c r="CQ194" s="74"/>
      <c r="CR194" s="75"/>
      <c r="CS194" s="75"/>
      <c r="CT194" s="75"/>
      <c r="CU194" s="74"/>
      <c r="CV194" s="75"/>
      <c r="CW194" s="75"/>
      <c r="CX194" s="75"/>
      <c r="CY194" s="74"/>
      <c r="CZ194" s="75"/>
      <c r="DA194" s="75"/>
      <c r="DB194" s="75"/>
      <c r="DC194" s="74"/>
      <c r="DD194" s="75"/>
      <c r="DE194" s="75"/>
      <c r="DF194" s="75"/>
      <c r="DG194" s="74"/>
      <c r="DH194" s="75"/>
      <c r="DI194" s="75"/>
      <c r="DJ194" s="75"/>
      <c r="DK194" s="74"/>
      <c r="DL194" s="75"/>
      <c r="DM194" s="75"/>
      <c r="DN194" s="75"/>
      <c r="DO194" s="76"/>
    </row>
    <row r="195" spans="1:119" x14ac:dyDescent="0.25">
      <c r="A195" s="136">
        <v>146</v>
      </c>
      <c r="B195" s="136">
        <f t="shared" si="144"/>
        <v>23988.329190194923</v>
      </c>
      <c r="C195" s="136" t="str">
        <f t="shared" si="151"/>
        <v>150723.11751162j</v>
      </c>
      <c r="D195" s="136">
        <f t="shared" si="145"/>
        <v>0.98561400156657109</v>
      </c>
      <c r="E195" s="136" t="str">
        <f t="shared" si="146"/>
        <v>-0.188403896889525j</v>
      </c>
      <c r="F195" s="136" t="str">
        <f t="shared" si="152"/>
        <v>0.985614001566571-0.188403896889525j</v>
      </c>
      <c r="G195" s="136">
        <f t="shared" si="153"/>
        <v>2.9997065381273585E-2</v>
      </c>
      <c r="H195" s="136">
        <f t="shared" si="154"/>
        <v>-10.821760063556415</v>
      </c>
      <c r="I195" s="136"/>
      <c r="J195" s="136">
        <f t="shared" si="147"/>
        <v>7.0726915520628681</v>
      </c>
      <c r="K195" s="136" t="str">
        <f t="shared" si="148"/>
        <v>1+11.0629763432746j</v>
      </c>
      <c r="L195" s="136">
        <f t="shared" si="149"/>
        <v>-5.6828888372650539</v>
      </c>
      <c r="M195" s="136" t="str">
        <f t="shared" si="150"/>
        <v>0.809637208689315j</v>
      </c>
      <c r="N195" s="136" t="str">
        <f t="shared" si="155"/>
        <v>-5.68288883726505+0.809637208689315j</v>
      </c>
      <c r="O195" s="136" t="str">
        <f t="shared" si="156"/>
        <v>11.9431207710257+3.11575889969259j</v>
      </c>
      <c r="P195" s="136" t="str">
        <f t="shared" si="157"/>
        <v>84.4700093825+22.0368016481205j</v>
      </c>
      <c r="Q195" s="136"/>
      <c r="R195" s="136">
        <f t="shared" si="158"/>
        <v>11.787819253438114</v>
      </c>
      <c r="S195" s="136" t="str">
        <f t="shared" si="159"/>
        <v>1+0.00352958629056979j</v>
      </c>
      <c r="T195" s="136" t="str">
        <f t="shared" si="160"/>
        <v>0.158674141857146+0.287270122064667j</v>
      </c>
      <c r="U195" s="136" t="str">
        <f t="shared" si="183"/>
        <v>1.4826899244156-2.6620779185347j</v>
      </c>
      <c r="V195" s="136" t="str">
        <f t="shared" si="184"/>
        <v>17.4776808379049-31.3800933422558j</v>
      </c>
      <c r="W195" s="136"/>
      <c r="X195" s="136" t="str">
        <f t="shared" si="161"/>
        <v>20.232589742086+3.85600583249646j</v>
      </c>
      <c r="Y195" s="136">
        <f t="shared" si="185"/>
        <v>26.275977618486447</v>
      </c>
      <c r="Z195" s="136">
        <f t="shared" si="186"/>
        <v>-169.20974708784593</v>
      </c>
      <c r="AA195" s="136"/>
      <c r="AB195" s="136" t="str">
        <f t="shared" si="162"/>
        <v>13.7396797338443-24.6687438991144j</v>
      </c>
      <c r="AC195" s="136">
        <f t="shared" si="187"/>
        <v>29.016357763047978</v>
      </c>
      <c r="AD195" s="136">
        <f t="shared" si="188"/>
        <v>119.11636992703883</v>
      </c>
      <c r="AE195" s="136"/>
      <c r="AF195" s="136" t="str">
        <f t="shared" si="189"/>
        <v>0.422180993384734-1.23850536328366j</v>
      </c>
      <c r="AG195" s="136">
        <f t="shared" si="190"/>
        <v>2.3353732707935144</v>
      </c>
      <c r="AH195" s="136">
        <f t="shared" si="191"/>
        <v>108.82318713412516</v>
      </c>
      <c r="AI195" s="136"/>
      <c r="AJ195" s="136" t="str">
        <f t="shared" si="163"/>
        <v>77760.7483884849-41585.3441600671j</v>
      </c>
      <c r="AK195" s="136" t="str">
        <f t="shared" si="164"/>
        <v>19047.5856459807-25.2234130775929j</v>
      </c>
      <c r="AL195" s="136" t="str">
        <f t="shared" si="165"/>
        <v>10000-415535.007767129j</v>
      </c>
      <c r="AM195" s="136" t="str">
        <f t="shared" si="166"/>
        <v>962.873892827448-128975.120967659j</v>
      </c>
      <c r="AN195" s="136" t="str">
        <f t="shared" si="192"/>
        <v>10962.8738928274-128975.120967659j</v>
      </c>
      <c r="AO195" s="136" t="str">
        <f t="shared" si="193"/>
        <v>18419.8223106411-2691.65363228721j</v>
      </c>
      <c r="AP195" s="136" t="str">
        <f t="shared" si="194"/>
        <v>0.166168236353141+0.0711625841195903j</v>
      </c>
      <c r="AQ195" s="136" t="str">
        <f t="shared" si="167"/>
        <v>1+0.855657282562373j</v>
      </c>
      <c r="AR195" s="136" t="str">
        <f t="shared" si="168"/>
        <v>1+0.00170789876758957j</v>
      </c>
      <c r="AS195" s="136" t="str">
        <f t="shared" si="169"/>
        <v>2.67927686602343E-06j</v>
      </c>
      <c r="AT195" s="136" t="str">
        <f t="shared" si="195"/>
        <v>-4.57593365751266E-09+2.67927686602343E-06j</v>
      </c>
      <c r="AU195" s="179" t="str">
        <f t="shared" si="196"/>
        <v>318722.900096911-373779.38336486j</v>
      </c>
      <c r="AV195" s="136" t="str">
        <f t="shared" si="170"/>
        <v>7985.0019903-346.062331531541j</v>
      </c>
      <c r="AW195" s="136"/>
      <c r="AX195" s="136" t="str">
        <f t="shared" si="171"/>
        <v>0.49906262439375-0.0216288957207213j</v>
      </c>
      <c r="AY195" s="136"/>
      <c r="AZ195" s="136" t="str">
        <f t="shared" si="172"/>
        <v>4.99791237733116-2.4230588439217j</v>
      </c>
      <c r="BA195" s="136" t="str">
        <f t="shared" si="173"/>
        <v>2.44186318046054-1.31735743133865j</v>
      </c>
      <c r="BB195" s="136">
        <f t="shared" si="197"/>
        <v>8.8638503741103367</v>
      </c>
      <c r="BC195" s="136">
        <f t="shared" si="198"/>
        <v>151.65364291739721</v>
      </c>
      <c r="BD195" s="136" t="str">
        <f t="shared" si="174"/>
        <v>1.05286495610598-78.3377666370508j</v>
      </c>
      <c r="BE195" s="136">
        <f t="shared" si="199"/>
        <v>37.880208137158306</v>
      </c>
      <c r="BF195" s="136">
        <f t="shared" si="200"/>
        <v>90.770012844436067</v>
      </c>
      <c r="BG195" s="136"/>
      <c r="BH195" s="136" t="str">
        <f t="shared" si="175"/>
        <v>-0.600646020838062-3.58042391441058j</v>
      </c>
      <c r="BI195" s="136">
        <f t="shared" si="201"/>
        <v>11.199223644903833</v>
      </c>
      <c r="BJ195" s="136">
        <f t="shared" si="202"/>
        <v>80.476830051522427</v>
      </c>
      <c r="BK195" s="136"/>
      <c r="BL195" s="136">
        <f t="shared" si="203"/>
        <v>-10.199223644903833</v>
      </c>
      <c r="BM195" s="136">
        <f t="shared" si="204"/>
        <v>-80.476830051522427</v>
      </c>
      <c r="BN195" s="136"/>
      <c r="BO195" s="189"/>
      <c r="BP195" s="189" t="str">
        <f t="shared" si="176"/>
        <v>0.00001+5.34785801601483E-06j</v>
      </c>
      <c r="BQ195" s="189" t="str">
        <f t="shared" si="177"/>
        <v>1.32088308797308E-06+1.54370577436977E-06j</v>
      </c>
      <c r="BR195" s="189" t="str">
        <f t="shared" si="178"/>
        <v>-0.0328738956006337-0.0412225904862558j</v>
      </c>
      <c r="BS195" s="189" t="str">
        <f t="shared" si="179"/>
        <v>0.0000638208830879731+0.0000068915637903846j</v>
      </c>
      <c r="BT195" s="189" t="str">
        <f t="shared" si="205"/>
        <v>-1.81395293583334E-06-2.85741467657693E-06j</v>
      </c>
      <c r="BU195" s="189" t="str">
        <f t="shared" si="206"/>
        <v>-1.32088308797308E-06-1.54370577436977E-06j</v>
      </c>
      <c r="BV195" s="189" t="str">
        <f t="shared" si="207"/>
        <v>-3.13483602380642E-06-0.0000044011204509467j</v>
      </c>
      <c r="BW195" s="189" t="str">
        <f t="shared" si="180"/>
        <v>0.999927561644605-0.00851076424771077j</v>
      </c>
      <c r="BX195" s="189" t="str">
        <f t="shared" si="208"/>
        <v>-0.00001-5.34785801601483E-06j</v>
      </c>
      <c r="BY195" s="189" t="str">
        <f t="shared" si="209"/>
        <v>1.87173182272512-0.949125950317602j</v>
      </c>
      <c r="BZ195" s="136">
        <f t="shared" si="210"/>
        <v>6.4386901321670749</v>
      </c>
      <c r="CA195" s="136">
        <f t="shared" si="211"/>
        <v>153.11114629793914</v>
      </c>
      <c r="CB195" s="189" t="str">
        <f t="shared" si="181"/>
        <v>2.30325079549932-59.213959567073j</v>
      </c>
      <c r="CC195" s="136" t="str">
        <f t="shared" si="182"/>
        <v>-0.385287979632137-2.71885283762607j</v>
      </c>
      <c r="CD195" s="136">
        <f t="shared" si="212"/>
        <v>8.774063402960568</v>
      </c>
      <c r="CE195" s="136">
        <f t="shared" si="213"/>
        <v>81.934333432064392</v>
      </c>
      <c r="CF195" s="136"/>
      <c r="CG195" s="136">
        <f t="shared" si="214"/>
        <v>-7.774063402960568</v>
      </c>
      <c r="CH195" s="136">
        <f t="shared" si="215"/>
        <v>-81.934333432064392</v>
      </c>
      <c r="CI195" s="77"/>
      <c r="CJ195" s="189"/>
      <c r="CK195" s="189"/>
      <c r="CL195" s="189"/>
      <c r="CM195" s="77"/>
      <c r="CN195" s="189">
        <v>43651.583224016598</v>
      </c>
      <c r="CO195" s="189">
        <v>-0.27622279359035601</v>
      </c>
      <c r="CP195" s="189">
        <v>107.02430708541399</v>
      </c>
      <c r="CQ195" s="74"/>
      <c r="CR195" s="75"/>
      <c r="CS195" s="75"/>
      <c r="CT195" s="75"/>
      <c r="CU195" s="74"/>
      <c r="CV195" s="75"/>
      <c r="CW195" s="75"/>
      <c r="CX195" s="75"/>
      <c r="CY195" s="74"/>
      <c r="CZ195" s="75"/>
      <c r="DA195" s="75"/>
      <c r="DB195" s="75"/>
      <c r="DC195" s="74"/>
      <c r="DD195" s="75"/>
      <c r="DE195" s="75"/>
      <c r="DF195" s="75"/>
      <c r="DG195" s="74"/>
      <c r="DH195" s="75"/>
      <c r="DI195" s="75"/>
      <c r="DJ195" s="75"/>
      <c r="DK195" s="74"/>
      <c r="DL195" s="75"/>
      <c r="DM195" s="75"/>
      <c r="DN195" s="75"/>
      <c r="DO195" s="76"/>
    </row>
    <row r="196" spans="1:119" x14ac:dyDescent="0.25">
      <c r="A196" s="136">
        <v>147</v>
      </c>
      <c r="B196" s="136">
        <f t="shared" si="144"/>
        <v>25703.95782768865</v>
      </c>
      <c r="C196" s="136" t="str">
        <f t="shared" si="151"/>
        <v>161502.730159297j</v>
      </c>
      <c r="D196" s="136">
        <f t="shared" si="145"/>
        <v>0.98348266379981009</v>
      </c>
      <c r="E196" s="136" t="str">
        <f t="shared" si="146"/>
        <v>-0.201878412699121j</v>
      </c>
      <c r="F196" s="136" t="str">
        <f t="shared" si="152"/>
        <v>0.98348266379981-0.201878412699121j</v>
      </c>
      <c r="G196" s="136">
        <f t="shared" si="153"/>
        <v>3.45753491087986E-2</v>
      </c>
      <c r="H196" s="136">
        <f t="shared" si="154"/>
        <v>-11.599911372492267</v>
      </c>
      <c r="I196" s="136"/>
      <c r="J196" s="136">
        <f t="shared" si="147"/>
        <v>7.0726915520628681</v>
      </c>
      <c r="K196" s="136" t="str">
        <f t="shared" si="148"/>
        <v>1+11.8541927252056j</v>
      </c>
      <c r="L196" s="136">
        <f t="shared" si="149"/>
        <v>-6.6729830205669503</v>
      </c>
      <c r="M196" s="136" t="str">
        <f t="shared" si="150"/>
        <v>0.867541899349288j</v>
      </c>
      <c r="N196" s="136" t="str">
        <f t="shared" si="155"/>
        <v>-6.67298302056695+0.867541899349288j</v>
      </c>
      <c r="O196" s="136" t="str">
        <f t="shared" si="156"/>
        <v>13.853945779832-1.71716074956812j</v>
      </c>
      <c r="P196" s="136" t="str">
        <f t="shared" si="157"/>
        <v>97.9846852797548-12.1449483270044j</v>
      </c>
      <c r="Q196" s="136"/>
      <c r="R196" s="136">
        <f t="shared" si="158"/>
        <v>11.787819253438114</v>
      </c>
      <c r="S196" s="136" t="str">
        <f t="shared" si="159"/>
        <v>1+0.00378201984984752j</v>
      </c>
      <c r="T196" s="136" t="str">
        <f t="shared" si="160"/>
        <v>0.0340286691143077+0.307815481610255j</v>
      </c>
      <c r="U196" s="136" t="str">
        <f t="shared" si="183"/>
        <v>0.366942440384646-3.2081344055414j</v>
      </c>
      <c r="V196" s="136" t="str">
        <f t="shared" si="184"/>
        <v>4.3254511636697-37.8169085132581j</v>
      </c>
      <c r="W196" s="136"/>
      <c r="X196" s="136" t="str">
        <f t="shared" si="161"/>
        <v>22.8553115741583-4.51353067805995j</v>
      </c>
      <c r="Y196" s="136">
        <f t="shared" si="185"/>
        <v>27.345896108494525</v>
      </c>
      <c r="Z196" s="136">
        <f t="shared" si="186"/>
        <v>168.82881283598823</v>
      </c>
      <c r="AA196" s="136"/>
      <c r="AB196" s="136" t="str">
        <f t="shared" si="162"/>
        <v>3.4003546720178-29.7288991780526j</v>
      </c>
      <c r="AC196" s="136">
        <f t="shared" si="187"/>
        <v>29.520024701872064</v>
      </c>
      <c r="AD196" s="136">
        <f t="shared" si="188"/>
        <v>96.525064180895271</v>
      </c>
      <c r="AE196" s="136"/>
      <c r="AF196" s="136" t="str">
        <f t="shared" si="189"/>
        <v>0.365255075267368-1.1771093034448j</v>
      </c>
      <c r="AG196" s="136">
        <f t="shared" si="190"/>
        <v>1.8155708261205565</v>
      </c>
      <c r="AH196" s="136">
        <f t="shared" si="191"/>
        <v>107.23903037432993</v>
      </c>
      <c r="AI196" s="136"/>
      <c r="AJ196" s="136" t="str">
        <f t="shared" si="163"/>
        <v>75280.3907527785-43138.1715350434j</v>
      </c>
      <c r="AK196" s="136" t="str">
        <f t="shared" si="164"/>
        <v>19047.580697417-27.0273670349104j</v>
      </c>
      <c r="AL196" s="136" t="str">
        <f t="shared" si="165"/>
        <v>10000-387799.833130383j</v>
      </c>
      <c r="AM196" s="136" t="str">
        <f t="shared" si="166"/>
        <v>962.834610870665-120368.795201641j</v>
      </c>
      <c r="AN196" s="136" t="str">
        <f t="shared" si="192"/>
        <v>10962.8346108707-120368.795201641j</v>
      </c>
      <c r="AO196" s="136" t="str">
        <f t="shared" si="193"/>
        <v>18332.3179192317-2862.21101074841j</v>
      </c>
      <c r="AP196" s="136" t="str">
        <f t="shared" si="194"/>
        <v>0.167074267319528+0.0761679330401485j</v>
      </c>
      <c r="AQ196" s="136" t="str">
        <f t="shared" si="167"/>
        <v>1+0.916853296932733j</v>
      </c>
      <c r="AR196" s="136" t="str">
        <f t="shared" si="168"/>
        <v>1+0.00183004650086374j</v>
      </c>
      <c r="AS196" s="136" t="str">
        <f t="shared" si="169"/>
        <v>2.87089688602062E-06j</v>
      </c>
      <c r="AT196" s="136" t="str">
        <f t="shared" si="195"/>
        <v>-5.25387480060264E-09+2.87089688602062E-06j</v>
      </c>
      <c r="AU196" s="179" t="str">
        <f t="shared" si="196"/>
        <v>318722.762360635-348906.480886528j</v>
      </c>
      <c r="AV196" s="136" t="str">
        <f t="shared" si="170"/>
        <v>7982.78476240028-370.709504048827j</v>
      </c>
      <c r="AW196" s="136"/>
      <c r="AX196" s="136" t="str">
        <f t="shared" si="171"/>
        <v>0.498924047650017-0.0231693440030517j</v>
      </c>
      <c r="AY196" s="136"/>
      <c r="AZ196" s="136" t="str">
        <f t="shared" si="172"/>
        <v>5.01344027000524-2.08157414882911j</v>
      </c>
      <c r="BA196" s="136" t="str">
        <f t="shared" si="173"/>
        <v>2.45309720464053-1.15470552207196j</v>
      </c>
      <c r="BB196" s="136">
        <f t="shared" si="197"/>
        <v>8.6634823874299141</v>
      </c>
      <c r="BC196" s="136">
        <f t="shared" si="198"/>
        <v>154.79300932102512</v>
      </c>
      <c r="BD196" s="136" t="str">
        <f t="shared" si="174"/>
        <v>-25.9867235053047-76.8542877875031j</v>
      </c>
      <c r="BE196" s="136">
        <f t="shared" si="199"/>
        <v>38.183507089301969</v>
      </c>
      <c r="BF196" s="136">
        <f t="shared" si="200"/>
        <v>71.318073501920367</v>
      </c>
      <c r="BG196" s="136"/>
      <c r="BH196" s="136" t="str">
        <f t="shared" si="175"/>
        <v>-0.463208408650849-3.30932559421285j</v>
      </c>
      <c r="BI196" s="136">
        <f t="shared" si="201"/>
        <v>10.479053213550497</v>
      </c>
      <c r="BJ196" s="136">
        <f t="shared" si="202"/>
        <v>82.032039695354953</v>
      </c>
      <c r="BK196" s="136"/>
      <c r="BL196" s="136">
        <f t="shared" si="203"/>
        <v>-9.4790532135504968</v>
      </c>
      <c r="BM196" s="136">
        <f t="shared" si="204"/>
        <v>-82.032039695354953</v>
      </c>
      <c r="BN196" s="136"/>
      <c r="BO196" s="189"/>
      <c r="BP196" s="189" t="str">
        <f t="shared" si="176"/>
        <v>0.00001+5.73033310582958E-06j</v>
      </c>
      <c r="BQ196" s="189" t="str">
        <f t="shared" si="177"/>
        <v>1.42720248928849E-06+1.55663124522003E-06j</v>
      </c>
      <c r="BR196" s="189" t="str">
        <f t="shared" si="178"/>
        <v>-0.0356838955431089-0.0417957217525098j</v>
      </c>
      <c r="BS196" s="189" t="str">
        <f t="shared" si="179"/>
        <v>0.0000639272024892885+7.28696435104961E-06j</v>
      </c>
      <c r="BT196" s="189" t="str">
        <f t="shared" si="205"/>
        <v>-1.97660768155401E-06-2.93191084238787E-06j</v>
      </c>
      <c r="BU196" s="189" t="str">
        <f t="shared" si="206"/>
        <v>-1.42720248928849E-06-1.55663124522003E-06j</v>
      </c>
      <c r="BV196" s="189" t="str">
        <f t="shared" si="207"/>
        <v>-0.0000034038101708425-0.0000044885420876079j</v>
      </c>
      <c r="BW196" s="189" t="str">
        <f t="shared" si="180"/>
        <v>0.999916830532493-0.00911935032483768j</v>
      </c>
      <c r="BX196" s="189" t="str">
        <f t="shared" si="208"/>
        <v>-0.00001-5.73033310582958E-06j</v>
      </c>
      <c r="BY196" s="189" t="str">
        <f t="shared" si="209"/>
        <v>1.87573327188827-0.816921209645646j</v>
      </c>
      <c r="BZ196" s="136">
        <f t="shared" si="210"/>
        <v>6.217717887181661</v>
      </c>
      <c r="CA196" s="136">
        <f t="shared" si="211"/>
        <v>156.46586378420051</v>
      </c>
      <c r="CB196" s="189" t="str">
        <f t="shared" si="181"/>
        <v>-17.9080098834437-58.5413071767741j</v>
      </c>
      <c r="CC196" s="136" t="str">
        <f t="shared" si="182"/>
        <v>-0.276484458650218-2.50632770303727j</v>
      </c>
      <c r="CD196" s="136">
        <f t="shared" si="212"/>
        <v>8.0332887133022304</v>
      </c>
      <c r="CE196" s="136">
        <f t="shared" si="213"/>
        <v>83.704894158530351</v>
      </c>
      <c r="CF196" s="136"/>
      <c r="CG196" s="136">
        <f t="shared" si="214"/>
        <v>-7.0332887133022304</v>
      </c>
      <c r="CH196" s="136">
        <f t="shared" si="215"/>
        <v>-83.704894158530351</v>
      </c>
      <c r="CI196" s="77"/>
      <c r="CJ196" s="189"/>
      <c r="CK196" s="189"/>
      <c r="CL196" s="189"/>
      <c r="CM196" s="77"/>
      <c r="CN196" s="189">
        <v>45708.818961487501</v>
      </c>
      <c r="CO196" s="189">
        <v>-0.46025640530768902</v>
      </c>
      <c r="CP196" s="189">
        <v>107.325863013259</v>
      </c>
      <c r="CQ196" s="74"/>
      <c r="CR196" s="75"/>
      <c r="CS196" s="75"/>
      <c r="CT196" s="75"/>
      <c r="CU196" s="74"/>
      <c r="CV196" s="75"/>
      <c r="CW196" s="75"/>
      <c r="CX196" s="75"/>
      <c r="CY196" s="74"/>
      <c r="CZ196" s="75"/>
      <c r="DA196" s="75"/>
      <c r="DB196" s="75"/>
      <c r="DC196" s="74"/>
      <c r="DD196" s="75"/>
      <c r="DE196" s="75"/>
      <c r="DF196" s="75"/>
      <c r="DG196" s="74"/>
      <c r="DH196" s="75"/>
      <c r="DI196" s="75"/>
      <c r="DJ196" s="75"/>
      <c r="DK196" s="74"/>
      <c r="DL196" s="75"/>
      <c r="DM196" s="75"/>
      <c r="DN196" s="75"/>
      <c r="DO196" s="76"/>
    </row>
    <row r="197" spans="1:119" x14ac:dyDescent="0.25">
      <c r="A197" s="136">
        <v>148</v>
      </c>
      <c r="B197" s="136">
        <f t="shared" si="144"/>
        <v>27542.287033381672</v>
      </c>
      <c r="C197" s="136" t="str">
        <f t="shared" si="151"/>
        <v>173053.293214267j</v>
      </c>
      <c r="D197" s="136">
        <f t="shared" si="145"/>
        <v>0.98103556062427022</v>
      </c>
      <c r="E197" s="136" t="str">
        <f t="shared" si="146"/>
        <v>-0.216316616517834j</v>
      </c>
      <c r="F197" s="136" t="str">
        <f t="shared" si="152"/>
        <v>0.98103556062427-0.216316616517834j</v>
      </c>
      <c r="G197" s="136">
        <f t="shared" si="153"/>
        <v>3.9874190685140545E-2</v>
      </c>
      <c r="H197" s="136">
        <f t="shared" si="154"/>
        <v>-12.434644949373007</v>
      </c>
      <c r="I197" s="136"/>
      <c r="J197" s="136">
        <f t="shared" si="147"/>
        <v>7.0726915520628681</v>
      </c>
      <c r="K197" s="136" t="str">
        <f t="shared" si="148"/>
        <v>1+12.7019963530651j</v>
      </c>
      <c r="L197" s="136">
        <f t="shared" si="149"/>
        <v>-7.8097632427480903</v>
      </c>
      <c r="M197" s="136" t="str">
        <f t="shared" si="150"/>
        <v>0.929587893255265j</v>
      </c>
      <c r="N197" s="136" t="str">
        <f t="shared" si="155"/>
        <v>-7.80976324274809+0.929587893255265j</v>
      </c>
      <c r="O197" s="136" t="str">
        <f t="shared" si="156"/>
        <v>11.4130430231293-6.80645453367377j</v>
      </c>
      <c r="P197" s="136" t="str">
        <f t="shared" si="157"/>
        <v>80.7209329730167-48.1399534798145j</v>
      </c>
      <c r="Q197" s="136"/>
      <c r="R197" s="136">
        <f t="shared" si="158"/>
        <v>11.787819253438114</v>
      </c>
      <c r="S197" s="136" t="str">
        <f t="shared" si="159"/>
        <v>1+0.00405250728190346j</v>
      </c>
      <c r="T197" s="136" t="str">
        <f t="shared" si="160"/>
        <v>-0.109083481818572+0.329830230996399j</v>
      </c>
      <c r="U197" s="136" t="str">
        <f t="shared" si="183"/>
        <v>-0.892777807070799-2.73659781150935j</v>
      </c>
      <c r="V197" s="136" t="str">
        <f t="shared" si="184"/>
        <v>-10.5239034232314-32.2585203714265j</v>
      </c>
      <c r="W197" s="136"/>
      <c r="X197" s="136" t="str">
        <f t="shared" si="161"/>
        <v>18.1202408043313-12.7872661662523j</v>
      </c>
      <c r="Y197" s="136">
        <f t="shared" si="185"/>
        <v>26.918391239268864</v>
      </c>
      <c r="Z197" s="136">
        <f t="shared" si="186"/>
        <v>144.78977738534479</v>
      </c>
      <c r="AA197" s="136"/>
      <c r="AB197" s="136" t="str">
        <f t="shared" si="162"/>
        <v>-8.27312639051717-25.359299251526j</v>
      </c>
      <c r="AC197" s="136">
        <f t="shared" si="187"/>
        <v>28.521985130410581</v>
      </c>
      <c r="AD197" s="136">
        <f t="shared" si="188"/>
        <v>71.931789099918333</v>
      </c>
      <c r="AE197" s="136"/>
      <c r="AF197" s="136" t="str">
        <f t="shared" si="189"/>
        <v>0.313915396014993-1.11636562255861j</v>
      </c>
      <c r="AG197" s="136">
        <f t="shared" si="190"/>
        <v>1.2866257009760531</v>
      </c>
      <c r="AH197" s="136">
        <f t="shared" si="191"/>
        <v>105.70566827933324</v>
      </c>
      <c r="AI197" s="136"/>
      <c r="AJ197" s="136" t="str">
        <f t="shared" si="163"/>
        <v>72620.7994806689-44590.3513201608j</v>
      </c>
      <c r="AK197" s="136" t="str">
        <f t="shared" si="164"/>
        <v>19047.5750157088-28.9603369090594j</v>
      </c>
      <c r="AL197" s="136" t="str">
        <f t="shared" si="165"/>
        <v>10000-361915.862117285j</v>
      </c>
      <c r="AM197" s="136" t="str">
        <f t="shared" si="166"/>
        <v>962.789513102131-112337.062435362j</v>
      </c>
      <c r="AN197" s="136" t="str">
        <f t="shared" si="192"/>
        <v>10962.7895131021-112337.062435362j</v>
      </c>
      <c r="AO197" s="136" t="str">
        <f t="shared" si="193"/>
        <v>18233.4836585443-3040.35193502107j</v>
      </c>
      <c r="AP197" s="136" t="str">
        <f t="shared" si="194"/>
        <v>0.168112067085061+0.0815121291145919j</v>
      </c>
      <c r="AQ197" s="136" t="str">
        <f t="shared" si="167"/>
        <v>1+0.982426007734171j</v>
      </c>
      <c r="AR197" s="136" t="str">
        <f t="shared" si="168"/>
        <v>1+0.00196093015515803j</v>
      </c>
      <c r="AS197" s="136" t="str">
        <f t="shared" si="169"/>
        <v>3.07622143671762E-06j</v>
      </c>
      <c r="AT197" s="136" t="str">
        <f t="shared" si="195"/>
        <v>-6.03225537920314E-09+3.07622143671762E-06j</v>
      </c>
      <c r="AU197" s="179" t="str">
        <f t="shared" si="196"/>
        <v>318722.604218378-325699.120415999j</v>
      </c>
      <c r="AV197" s="136" t="str">
        <f t="shared" si="170"/>
        <v>7980.24056216022-397.095791131625j</v>
      </c>
      <c r="AW197" s="136"/>
      <c r="AX197" s="136" t="str">
        <f t="shared" si="171"/>
        <v>0.498765035135014-0.0248184869457266j</v>
      </c>
      <c r="AY197" s="136"/>
      <c r="AZ197" s="136" t="str">
        <f t="shared" si="172"/>
        <v>5.03123575557233-1.7504013576698j</v>
      </c>
      <c r="BA197" s="136" t="str">
        <f t="shared" si="173"/>
        <v>2.46596216515546-0.997906653579099j</v>
      </c>
      <c r="BB197" s="136">
        <f t="shared" si="197"/>
        <v>8.4983612970713143</v>
      </c>
      <c r="BC197" s="136">
        <f t="shared" si="198"/>
        <v>157.96818301708194</v>
      </c>
      <c r="BD197" s="136" t="str">
        <f t="shared" si="174"/>
        <v>-45.7074301197658-54.2792646181205j</v>
      </c>
      <c r="BE197" s="136">
        <f t="shared" si="199"/>
        <v>37.020346427481911</v>
      </c>
      <c r="BF197" s="136">
        <f t="shared" si="200"/>
        <v>49.899972117000317</v>
      </c>
      <c r="BG197" s="136"/>
      <c r="BH197" s="136" t="str">
        <f t="shared" si="175"/>
        <v>-0.33992519294544-3.06617365005403j</v>
      </c>
      <c r="BI197" s="136">
        <f t="shared" si="201"/>
        <v>9.7849869980473585</v>
      </c>
      <c r="BJ197" s="136">
        <f t="shared" si="202"/>
        <v>83.673851296415251</v>
      </c>
      <c r="BK197" s="136"/>
      <c r="BL197" s="136">
        <f t="shared" si="203"/>
        <v>-8.7849869980473585</v>
      </c>
      <c r="BM197" s="136">
        <f t="shared" si="204"/>
        <v>-83.673851296415251</v>
      </c>
      <c r="BN197" s="136"/>
      <c r="BO197" s="189"/>
      <c r="BP197" s="189" t="str">
        <f t="shared" si="176"/>
        <v>0.00001+6.14016254833857E-06j</v>
      </c>
      <c r="BQ197" s="189" t="str">
        <f t="shared" si="177"/>
        <v>1.53479938968936E-06+1.56225443708393E-06j</v>
      </c>
      <c r="BR197" s="189" t="str">
        <f t="shared" si="178"/>
        <v>-0.0385592147106406-0.0421808209917717j</v>
      </c>
      <c r="BS197" s="189" t="str">
        <f t="shared" si="179"/>
        <v>0.0000640347993896894+0.0000077024169854225j</v>
      </c>
      <c r="BT197" s="189" t="str">
        <f t="shared" si="205"/>
        <v>-2.14423730655374E-06-2.99803956063229E-06j</v>
      </c>
      <c r="BU197" s="189" t="str">
        <f t="shared" si="206"/>
        <v>-1.53479938968936E-06-1.56225443708393E-06j</v>
      </c>
      <c r="BV197" s="189" t="str">
        <f t="shared" si="207"/>
        <v>-0.0000036790366962431-4.56029399771622E-06j</v>
      </c>
      <c r="BW197" s="189" t="str">
        <f t="shared" si="180"/>
        <v>0.999904509851299-0.00977143952200004j</v>
      </c>
      <c r="BX197" s="189" t="str">
        <f t="shared" si="208"/>
        <v>-0.00001-6.14016254833857E-06j</v>
      </c>
      <c r="BY197" s="189" t="str">
        <f t="shared" si="209"/>
        <v>1.88049115462641-0.688694053991045j</v>
      </c>
      <c r="BZ197" s="136">
        <f t="shared" si="210"/>
        <v>6.0320355422130865</v>
      </c>
      <c r="CA197" s="136">
        <f t="shared" si="211"/>
        <v>159.88570601088938</v>
      </c>
      <c r="CB197" s="189" t="str">
        <f t="shared" si="181"/>
        <v>-33.0223396063794-41.9902849769533j</v>
      </c>
      <c r="CC197" s="136" t="str">
        <f t="shared" si="182"/>
        <v>-0.178519240828882-2.31550734524224j</v>
      </c>
      <c r="CD197" s="136">
        <f t="shared" si="212"/>
        <v>7.3186612431891316</v>
      </c>
      <c r="CE197" s="136">
        <f t="shared" si="213"/>
        <v>85.591374290222703</v>
      </c>
      <c r="CF197" s="136"/>
      <c r="CG197" s="136">
        <f t="shared" si="214"/>
        <v>-6.3186612431891316</v>
      </c>
      <c r="CH197" s="136">
        <f t="shared" si="215"/>
        <v>-85.591374290222703</v>
      </c>
      <c r="CI197" s="77"/>
      <c r="CJ197" s="189"/>
      <c r="CK197" s="189"/>
      <c r="CL197" s="189"/>
      <c r="CM197" s="77"/>
      <c r="CN197" s="189">
        <v>47863.009232263801</v>
      </c>
      <c r="CO197" s="189">
        <v>-0.63660548238846504</v>
      </c>
      <c r="CP197" s="189">
        <v>107.539385463927</v>
      </c>
      <c r="CQ197" s="74"/>
      <c r="CR197" s="75"/>
      <c r="CS197" s="75"/>
      <c r="CT197" s="75"/>
      <c r="CU197" s="74"/>
      <c r="CV197" s="75"/>
      <c r="CW197" s="75"/>
      <c r="CX197" s="75"/>
      <c r="CY197" s="74"/>
      <c r="CZ197" s="75"/>
      <c r="DA197" s="75"/>
      <c r="DB197" s="75"/>
      <c r="DC197" s="74"/>
      <c r="DD197" s="75"/>
      <c r="DE197" s="75"/>
      <c r="DF197" s="75"/>
      <c r="DG197" s="74"/>
      <c r="DH197" s="75"/>
      <c r="DI197" s="75"/>
      <c r="DJ197" s="75"/>
      <c r="DK197" s="74"/>
      <c r="DL197" s="75"/>
      <c r="DM197" s="75"/>
      <c r="DN197" s="75"/>
      <c r="DO197" s="76"/>
    </row>
    <row r="198" spans="1:119" x14ac:dyDescent="0.25">
      <c r="A198" s="136">
        <v>149</v>
      </c>
      <c r="B198" s="136">
        <f t="shared" si="144"/>
        <v>29512.092266663854</v>
      </c>
      <c r="C198" s="136" t="str">
        <f t="shared" si="151"/>
        <v>185429.944514031j</v>
      </c>
      <c r="D198" s="136">
        <f t="shared" si="145"/>
        <v>0.97822591025109795</v>
      </c>
      <c r="E198" s="136" t="str">
        <f t="shared" si="146"/>
        <v>-0.231787430642539j</v>
      </c>
      <c r="F198" s="136" t="str">
        <f t="shared" si="152"/>
        <v>0.978225910251098-0.231787430642539j</v>
      </c>
      <c r="G198" s="136">
        <f t="shared" si="153"/>
        <v>4.6013580843312814E-2</v>
      </c>
      <c r="H198" s="136">
        <f t="shared" si="154"/>
        <v>-13.330207285590182</v>
      </c>
      <c r="I198" s="136"/>
      <c r="J198" s="136">
        <f t="shared" si="147"/>
        <v>7.0726915520628681</v>
      </c>
      <c r="K198" s="136" t="str">
        <f t="shared" si="148"/>
        <v>1+13.6104343073669j</v>
      </c>
      <c r="L198" s="136">
        <f t="shared" si="149"/>
        <v>-9.1149615716913086</v>
      </c>
      <c r="M198" s="136" t="str">
        <f t="shared" si="150"/>
        <v>0.996071373538171j</v>
      </c>
      <c r="N198" s="136" t="str">
        <f t="shared" si="155"/>
        <v>-9.11496157169131+0.996071373538171j</v>
      </c>
      <c r="O198" s="136" t="str">
        <f t="shared" si="156"/>
        <v>7.17910742073316-8.38311269839747j</v>
      </c>
      <c r="P198" s="136" t="str">
        <f t="shared" si="157"/>
        <v>50.7756124059713-59.2911703619467j</v>
      </c>
      <c r="Q198" s="136"/>
      <c r="R198" s="136">
        <f t="shared" si="158"/>
        <v>11.787819253438114</v>
      </c>
      <c r="S198" s="136" t="str">
        <f t="shared" si="159"/>
        <v>1+0.00434233978717553j</v>
      </c>
      <c r="T198" s="136" t="str">
        <f t="shared" si="160"/>
        <v>-0.273398216192364+0.353419459963621j</v>
      </c>
      <c r="U198" s="136" t="str">
        <f t="shared" si="183"/>
        <v>-1.36168776638495-1.77612459066064j</v>
      </c>
      <c r="V198" s="136" t="str">
        <f t="shared" si="184"/>
        <v>-16.0513292697637-20.9366356462944j</v>
      </c>
      <c r="W198" s="136"/>
      <c r="X198" s="136" t="str">
        <f t="shared" si="161"/>
        <v>10.7920114325784-14.9296145873018j</v>
      </c>
      <c r="Y198" s="136">
        <f t="shared" si="185"/>
        <v>25.306618061238332</v>
      </c>
      <c r="Z198" s="136">
        <f t="shared" si="186"/>
        <v>125.86163647922777</v>
      </c>
      <c r="AA198" s="136"/>
      <c r="AB198" s="136" t="str">
        <f t="shared" si="162"/>
        <v>-12.6183860155368-16.4588580803239j</v>
      </c>
      <c r="AC198" s="136">
        <f t="shared" si="187"/>
        <v>26.335872895048176</v>
      </c>
      <c r="AD198" s="136">
        <f t="shared" si="188"/>
        <v>52.523977959106503</v>
      </c>
      <c r="AE198" s="136"/>
      <c r="AF198" s="136" t="str">
        <f t="shared" si="189"/>
        <v>0.267798354780974-1.05670961460439j</v>
      </c>
      <c r="AG198" s="136">
        <f t="shared" si="190"/>
        <v>0.74944797523139084</v>
      </c>
      <c r="AH198" s="136">
        <f t="shared" si="191"/>
        <v>104.2208764054178</v>
      </c>
      <c r="AI198" s="136"/>
      <c r="AJ198" s="136" t="str">
        <f t="shared" si="163"/>
        <v>69789.892722931-45916.8830171962j</v>
      </c>
      <c r="AK198" s="136" t="str">
        <f t="shared" si="164"/>
        <v>19047.5684922391-31.0315494564622j</v>
      </c>
      <c r="AL198" s="136" t="str">
        <f t="shared" si="165"/>
        <v>10000-337759.534847608j</v>
      </c>
      <c r="AM198" s="136" t="str">
        <f t="shared" si="166"/>
        <v>962.737739145414-104841.582293095j</v>
      </c>
      <c r="AN198" s="136" t="str">
        <f t="shared" si="192"/>
        <v>10962.7377391454-104841.582293095j</v>
      </c>
      <c r="AO198" s="136" t="str">
        <f t="shared" si="193"/>
        <v>18122.1050703379-3225.72127384226j</v>
      </c>
      <c r="AP198" s="136" t="str">
        <f t="shared" si="194"/>
        <v>0.169300386204625+0.0872151007693574j</v>
      </c>
      <c r="AQ198" s="136" t="str">
        <f t="shared" si="167"/>
        <v>1+1.05268843325467j</v>
      </c>
      <c r="AR198" s="136" t="str">
        <f t="shared" si="168"/>
        <v>1+0.0021011745174744j</v>
      </c>
      <c r="AS198" s="136" t="str">
        <f t="shared" si="169"/>
        <v>0.0000032962306566287j</v>
      </c>
      <c r="AT198" s="136" t="str">
        <f t="shared" si="195"/>
        <v>-6.92595585942613E-09+0.0000032962306566287j</v>
      </c>
      <c r="AU198" s="179" t="str">
        <f t="shared" si="196"/>
        <v>318722.422646964-304046.519140045j</v>
      </c>
      <c r="AV198" s="136" t="str">
        <f t="shared" si="170"/>
        <v>7977.32142863324-425.340161911423j</v>
      </c>
      <c r="AW198" s="136"/>
      <c r="AX198" s="136" t="str">
        <f t="shared" si="171"/>
        <v>0.498582589289578-0.0265837601194639j</v>
      </c>
      <c r="AY198" s="136"/>
      <c r="AZ198" s="136" t="str">
        <f t="shared" si="172"/>
        <v>5.05162443786095-1.42804462744744j</v>
      </c>
      <c r="BA198" s="136" t="str">
        <f t="shared" si="173"/>
        <v>2.48068919653127-0.846289360243533j</v>
      </c>
      <c r="BB198" s="136">
        <f t="shared" si="197"/>
        <v>8.3695829034217581</v>
      </c>
      <c r="BC198" s="136">
        <f t="shared" si="198"/>
        <v>161.16287861185742</v>
      </c>
      <c r="BD198" s="136" t="str">
        <f t="shared" si="174"/>
        <v>-45.2312503415398-30.1505055987064j</v>
      </c>
      <c r="BE198" s="136">
        <f t="shared" si="199"/>
        <v>34.705455798469941</v>
      </c>
      <c r="BF198" s="136">
        <f t="shared" si="200"/>
        <v>33.686856570964011</v>
      </c>
      <c r="BG198" s="136"/>
      <c r="BH198" s="136" t="str">
        <f t="shared" si="175"/>
        <v>-0.229957618152724-2.84800302316169j</v>
      </c>
      <c r="BI198" s="136">
        <f t="shared" si="201"/>
        <v>9.1190308786531382</v>
      </c>
      <c r="BJ198" s="136">
        <f t="shared" si="202"/>
        <v>85.383755017275334</v>
      </c>
      <c r="BK198" s="136"/>
      <c r="BL198" s="136">
        <f t="shared" si="203"/>
        <v>-8.1190308786531382</v>
      </c>
      <c r="BM198" s="136">
        <f t="shared" si="204"/>
        <v>-85.383755017275334</v>
      </c>
      <c r="BN198" s="136"/>
      <c r="BO198" s="189"/>
      <c r="BP198" s="189" t="str">
        <f t="shared" si="176"/>
        <v>0.00001+6.57930270784171E-06j</v>
      </c>
      <c r="BQ198" s="189" t="str">
        <f t="shared" si="177"/>
        <v>1.64265972743243E-06+1.56044245907947E-06j</v>
      </c>
      <c r="BR198" s="189" t="str">
        <f t="shared" si="178"/>
        <v>-0.0414739688193993-0.0423689491873888j</v>
      </c>
      <c r="BS198" s="189" t="str">
        <f t="shared" si="179"/>
        <v>0.0000641426597274324+8.13974516692118E-06j</v>
      </c>
      <c r="BT198" s="189" t="str">
        <f t="shared" si="205"/>
        <v>-2.31537822015329E-06-0.0000030552446279863j</v>
      </c>
      <c r="BU198" s="189" t="str">
        <f t="shared" si="206"/>
        <v>-1.64265972743243E-06-1.56044245907947E-06j</v>
      </c>
      <c r="BV198" s="189" t="str">
        <f t="shared" si="207"/>
        <v>-3.95803794758572E-06-4.61568708706577E-06j</v>
      </c>
      <c r="BW198" s="189" t="str">
        <f t="shared" si="180"/>
        <v>0.999890364190993-0.0104701379645302j</v>
      </c>
      <c r="BX198" s="189" t="str">
        <f t="shared" si="208"/>
        <v>-0.00001-6.57930270784171E-06j</v>
      </c>
      <c r="BY198" s="189" t="str">
        <f t="shared" si="209"/>
        <v>1.88609432474898-0.563850384524956j</v>
      </c>
      <c r="BZ198" s="136">
        <f t="shared" si="210"/>
        <v>5.8830298141700341</v>
      </c>
      <c r="CA198" s="136">
        <f t="shared" si="211"/>
        <v>163.35589555789832</v>
      </c>
      <c r="CB198" s="189" t="str">
        <f t="shared" si="181"/>
        <v>-33.0797997088281-23.9280770102031j</v>
      </c>
      <c r="CC198" s="136" t="str">
        <f t="shared" si="182"/>
        <v>-0.0907331653963894-2.14405221233142j</v>
      </c>
      <c r="CD198" s="136">
        <f t="shared" si="212"/>
        <v>6.6324777894014009</v>
      </c>
      <c r="CE198" s="136">
        <f t="shared" si="213"/>
        <v>87.576771963316261</v>
      </c>
      <c r="CF198" s="136"/>
      <c r="CG198" s="136">
        <f t="shared" si="214"/>
        <v>-5.6324777894014009</v>
      </c>
      <c r="CH198" s="136">
        <f t="shared" si="215"/>
        <v>-87.576771963316261</v>
      </c>
      <c r="CI198" s="77"/>
      <c r="CJ198" s="189"/>
      <c r="CK198" s="189"/>
      <c r="CL198" s="189"/>
      <c r="CM198" s="77"/>
      <c r="CN198" s="189">
        <v>50118.7233627272</v>
      </c>
      <c r="CO198" s="189">
        <v>-0.80579187701911104</v>
      </c>
      <c r="CP198" s="189">
        <v>107.660530812212</v>
      </c>
      <c r="CQ198" s="74"/>
      <c r="CR198" s="75"/>
      <c r="CS198" s="75"/>
      <c r="CT198" s="75"/>
      <c r="CU198" s="74"/>
      <c r="CV198" s="75"/>
      <c r="CW198" s="75"/>
      <c r="CX198" s="75"/>
      <c r="CY198" s="74"/>
      <c r="CZ198" s="75"/>
      <c r="DA198" s="75"/>
      <c r="DB198" s="75"/>
      <c r="DC198" s="74"/>
      <c r="DD198" s="75"/>
      <c r="DE198" s="75"/>
      <c r="DF198" s="75"/>
      <c r="DG198" s="74"/>
      <c r="DH198" s="75"/>
      <c r="DI198" s="75"/>
      <c r="DJ198" s="75"/>
      <c r="DK198" s="74"/>
      <c r="DL198" s="75"/>
      <c r="DM198" s="75"/>
      <c r="DN198" s="75"/>
      <c r="DO198" s="76"/>
    </row>
    <row r="199" spans="1:119" x14ac:dyDescent="0.25">
      <c r="A199" s="136">
        <v>150</v>
      </c>
      <c r="B199" s="136">
        <f t="shared" si="144"/>
        <v>31622.77660168384</v>
      </c>
      <c r="C199" s="136" t="str">
        <f t="shared" si="151"/>
        <v>198691.765315922j</v>
      </c>
      <c r="D199" s="136">
        <f t="shared" si="145"/>
        <v>0.97499999999999998</v>
      </c>
      <c r="E199" s="136" t="str">
        <f t="shared" si="146"/>
        <v>-0.248364706644903j</v>
      </c>
      <c r="F199" s="136" t="str">
        <f t="shared" si="152"/>
        <v>0.975-0.248364706644903j</v>
      </c>
      <c r="G199" s="136">
        <f t="shared" si="153"/>
        <v>5.3135388037722282E-2</v>
      </c>
      <c r="H199" s="136">
        <f t="shared" si="154"/>
        <v>-14.291188718061887</v>
      </c>
      <c r="I199" s="136"/>
      <c r="J199" s="136">
        <f t="shared" si="147"/>
        <v>7.0726915520628681</v>
      </c>
      <c r="K199" s="136" t="str">
        <f t="shared" si="148"/>
        <v>1+14.5838431130118j</v>
      </c>
      <c r="L199" s="136">
        <f t="shared" si="149"/>
        <v>-10.613529759839126</v>
      </c>
      <c r="M199" s="136" t="str">
        <f t="shared" si="150"/>
        <v>1.06730970614069j</v>
      </c>
      <c r="N199" s="136" t="str">
        <f t="shared" si="155"/>
        <v>-10.6135297598391+1.06730970614069j</v>
      </c>
      <c r="O199" s="136" t="str">
        <f t="shared" si="156"/>
        <v>4.19582951147706-7.76008513054236j</v>
      </c>
      <c r="P199" s="136" t="str">
        <f t="shared" si="157"/>
        <v>29.6758079397199-54.8846885460756j</v>
      </c>
      <c r="Q199" s="136"/>
      <c r="R199" s="136">
        <f t="shared" si="158"/>
        <v>11.787819253438114</v>
      </c>
      <c r="S199" s="136" t="str">
        <f t="shared" si="159"/>
        <v>1+0.00465290091185994j</v>
      </c>
      <c r="T199" s="136" t="str">
        <f t="shared" si="160"/>
        <v>-0.46205677352893+0.378695774197669j</v>
      </c>
      <c r="U199" s="136" t="str">
        <f t="shared" si="183"/>
        <v>-1.28967714936064-1.06707274019252j</v>
      </c>
      <c r="V199" s="136" t="str">
        <f t="shared" si="184"/>
        <v>-15.2024811319525-12.5784605916604j</v>
      </c>
      <c r="W199" s="136"/>
      <c r="X199" s="136" t="str">
        <f t="shared" si="161"/>
        <v>5.83600339051668-13.5199111187024j</v>
      </c>
      <c r="Y199" s="136">
        <f t="shared" si="185"/>
        <v>23.361532824946792</v>
      </c>
      <c r="Z199" s="136">
        <f t="shared" si="186"/>
        <v>113.34792049272465</v>
      </c>
      <c r="AA199" s="136"/>
      <c r="AB199" s="136" t="str">
        <f t="shared" si="162"/>
        <v>-11.9510834332112-9.88826959806829j</v>
      </c>
      <c r="AC199" s="136">
        <f t="shared" si="187"/>
        <v>23.813069420789184</v>
      </c>
      <c r="AD199" s="136">
        <f t="shared" si="188"/>
        <v>39.604193861517047</v>
      </c>
      <c r="AE199" s="136"/>
      <c r="AF199" s="136" t="str">
        <f t="shared" si="189"/>
        <v>0.226521085525664-0.998496382362594j</v>
      </c>
      <c r="AG199" s="136">
        <f t="shared" si="190"/>
        <v>0.20488414430576915</v>
      </c>
      <c r="AH199" s="136">
        <f t="shared" si="191"/>
        <v>102.78189785521654</v>
      </c>
      <c r="AI199" s="136"/>
      <c r="AJ199" s="136" t="str">
        <f t="shared" si="163"/>
        <v>66800.096234077-47093.0649514953j</v>
      </c>
      <c r="AK199" s="136" t="str">
        <f t="shared" si="164"/>
        <v>19047.5610022993-33.2508912390182j</v>
      </c>
      <c r="AL199" s="136" t="str">
        <f t="shared" si="165"/>
        <v>10000-315215.538531721j</v>
      </c>
      <c r="AM199" s="136" t="str">
        <f t="shared" si="166"/>
        <v>962.678301555931-97846.5742469j</v>
      </c>
      <c r="AN199" s="136" t="str">
        <f t="shared" si="192"/>
        <v>10962.6783015559-97846.5742469j</v>
      </c>
      <c r="AO199" s="136" t="str">
        <f t="shared" si="193"/>
        <v>17996.9098443447-3417.790875571j</v>
      </c>
      <c r="AP199" s="136" t="str">
        <f t="shared" si="194"/>
        <v>0.17066051392902+0.0932972505936894j</v>
      </c>
      <c r="AQ199" s="136" t="str">
        <f t="shared" si="167"/>
        <v>1+1.12797597863271j</v>
      </c>
      <c r="AR199" s="136" t="str">
        <f t="shared" si="168"/>
        <v>1+0.00225144905914713j</v>
      </c>
      <c r="AS199" s="136" t="str">
        <f t="shared" si="169"/>
        <v>3.53197478309368E-06j</v>
      </c>
      <c r="AT199" s="136" t="str">
        <f t="shared" si="195"/>
        <v>-7.95206130232765E-09+3.53197478309368E-06j</v>
      </c>
      <c r="AU199" s="179" t="str">
        <f t="shared" si="196"/>
        <v>318722.214175346-283845.316049343j</v>
      </c>
      <c r="AV199" s="136" t="str">
        <f t="shared" si="170"/>
        <v>7973.97244744221-455.568860843442j</v>
      </c>
      <c r="AW199" s="136"/>
      <c r="AX199" s="136" t="str">
        <f t="shared" si="171"/>
        <v>0.498373277965138-0.0284730538027151j</v>
      </c>
      <c r="AY199" s="136"/>
      <c r="AZ199" s="136" t="str">
        <f t="shared" si="172"/>
        <v>5.07497693206843-1.11306922517589j</v>
      </c>
      <c r="BA199" s="136" t="str">
        <f t="shared" si="173"/>
        <v>2.49754040929782-0.699224049587347j</v>
      </c>
      <c r="BB199" s="136">
        <f t="shared" si="197"/>
        <v>8.2779704708634458</v>
      </c>
      <c r="BC199" s="136">
        <f t="shared" si="198"/>
        <v>164.359609954685</v>
      </c>
      <c r="BD199" s="136" t="str">
        <f t="shared" si="174"/>
        <v>-36.7624297211075-16.3398679440805j</v>
      </c>
      <c r="BE199" s="136">
        <f t="shared" si="199"/>
        <v>32.091039891652635</v>
      </c>
      <c r="BF199" s="136">
        <f t="shared" si="200"/>
        <v>23.963803816202045</v>
      </c>
      <c r="BG199" s="136"/>
      <c r="BH199" s="136" t="str">
        <f t="shared" si="175"/>
        <v>-0.132427119315536-2.65217405422645j</v>
      </c>
      <c r="BI199" s="136">
        <f t="shared" si="201"/>
        <v>8.4828546151692379</v>
      </c>
      <c r="BJ199" s="136">
        <f t="shared" si="202"/>
        <v>87.14150780990154</v>
      </c>
      <c r="BK199" s="136"/>
      <c r="BL199" s="136">
        <f t="shared" si="203"/>
        <v>-7.4828546151692379</v>
      </c>
      <c r="BM199" s="136">
        <f t="shared" si="204"/>
        <v>-87.14150780990154</v>
      </c>
      <c r="BN199" s="136"/>
      <c r="BO199" s="189"/>
      <c r="BP199" s="189" t="str">
        <f t="shared" si="176"/>
        <v>0.00001+7.04984986645445E-06j</v>
      </c>
      <c r="BQ199" s="189" t="str">
        <f t="shared" si="177"/>
        <v>1.74975949200424E-06+1.55123825786187E-06j</v>
      </c>
      <c r="BR199" s="189" t="str">
        <f t="shared" si="178"/>
        <v>-0.0444008050981034-0.0423556679355062j</v>
      </c>
      <c r="BS199" s="189" t="str">
        <f t="shared" si="179"/>
        <v>0.0000642497594920042+8.60108812431632E-06j</v>
      </c>
      <c r="BT199" s="189" t="str">
        <f t="shared" si="205"/>
        <v>-2.48843621632693E-06-3.10323671541885E-06j</v>
      </c>
      <c r="BU199" s="189" t="str">
        <f t="shared" si="206"/>
        <v>-1.74975949200424E-06-1.55123825786187E-06j</v>
      </c>
      <c r="BV199" s="189" t="str">
        <f t="shared" si="207"/>
        <v>-4.23819570833117E-06-4.65447497328072E-06j</v>
      </c>
      <c r="BW199" s="189" t="str">
        <f t="shared" si="180"/>
        <v>0.999874123293451-0.0112187727316187j</v>
      </c>
      <c r="BX199" s="189" t="str">
        <f t="shared" si="208"/>
        <v>-0.00001-7.04984986645445E-06j</v>
      </c>
      <c r="BY199" s="189" t="str">
        <f t="shared" si="209"/>
        <v>1.89264713137761-0.441816307659497j</v>
      </c>
      <c r="BZ199" s="136">
        <f t="shared" si="210"/>
        <v>5.7718318184180131</v>
      </c>
      <c r="CA199" s="136">
        <f t="shared" si="211"/>
        <v>166.86027481766354</v>
      </c>
      <c r="CB199" s="189" t="str">
        <f t="shared" si="181"/>
        <v>-26.9879825396819-13.4348215340804j</v>
      </c>
      <c r="CC199" s="136" t="str">
        <f t="shared" si="182"/>
        <v>-0.0124275021501198-1.98988202338346j</v>
      </c>
      <c r="CD199" s="136">
        <f t="shared" si="212"/>
        <v>5.9767159627238042</v>
      </c>
      <c r="CE199" s="136">
        <f t="shared" si="213"/>
        <v>89.642172672879994</v>
      </c>
      <c r="CF199" s="136"/>
      <c r="CG199" s="136">
        <f t="shared" si="214"/>
        <v>-4.9767159627238042</v>
      </c>
      <c r="CH199" s="136">
        <f t="shared" si="215"/>
        <v>-89.642172672879994</v>
      </c>
      <c r="CI199" s="77"/>
      <c r="CJ199" s="189"/>
      <c r="CK199" s="189"/>
      <c r="CL199" s="189"/>
      <c r="CM199" s="77"/>
      <c r="CN199" s="189">
        <v>52480.746024977198</v>
      </c>
      <c r="CO199" s="189">
        <v>-0.96836703993031203</v>
      </c>
      <c r="CP199" s="189">
        <v>107.68505754632599</v>
      </c>
      <c r="CQ199" s="74"/>
      <c r="CR199" s="75"/>
      <c r="CS199" s="75"/>
      <c r="CT199" s="75"/>
      <c r="CU199" s="74"/>
      <c r="CV199" s="75"/>
      <c r="CW199" s="75"/>
      <c r="CX199" s="75"/>
      <c r="CY199" s="74"/>
      <c r="CZ199" s="75"/>
      <c r="DA199" s="75"/>
      <c r="DB199" s="75"/>
      <c r="DC199" s="74"/>
      <c r="DD199" s="75"/>
      <c r="DE199" s="75"/>
      <c r="DF199" s="75"/>
      <c r="DG199" s="74"/>
      <c r="DH199" s="75"/>
      <c r="DI199" s="75"/>
      <c r="DJ199" s="75"/>
      <c r="DK199" s="74"/>
      <c r="DL199" s="75"/>
      <c r="DM199" s="75"/>
      <c r="DN199" s="75"/>
      <c r="DO199" s="76"/>
    </row>
    <row r="200" spans="1:119" x14ac:dyDescent="0.25">
      <c r="A200" s="136">
        <v>151</v>
      </c>
      <c r="B200" s="136">
        <f t="shared" si="144"/>
        <v>33884.41561392029</v>
      </c>
      <c r="C200" s="136" t="str">
        <f t="shared" si="151"/>
        <v>212902.062327751j</v>
      </c>
      <c r="D200" s="136">
        <f t="shared" si="145"/>
        <v>0.97129615946257775</v>
      </c>
      <c r="E200" s="136" t="str">
        <f t="shared" si="146"/>
        <v>-0.266127577909689j</v>
      </c>
      <c r="F200" s="136" t="str">
        <f t="shared" si="152"/>
        <v>0.971296159462578-0.266127577909689j</v>
      </c>
      <c r="G200" s="136">
        <f t="shared" si="153"/>
        <v>6.1407845743994327E-2</v>
      </c>
      <c r="H200" s="136">
        <f t="shared" si="154"/>
        <v>-15.3225548601637</v>
      </c>
      <c r="I200" s="136"/>
      <c r="J200" s="136">
        <f t="shared" si="147"/>
        <v>7.0726915520628681</v>
      </c>
      <c r="K200" s="136" t="str">
        <f t="shared" si="148"/>
        <v>1+15.6268694401487j</v>
      </c>
      <c r="L200" s="136">
        <f t="shared" si="149"/>
        <v>-12.334116252121223</v>
      </c>
      <c r="M200" s="136" t="str">
        <f t="shared" si="150"/>
        <v>1.14364295479723j</v>
      </c>
      <c r="N200" s="136" t="str">
        <f t="shared" si="155"/>
        <v>-12.3341162521212+1.14364295479723j</v>
      </c>
      <c r="O200" s="136" t="str">
        <f t="shared" si="156"/>
        <v>2.51298521370658-6.66735221778664j</v>
      </c>
      <c r="P200" s="136" t="str">
        <f t="shared" si="157"/>
        <v>17.7735692914414-47.1561257053672j</v>
      </c>
      <c r="Q200" s="136"/>
      <c r="R200" s="136">
        <f t="shared" si="158"/>
        <v>11.787819253438114</v>
      </c>
      <c r="S200" s="136" t="str">
        <f t="shared" si="159"/>
        <v>1+0.00498567315241559j</v>
      </c>
      <c r="T200" s="136" t="str">
        <f t="shared" si="160"/>
        <v>-0.678665779361292+0.405779832864704j</v>
      </c>
      <c r="U200" s="136" t="str">
        <f t="shared" si="183"/>
        <v>-1.08220492919465-0.654405484927138j</v>
      </c>
      <c r="V200" s="136" t="str">
        <f t="shared" si="184"/>
        <v>-12.7568361005263-7.71401357477962j</v>
      </c>
      <c r="W200" s="136"/>
      <c r="X200" s="136" t="str">
        <f t="shared" si="161"/>
        <v>3.12641106873274-11.4768284052278j</v>
      </c>
      <c r="Y200" s="136">
        <f t="shared" si="185"/>
        <v>21.507319971825968</v>
      </c>
      <c r="Z200" s="136">
        <f t="shared" si="186"/>
        <v>105.2382357644255</v>
      </c>
      <c r="AA200" s="136"/>
      <c r="AB200" s="136" t="str">
        <f t="shared" si="162"/>
        <v>-10.0284954316276-6.06419564260132j</v>
      </c>
      <c r="AC200" s="136">
        <f t="shared" si="187"/>
        <v>21.378134526348006</v>
      </c>
      <c r="AD200" s="136">
        <f t="shared" si="188"/>
        <v>31.161204793612171</v>
      </c>
      <c r="AE200" s="136"/>
      <c r="AF200" s="136" t="str">
        <f t="shared" si="189"/>
        <v>0.189694208787382-0.94200691451636j</v>
      </c>
      <c r="AG200" s="136">
        <f t="shared" si="190"/>
        <v>-0.34628510394817952</v>
      </c>
      <c r="AH200" s="136">
        <f t="shared" si="191"/>
        <v>101.38552178430135</v>
      </c>
      <c r="AI200" s="136"/>
      <c r="AJ200" s="136" t="str">
        <f t="shared" si="163"/>
        <v>63668.4453417439-48095.4634236927j</v>
      </c>
      <c r="AK200" s="136" t="str">
        <f t="shared" si="164"/>
        <v>19047.5524027051-35.6289557931931j</v>
      </c>
      <c r="AL200" s="136" t="str">
        <f t="shared" si="165"/>
        <v>10000-294176.257012768j</v>
      </c>
      <c r="AM200" s="136" t="str">
        <f t="shared" si="166"/>
        <v>962.610067122317-91318.6468119621j</v>
      </c>
      <c r="AN200" s="136" t="str">
        <f t="shared" si="192"/>
        <v>10962.6100671223-91318.6468119621j</v>
      </c>
      <c r="AO200" s="136" t="str">
        <f t="shared" si="193"/>
        <v>17856.5869775862-3615.83266775762j</v>
      </c>
      <c r="AP200" s="136" t="str">
        <f t="shared" si="194"/>
        <v>0.172216581313614+0.0997792863986273j</v>
      </c>
      <c r="AQ200" s="136" t="str">
        <f t="shared" si="167"/>
        <v>1+1.20864803694923j</v>
      </c>
      <c r="AR200" s="136" t="str">
        <f t="shared" si="168"/>
        <v>1+0.0024124711316352j</v>
      </c>
      <c r="AS200" s="136" t="str">
        <f t="shared" si="169"/>
        <v>3.78457916569729E-06j</v>
      </c>
      <c r="AT200" s="136" t="str">
        <f t="shared" si="195"/>
        <v>-9.13018798263274E-09+3.78457916569729E-06j</v>
      </c>
      <c r="AU200" s="179" t="str">
        <f t="shared" si="196"/>
        <v>318721.974818238-264999.078532819j</v>
      </c>
      <c r="AV200" s="136" t="str">
        <f t="shared" si="170"/>
        <v>7970.13076852603-487.915649270328j</v>
      </c>
      <c r="AW200" s="136"/>
      <c r="AX200" s="136" t="str">
        <f t="shared" si="171"/>
        <v>0.498133173032877-0.0304947280793955j</v>
      </c>
      <c r="AY200" s="136"/>
      <c r="AZ200" s="136" t="str">
        <f t="shared" si="172"/>
        <v>5.10171453899543-0.804098835020512j</v>
      </c>
      <c r="BA200" s="136" t="str">
        <f t="shared" si="173"/>
        <v>2.51681247589485-0.556123701726172j</v>
      </c>
      <c r="BB200" s="136">
        <f t="shared" si="197"/>
        <v>8.224046929944544</v>
      </c>
      <c r="BC200" s="136">
        <f t="shared" si="198"/>
        <v>167.53993601704335</v>
      </c>
      <c r="BD200" s="136" t="str">
        <f t="shared" si="174"/>
        <v>-28.61228534553-9.68535924738543j</v>
      </c>
      <c r="BE200" s="136">
        <f t="shared" si="199"/>
        <v>29.602181456292541</v>
      </c>
      <c r="BF200" s="136">
        <f t="shared" si="200"/>
        <v>18.701140810655545</v>
      </c>
      <c r="BG200" s="136"/>
      <c r="BH200" s="136" t="str">
        <f t="shared" si="175"/>
        <v>-0.046447621071403-2.47634820042084j</v>
      </c>
      <c r="BI200" s="136">
        <f t="shared" si="201"/>
        <v>7.8777618259963518</v>
      </c>
      <c r="BJ200" s="136">
        <f t="shared" si="202"/>
        <v>88.925457801344692</v>
      </c>
      <c r="BK200" s="136"/>
      <c r="BL200" s="136">
        <f t="shared" si="203"/>
        <v>-6.8777618259963518</v>
      </c>
      <c r="BM200" s="136">
        <f t="shared" si="204"/>
        <v>-88.925457801344692</v>
      </c>
      <c r="BN200" s="136"/>
      <c r="BO200" s="189"/>
      <c r="BP200" s="189" t="str">
        <f t="shared" si="176"/>
        <v>0.00001+7.55405023093271E-06j</v>
      </c>
      <c r="BQ200" s="189" t="str">
        <f t="shared" si="177"/>
        <v>1.85510329769346E-06+1.53485815637111E-06j</v>
      </c>
      <c r="BR200" s="189" t="str">
        <f t="shared" si="178"/>
        <v>-0.0473119148842634-0.0421412921201477j</v>
      </c>
      <c r="BS200" s="189" t="str">
        <f t="shared" si="179"/>
        <v>0.0000643551032976935+9.08890838730382E-06j</v>
      </c>
      <c r="BT200" s="189" t="str">
        <f t="shared" si="205"/>
        <v>-2.66174482618582E-06-3.14202086750137E-06j</v>
      </c>
      <c r="BU200" s="189" t="str">
        <f t="shared" si="206"/>
        <v>-1.85510329769346E-06-1.53485815637111E-06j</v>
      </c>
      <c r="BV200" s="189" t="str">
        <f t="shared" si="207"/>
        <v>-4.51684812387928E-06-4.67687902387248E-06j</v>
      </c>
      <c r="BW200" s="189" t="str">
        <f t="shared" si="180"/>
        <v>0.999855476898738-0.0120209073840198j</v>
      </c>
      <c r="BX200" s="189" t="str">
        <f t="shared" si="208"/>
        <v>-0.00001-7.55405023093271E-06j</v>
      </c>
      <c r="BY200" s="189" t="str">
        <f t="shared" si="209"/>
        <v>1.90027120532277-0.322036313292655j</v>
      </c>
      <c r="BZ200" s="136">
        <f t="shared" si="210"/>
        <v>5.6992819321876231</v>
      </c>
      <c r="CA200" s="136">
        <f t="shared" si="211"/>
        <v>170.38154868805566</v>
      </c>
      <c r="CB200" s="189" t="str">
        <f t="shared" si="181"/>
        <v>-21.0097523092616-8.29407666640551j</v>
      </c>
      <c r="CC200" s="136" t="str">
        <f t="shared" si="182"/>
        <v>0.0571100089281089-1.85115703852124j</v>
      </c>
      <c r="CD200" s="136">
        <f t="shared" si="212"/>
        <v>5.3529968282394327</v>
      </c>
      <c r="CE200" s="136">
        <f t="shared" si="213"/>
        <v>91.767070472356977</v>
      </c>
      <c r="CF200" s="136"/>
      <c r="CG200" s="136">
        <f t="shared" si="214"/>
        <v>-4.3529968282394327</v>
      </c>
      <c r="CH200" s="136">
        <f t="shared" si="215"/>
        <v>-91.767070472356977</v>
      </c>
      <c r="CI200" s="77"/>
      <c r="CJ200" s="189"/>
      <c r="CK200" s="189"/>
      <c r="CL200" s="189"/>
      <c r="CM200" s="77"/>
      <c r="CN200" s="189">
        <v>54954.087385762403</v>
      </c>
      <c r="CO200" s="189">
        <v>-1.12490953731301</v>
      </c>
      <c r="CP200" s="189">
        <v>107.60883069370701</v>
      </c>
      <c r="CQ200" s="74"/>
      <c r="CR200" s="75"/>
      <c r="CS200" s="75"/>
      <c r="CT200" s="75"/>
      <c r="CU200" s="74"/>
      <c r="CV200" s="75"/>
      <c r="CW200" s="75"/>
      <c r="CX200" s="75"/>
      <c r="CY200" s="74"/>
      <c r="CZ200" s="75"/>
      <c r="DA200" s="75"/>
      <c r="DB200" s="75"/>
      <c r="DC200" s="74"/>
      <c r="DD200" s="75"/>
      <c r="DE200" s="75"/>
      <c r="DF200" s="75"/>
      <c r="DG200" s="74"/>
      <c r="DH200" s="75"/>
      <c r="DI200" s="75"/>
      <c r="DJ200" s="75"/>
      <c r="DK200" s="74"/>
      <c r="DL200" s="75"/>
      <c r="DM200" s="75"/>
      <c r="DN200" s="75"/>
      <c r="DO200" s="76"/>
    </row>
    <row r="201" spans="1:119" x14ac:dyDescent="0.25">
      <c r="A201" s="136">
        <v>152</v>
      </c>
      <c r="B201" s="136">
        <f t="shared" si="144"/>
        <v>36307.805477010166</v>
      </c>
      <c r="C201" s="136" t="str">
        <f t="shared" si="151"/>
        <v>228128.669909085j</v>
      </c>
      <c r="D201" s="136">
        <f t="shared" si="145"/>
        <v>0.96704358153608971</v>
      </c>
      <c r="E201" s="136" t="str">
        <f t="shared" si="146"/>
        <v>-0.285160837386356j</v>
      </c>
      <c r="F201" s="136" t="str">
        <f t="shared" si="152"/>
        <v>0.96704358153609-0.285160837386356j</v>
      </c>
      <c r="G201" s="136">
        <f t="shared" si="153"/>
        <v>7.103106986965696E-2</v>
      </c>
      <c r="H201" s="136">
        <f t="shared" si="154"/>
        <v>-16.429680875098711</v>
      </c>
      <c r="I201" s="136"/>
      <c r="J201" s="136">
        <f t="shared" si="147"/>
        <v>7.0726915520628681</v>
      </c>
      <c r="K201" s="136" t="str">
        <f t="shared" si="148"/>
        <v>1+16.7444922855469j</v>
      </c>
      <c r="L201" s="136">
        <f t="shared" si="149"/>
        <v>-14.309613864333379</v>
      </c>
      <c r="M201" s="136" t="str">
        <f t="shared" si="150"/>
        <v>1.22543550436421j</v>
      </c>
      <c r="N201" s="136" t="str">
        <f t="shared" si="155"/>
        <v>-14.3096138643334+1.22543550436421j</v>
      </c>
      <c r="O201" s="136" t="str">
        <f t="shared" si="156"/>
        <v>1.57842277495642-5.66644591068331j</v>
      </c>
      <c r="P201" s="136" t="str">
        <f t="shared" si="157"/>
        <v>11.1636974260179-40.077024122711j</v>
      </c>
      <c r="Q201" s="136"/>
      <c r="R201" s="136">
        <f t="shared" si="158"/>
        <v>11.787819253438114</v>
      </c>
      <c r="S201" s="136" t="str">
        <f t="shared" si="159"/>
        <v>1+0.00534224503241813j</v>
      </c>
      <c r="T201" s="136" t="str">
        <f t="shared" si="160"/>
        <v>-0.927366193856551+0.434800924590619j</v>
      </c>
      <c r="U201" s="136" t="str">
        <f t="shared" si="183"/>
        <v>-0.881783184568804-0.419189734914498j</v>
      </c>
      <c r="V201" s="136" t="str">
        <f t="shared" si="184"/>
        <v>-10.3943008004181-4.94133282806874j</v>
      </c>
      <c r="W201" s="136"/>
      <c r="X201" s="136" t="str">
        <f t="shared" si="161"/>
        <v>1.66559067973798-9.67886284976198j</v>
      </c>
      <c r="Y201" s="136">
        <f t="shared" si="185"/>
        <v>19.843228469788318</v>
      </c>
      <c r="Z201" s="136">
        <f t="shared" si="186"/>
        <v>99.764131907224481</v>
      </c>
      <c r="AA201" s="136"/>
      <c r="AB201" s="136" t="str">
        <f t="shared" si="162"/>
        <v>-8.17124224772752-3.8845159804471j</v>
      </c>
      <c r="AC201" s="136">
        <f t="shared" si="187"/>
        <v>19.13064653778267</v>
      </c>
      <c r="AD201" s="136">
        <f t="shared" si="188"/>
        <v>25.425884977495997</v>
      </c>
      <c r="AE201" s="136"/>
      <c r="AF201" s="136" t="str">
        <f t="shared" si="189"/>
        <v>0.156931993928491-0.887455359314988j</v>
      </c>
      <c r="AG201" s="136">
        <f t="shared" si="190"/>
        <v>-0.90334520148825859</v>
      </c>
      <c r="AH201" s="136">
        <f t="shared" si="191"/>
        <v>100.02815368151279</v>
      </c>
      <c r="AI201" s="136"/>
      <c r="AJ201" s="136" t="str">
        <f t="shared" si="163"/>
        <v>60416.4390415175-48902.9426281727j</v>
      </c>
      <c r="AK201" s="136" t="str">
        <f t="shared" si="164"/>
        <v>19047.5425290594-38.1770941680614j</v>
      </c>
      <c r="AL201" s="136" t="str">
        <f t="shared" si="165"/>
        <v>10000-274541.257049527j</v>
      </c>
      <c r="AM201" s="136" t="str">
        <f t="shared" si="166"/>
        <v>962.531735437933-85226.6381456943j</v>
      </c>
      <c r="AN201" s="136" t="str">
        <f t="shared" si="192"/>
        <v>10962.5317354379-85226.6381456943j</v>
      </c>
      <c r="AO201" s="136" t="str">
        <f t="shared" si="193"/>
        <v>17699.8131600904-3818.89202972211j</v>
      </c>
      <c r="AP201" s="136" t="str">
        <f t="shared" si="194"/>
        <v>0.173995887557182+0.106681999849626j</v>
      </c>
      <c r="AQ201" s="136" t="str">
        <f t="shared" si="167"/>
        <v>1+1.29508970482864j</v>
      </c>
      <c r="AR201" s="136" t="str">
        <f t="shared" si="168"/>
        <v>1+0.00258500939087553j</v>
      </c>
      <c r="AS201" s="136" t="str">
        <f t="shared" si="169"/>
        <v>4.05524963824467E-06j</v>
      </c>
      <c r="AT201" s="136" t="str">
        <f t="shared" si="195"/>
        <v>-1.04828583972071E-08+4.05524963824467E-06j</v>
      </c>
      <c r="AU201" s="179" t="str">
        <f t="shared" si="196"/>
        <v>318721.699999953-247417.842045235j</v>
      </c>
      <c r="AV201" s="136" t="str">
        <f t="shared" si="170"/>
        <v>7965.7244933575-522.522002201282j</v>
      </c>
      <c r="AW201" s="136"/>
      <c r="AX201" s="136" t="str">
        <f t="shared" si="171"/>
        <v>0.497857780834844-0.0326576251375801j</v>
      </c>
      <c r="AY201" s="136"/>
      <c r="AZ201" s="136" t="str">
        <f t="shared" si="172"/>
        <v>5.13231545997325-0.499814011549922j</v>
      </c>
      <c r="BA201" s="136" t="str">
        <f t="shared" si="173"/>
        <v>2.53884044681894-0.416445529000019j</v>
      </c>
      <c r="BB201" s="136">
        <f t="shared" si="197"/>
        <v>8.2080141548920516</v>
      </c>
      <c r="BC201" s="136">
        <f t="shared" si="198"/>
        <v>170.68473756303004</v>
      </c>
      <c r="BD201" s="136" t="str">
        <f t="shared" si="174"/>
        <v>-22.3631696316727-6.45928898703144j</v>
      </c>
      <c r="BE201" s="136">
        <f t="shared" si="199"/>
        <v>27.33866069267474</v>
      </c>
      <c r="BF201" s="136">
        <f t="shared" si="200"/>
        <v>16.110622540526037</v>
      </c>
      <c r="BG201" s="136"/>
      <c r="BH201" s="136" t="str">
        <f t="shared" si="175"/>
        <v>0.0288484770117655-2.31846118820371j</v>
      </c>
      <c r="BI201" s="136">
        <f t="shared" si="201"/>
        <v>7.3046689534038123</v>
      </c>
      <c r="BJ201" s="136">
        <f t="shared" si="202"/>
        <v>90.712891244542845</v>
      </c>
      <c r="BK201" s="136"/>
      <c r="BL201" s="136">
        <f t="shared" si="203"/>
        <v>-6.3046689534038123</v>
      </c>
      <c r="BM201" s="136">
        <f t="shared" si="204"/>
        <v>-90.712891244542845</v>
      </c>
      <c r="BN201" s="136"/>
      <c r="BO201" s="189"/>
      <c r="BP201" s="189" t="str">
        <f t="shared" si="176"/>
        <v>0.00001+8.09431065517899E-06j</v>
      </c>
      <c r="BQ201" s="189" t="str">
        <f t="shared" si="177"/>
        <v>1.95776069537169E-06+1.51167960649547E-06j</v>
      </c>
      <c r="BR201" s="189" t="str">
        <f t="shared" si="178"/>
        <v>-0.0501800823663455-0.041730871859265j</v>
      </c>
      <c r="BS201" s="189" t="str">
        <f t="shared" si="179"/>
        <v>0.0000644577606953717+9.60599026167446E-06j</v>
      </c>
      <c r="BT201" s="189" t="str">
        <f t="shared" si="205"/>
        <v>-2.83362939215265E-06-3.17190793445486E-06j</v>
      </c>
      <c r="BU201" s="189" t="str">
        <f t="shared" si="206"/>
        <v>-1.95776069537169E-06-1.51167960649547E-06j</v>
      </c>
      <c r="BV201" s="189" t="str">
        <f t="shared" si="207"/>
        <v>-4.79139008752434E-06-4.68358754095033E-06j</v>
      </c>
      <c r="BW201" s="189" t="str">
        <f t="shared" si="180"/>
        <v>0.999834068830751-0.0128803585390971j</v>
      </c>
      <c r="BX201" s="189" t="str">
        <f t="shared" si="208"/>
        <v>-0.00001-8.09431065517899E-06j</v>
      </c>
      <c r="BY201" s="189" t="str">
        <f t="shared" si="209"/>
        <v>1.90910751090824-0.203971741648107j</v>
      </c>
      <c r="BZ201" s="136">
        <f t="shared" si="210"/>
        <v>5.6659020024280711</v>
      </c>
      <c r="CA201" s="136">
        <f t="shared" si="211"/>
        <v>173.90157250712861</v>
      </c>
      <c r="CB201" s="189" t="str">
        <f t="shared" si="181"/>
        <v>-16.392111438579-5.74925612181707j</v>
      </c>
      <c r="CC201" s="136" t="str">
        <f t="shared" si="182"/>
        <v>0.118584233036266-1.72625738418592j</v>
      </c>
      <c r="CD201" s="136">
        <f t="shared" si="212"/>
        <v>4.7625568009398158</v>
      </c>
      <c r="CE201" s="136">
        <f t="shared" si="213"/>
        <v>93.929726188641482</v>
      </c>
      <c r="CF201" s="136"/>
      <c r="CG201" s="136">
        <f t="shared" si="214"/>
        <v>-3.7625568009398158</v>
      </c>
      <c r="CH201" s="136">
        <f t="shared" si="215"/>
        <v>-93.929726188641482</v>
      </c>
      <c r="CI201" s="77"/>
      <c r="CJ201" s="189"/>
      <c r="CK201" s="189"/>
      <c r="CL201" s="189"/>
      <c r="CM201" s="77"/>
      <c r="CN201" s="189">
        <v>57543.993733715601</v>
      </c>
      <c r="CO201" s="189">
        <v>-1.2760225055532199</v>
      </c>
      <c r="CP201" s="189">
        <v>107.427822866011</v>
      </c>
      <c r="CQ201" s="74"/>
      <c r="CR201" s="75"/>
      <c r="CS201" s="75"/>
      <c r="CT201" s="75"/>
      <c r="CU201" s="74"/>
      <c r="CV201" s="75"/>
      <c r="CW201" s="75"/>
      <c r="CX201" s="75"/>
      <c r="CY201" s="74"/>
      <c r="CZ201" s="75"/>
      <c r="DA201" s="75"/>
      <c r="DB201" s="75"/>
      <c r="DC201" s="74"/>
      <c r="DD201" s="75"/>
      <c r="DE201" s="75"/>
      <c r="DF201" s="75"/>
      <c r="DG201" s="74"/>
      <c r="DH201" s="75"/>
      <c r="DI201" s="75"/>
      <c r="DJ201" s="75"/>
      <c r="DK201" s="74"/>
      <c r="DL201" s="75"/>
      <c r="DM201" s="75"/>
      <c r="DN201" s="75"/>
      <c r="DO201" s="76"/>
    </row>
    <row r="202" spans="1:119" x14ac:dyDescent="0.25">
      <c r="A202" s="136">
        <v>153</v>
      </c>
      <c r="B202" s="136">
        <f t="shared" si="144"/>
        <v>38904.514499428085</v>
      </c>
      <c r="C202" s="136" t="str">
        <f t="shared" si="151"/>
        <v>244444.273885762j</v>
      </c>
      <c r="D202" s="136">
        <f t="shared" si="145"/>
        <v>0.96216096878909463</v>
      </c>
      <c r="E202" s="136" t="str">
        <f t="shared" si="146"/>
        <v>-0.305555342357202j</v>
      </c>
      <c r="F202" s="136" t="str">
        <f t="shared" si="152"/>
        <v>0.962160968789095-0.305555342357202j</v>
      </c>
      <c r="G202" s="136">
        <f t="shared" si="153"/>
        <v>8.2243858470328904E-2</v>
      </c>
      <c r="H202" s="136">
        <f t="shared" si="154"/>
        <v>-17.618388536352626</v>
      </c>
      <c r="I202" s="136"/>
      <c r="J202" s="136">
        <f t="shared" si="147"/>
        <v>7.0726915520628681</v>
      </c>
      <c r="K202" s="136" t="str">
        <f t="shared" si="148"/>
        <v>1+17.9420467403657j</v>
      </c>
      <c r="L202" s="136">
        <f t="shared" si="149"/>
        <v>-16.577788602053236</v>
      </c>
      <c r="M202" s="136" t="str">
        <f t="shared" si="150"/>
        <v>1.31307780024983j</v>
      </c>
      <c r="N202" s="136" t="str">
        <f t="shared" si="155"/>
        <v>-16.5777886020532+1.31307780024983j</v>
      </c>
      <c r="O202" s="136" t="str">
        <f t="shared" si="156"/>
        <v>1.03839011204519-4.84972748471034j</v>
      </c>
      <c r="P202" s="136" t="str">
        <f t="shared" si="157"/>
        <v>7.34421297320763-34.3006266109179j</v>
      </c>
      <c r="Q202" s="136"/>
      <c r="R202" s="136">
        <f t="shared" si="158"/>
        <v>11.787819253438114</v>
      </c>
      <c r="S202" s="136" t="str">
        <f t="shared" si="159"/>
        <v>1+0.00572431868554573j</v>
      </c>
      <c r="T202" s="136" t="str">
        <f t="shared" si="160"/>
        <v>-1.21291247542706+0.465897584634009j</v>
      </c>
      <c r="U202" s="136" t="str">
        <f t="shared" si="183"/>
        <v>-0.716877843645132-0.28008284307393j</v>
      </c>
      <c r="V202" s="136" t="str">
        <f t="shared" si="184"/>
        <v>-8.45042644768328-3.30156593014456j</v>
      </c>
      <c r="W202" s="136"/>
      <c r="X202" s="136" t="str">
        <f t="shared" si="161"/>
        <v>0.846781812988608-8.23864120966208j</v>
      </c>
      <c r="Y202" s="136">
        <f t="shared" si="185"/>
        <v>18.362750390524923</v>
      </c>
      <c r="Z202" s="136">
        <f t="shared" si="186"/>
        <v>95.86835275827849</v>
      </c>
      <c r="AA202" s="136"/>
      <c r="AB202" s="136" t="str">
        <f t="shared" si="162"/>
        <v>-6.64310980858339-2.59545067340844j</v>
      </c>
      <c r="AC202" s="136">
        <f t="shared" si="187"/>
        <v>17.064384482277816</v>
      </c>
      <c r="AD202" s="136">
        <f t="shared" si="188"/>
        <v>21.340495236272034</v>
      </c>
      <c r="AE202" s="136"/>
      <c r="AF202" s="136" t="str">
        <f t="shared" si="189"/>
        <v>0.127860120236639-0.834996861518274j</v>
      </c>
      <c r="AG202" s="136">
        <f t="shared" si="190"/>
        <v>-1.4656465296864762</v>
      </c>
      <c r="AH202" s="136">
        <f t="shared" si="191"/>
        <v>98.705876362556978</v>
      </c>
      <c r="AI202" s="136"/>
      <c r="AJ202" s="136" t="str">
        <f t="shared" si="163"/>
        <v>57069.620855312-49497.6813695565j</v>
      </c>
      <c r="AK202" s="136" t="str">
        <f t="shared" si="164"/>
        <v>19047.53119261-40.9074690722032j</v>
      </c>
      <c r="AL202" s="136" t="str">
        <f t="shared" si="165"/>
        <v>10000-256216.808887684j</v>
      </c>
      <c r="AM202" s="136" t="str">
        <f t="shared" si="166"/>
        <v>962.441814350707-79541.4672895711j</v>
      </c>
      <c r="AN202" s="136" t="str">
        <f t="shared" si="192"/>
        <v>10962.4418143507-79541.4672895711j</v>
      </c>
      <c r="AO202" s="136" t="str">
        <f t="shared" si="193"/>
        <v>17525.2873206717-4025.76309278686j</v>
      </c>
      <c r="AP202" s="136" t="str">
        <f t="shared" si="194"/>
        <v>0.17602924687623+0.11402598208139j</v>
      </c>
      <c r="AQ202" s="136" t="str">
        <f t="shared" si="167"/>
        <v>1+1.38771362073836j</v>
      </c>
      <c r="AR202" s="136" t="str">
        <f t="shared" si="168"/>
        <v>1+0.00276988746654363j</v>
      </c>
      <c r="AS202" s="136" t="str">
        <f t="shared" si="169"/>
        <v>4.34527827493698E-06j</v>
      </c>
      <c r="AT202" s="136" t="str">
        <f t="shared" si="195"/>
        <v>-1.20359318323923E-08+4.34527827493698E-06j</v>
      </c>
      <c r="AU202" s="179" t="str">
        <f t="shared" si="196"/>
        <v>318721.384466927-231017.680650505j</v>
      </c>
      <c r="AV202" s="136" t="str">
        <f t="shared" si="170"/>
        <v>7960.67141693666-559.537243676355j</v>
      </c>
      <c r="AW202" s="136"/>
      <c r="AX202" s="136" t="str">
        <f t="shared" si="171"/>
        <v>0.497541963558541-0.0349710777297722j</v>
      </c>
      <c r="AY202" s="136"/>
      <c r="AZ202" s="136" t="str">
        <f t="shared" si="172"/>
        <v>5.16732154527852-0.198951936253122j</v>
      </c>
      <c r="BA202" s="136" t="str">
        <f t="shared" si="173"/>
        <v>2.56400174434903-0.279693740431814j</v>
      </c>
      <c r="BB202" s="136">
        <f t="shared" si="197"/>
        <v>8.229740156693353</v>
      </c>
      <c r="BC202" s="136">
        <f t="shared" si="198"/>
        <v>173.77451412917353</v>
      </c>
      <c r="BD202" s="136" t="str">
        <f t="shared" si="174"/>
        <v>-17.7588764440618-4.79670382352915j</v>
      </c>
      <c r="BE202" s="136">
        <f t="shared" si="199"/>
        <v>25.294124638971155</v>
      </c>
      <c r="BF202" s="136">
        <f t="shared" si="200"/>
        <v>15.115009365445587</v>
      </c>
      <c r="BG202" s="136"/>
      <c r="BH202" s="136" t="str">
        <f t="shared" si="175"/>
        <v>0.0942901758725494-2.17669508473986j</v>
      </c>
      <c r="BI202" s="136">
        <f t="shared" si="201"/>
        <v>6.7640936270068464</v>
      </c>
      <c r="BJ202" s="136">
        <f t="shared" si="202"/>
        <v>92.480390491730532</v>
      </c>
      <c r="BK202" s="136"/>
      <c r="BL202" s="136">
        <f t="shared" si="203"/>
        <v>-5.7640936270068464</v>
      </c>
      <c r="BM202" s="136">
        <f t="shared" si="204"/>
        <v>-92.480390491730532</v>
      </c>
      <c r="BN202" s="136"/>
      <c r="BO202" s="189"/>
      <c r="BP202" s="189" t="str">
        <f t="shared" si="176"/>
        <v>0.00001+8.67321012961474E-06j</v>
      </c>
      <c r="BQ202" s="189" t="str">
        <f t="shared" si="177"/>
        <v>2.05689747293043E-06+1.48222042515949E-06j</v>
      </c>
      <c r="BR202" s="189" t="str">
        <f t="shared" si="178"/>
        <v>-0.0529796863790875-0.0411339056239705j</v>
      </c>
      <c r="BS202" s="189" t="str">
        <f t="shared" si="179"/>
        <v>0.0000645568974729304+0.0000101554305547742j</v>
      </c>
      <c r="BT202" s="189" t="str">
        <f t="shared" si="205"/>
        <v>-3.00247165971189E-06-0.0000031935088538644j</v>
      </c>
      <c r="BU202" s="189" t="str">
        <f t="shared" si="206"/>
        <v>-2.05689747293043E-06-1.48222042515949E-06j</v>
      </c>
      <c r="BV202" s="189" t="str">
        <f t="shared" si="207"/>
        <v>-5.05936913264232E-06-4.67572927902389E-06j</v>
      </c>
      <c r="BW202" s="189" t="str">
        <f t="shared" si="180"/>
        <v>0.999809490210468-0.0138012135536012j</v>
      </c>
      <c r="BX202" s="189" t="str">
        <f t="shared" si="208"/>
        <v>-0.00001-8.67321012961474E-06j</v>
      </c>
      <c r="BY202" s="189" t="str">
        <f t="shared" si="209"/>
        <v>1.91931868253514-0.0870995741784552j</v>
      </c>
      <c r="BZ202" s="136">
        <f t="shared" si="210"/>
        <v>5.6718764200222784</v>
      </c>
      <c r="CA202" s="136">
        <f t="shared" si="211"/>
        <v>177.40167356109555</v>
      </c>
      <c r="CB202" s="189" t="str">
        <f t="shared" si="181"/>
        <v>-12.9763074142016-4.4028849315229j</v>
      </c>
      <c r="CC202" s="136" t="str">
        <f t="shared" si="182"/>
        <v>0.172676446442783-1.61376163819725j</v>
      </c>
      <c r="CD202" s="136">
        <f t="shared" si="212"/>
        <v>4.2062298903358135</v>
      </c>
      <c r="CE202" s="136">
        <f t="shared" si="213"/>
        <v>96.107549923652542</v>
      </c>
      <c r="CF202" s="136"/>
      <c r="CG202" s="136">
        <f t="shared" si="214"/>
        <v>-3.2062298903358135</v>
      </c>
      <c r="CH202" s="136">
        <f t="shared" si="215"/>
        <v>-96.107549923652542</v>
      </c>
      <c r="CI202" s="77"/>
      <c r="CJ202" s="189"/>
      <c r="CK202" s="189"/>
      <c r="CL202" s="189"/>
      <c r="CM202" s="77"/>
      <c r="CN202" s="189">
        <v>60255.958607435699</v>
      </c>
      <c r="CO202" s="189">
        <v>-1.4223311173216899</v>
      </c>
      <c r="CP202" s="189">
        <v>107.138111875571</v>
      </c>
      <c r="CQ202" s="74"/>
      <c r="CR202" s="75"/>
      <c r="CS202" s="75"/>
      <c r="CT202" s="75"/>
      <c r="CU202" s="74"/>
      <c r="CV202" s="75"/>
      <c r="CW202" s="75"/>
      <c r="CX202" s="75"/>
      <c r="CY202" s="74"/>
      <c r="CZ202" s="75"/>
      <c r="DA202" s="75"/>
      <c r="DB202" s="75"/>
      <c r="DC202" s="74"/>
      <c r="DD202" s="75"/>
      <c r="DE202" s="75"/>
      <c r="DF202" s="75"/>
      <c r="DG202" s="74"/>
      <c r="DH202" s="75"/>
      <c r="DI202" s="75"/>
      <c r="DJ202" s="75"/>
      <c r="DK202" s="74"/>
      <c r="DL202" s="75"/>
      <c r="DM202" s="75"/>
      <c r="DN202" s="75"/>
      <c r="DO202" s="76"/>
    </row>
    <row r="203" spans="1:119" x14ac:dyDescent="0.25">
      <c r="A203" s="136">
        <v>154</v>
      </c>
      <c r="B203" s="136">
        <f t="shared" si="144"/>
        <v>41686.938347033625</v>
      </c>
      <c r="C203" s="136" t="str">
        <f t="shared" si="151"/>
        <v>261926.758523383j</v>
      </c>
      <c r="D203" s="136">
        <f t="shared" si="145"/>
        <v>0.95655497928126543</v>
      </c>
      <c r="E203" s="136" t="str">
        <f t="shared" si="146"/>
        <v>-0.327408448154229j</v>
      </c>
      <c r="F203" s="136" t="str">
        <f t="shared" si="152"/>
        <v>0.956554979281265-0.327408448154229j</v>
      </c>
      <c r="G203" s="136">
        <f t="shared" si="153"/>
        <v>9.5332086062492744E-2</v>
      </c>
      <c r="H203" s="136">
        <f t="shared" si="154"/>
        <v>-18.894985800321962</v>
      </c>
      <c r="I203" s="136"/>
      <c r="J203" s="136">
        <f t="shared" si="147"/>
        <v>7.0726915520628681</v>
      </c>
      <c r="K203" s="136" t="str">
        <f t="shared" si="148"/>
        <v>1+19.2252494577773j</v>
      </c>
      <c r="L203" s="136">
        <f t="shared" si="149"/>
        <v>-19.182001641354081</v>
      </c>
      <c r="M203" s="136" t="str">
        <f t="shared" si="150"/>
        <v>1.40698821224662j</v>
      </c>
      <c r="N203" s="136" t="str">
        <f t="shared" si="155"/>
        <v>-19.1820016413541+1.40698821224662j</v>
      </c>
      <c r="O203" s="136" t="str">
        <f t="shared" si="156"/>
        <v>0.710816014924476-4.19696059909961j</v>
      </c>
      <c r="P203" s="136" t="str">
        <f t="shared" si="157"/>
        <v>5.02738242382734-29.6838077735925j</v>
      </c>
      <c r="Q203" s="136"/>
      <c r="R203" s="136">
        <f t="shared" si="158"/>
        <v>11.787819253438114</v>
      </c>
      <c r="S203" s="136" t="str">
        <f t="shared" si="159"/>
        <v>1+0.00613371798089462j</v>
      </c>
      <c r="T203" s="136" t="str">
        <f t="shared" si="160"/>
        <v>-1.54076347271722+0.499218256198913j</v>
      </c>
      <c r="U203" s="136" t="str">
        <f t="shared" si="183"/>
        <v>-0.586199466321836-0.19391373084404j</v>
      </c>
      <c r="V203" s="136" t="str">
        <f t="shared" si="184"/>
        <v>-6.91001335546369-2.28582000994939j</v>
      </c>
      <c r="W203" s="136"/>
      <c r="X203" s="136" t="str">
        <f t="shared" si="161"/>
        <v>0.365914754455806-7.10002084097815j</v>
      </c>
      <c r="Y203" s="136">
        <f t="shared" si="185"/>
        <v>17.036712372469836</v>
      </c>
      <c r="Z203" s="136">
        <f t="shared" si="186"/>
        <v>92.950250317413591</v>
      </c>
      <c r="AA203" s="136"/>
      <c r="AB203" s="136" t="str">
        <f t="shared" si="162"/>
        <v>-5.43214922741654-1.79694521013362j</v>
      </c>
      <c r="AC203" s="136">
        <f t="shared" si="187"/>
        <v>15.150422919994359</v>
      </c>
      <c r="AD203" s="136">
        <f t="shared" si="188"/>
        <v>18.304122579009601</v>
      </c>
      <c r="AE203" s="136"/>
      <c r="AF203" s="136" t="str">
        <f t="shared" si="189"/>
        <v>0.102121312219844-0.78473547603762j</v>
      </c>
      <c r="AG203" s="136">
        <f t="shared" si="190"/>
        <v>-2.0326021562674961</v>
      </c>
      <c r="AH203" s="136">
        <f t="shared" si="191"/>
        <v>97.414501223355899</v>
      </c>
      <c r="AI203" s="136"/>
      <c r="AJ203" s="136" t="str">
        <f t="shared" si="163"/>
        <v>53656.8866465778-49866.092488324j</v>
      </c>
      <c r="AK203" s="136" t="str">
        <f t="shared" si="164"/>
        <v>19047.5181766411-43.8331128862699j</v>
      </c>
      <c r="AL203" s="136" t="str">
        <f t="shared" si="165"/>
        <v>10000-239115.438830911j</v>
      </c>
      <c r="AM203" s="136" t="str">
        <f t="shared" si="166"/>
        <v>962.338591845766-74235.9953434074j</v>
      </c>
      <c r="AN203" s="136" t="str">
        <f t="shared" si="192"/>
        <v>10962.3385918458-74235.9953434074j</v>
      </c>
      <c r="AO203" s="136" t="str">
        <f t="shared" si="193"/>
        <v>17331.7739702116-4234.96812128976j</v>
      </c>
      <c r="AP203" s="136" t="str">
        <f t="shared" si="194"/>
        <v>0.178351351232302+0.121831264275262j</v>
      </c>
      <c r="AQ203" s="136" t="str">
        <f t="shared" si="167"/>
        <v>1+1.48696193476233j</v>
      </c>
      <c r="AR203" s="136" t="str">
        <f t="shared" si="168"/>
        <v>1+0.00296798789373719j</v>
      </c>
      <c r="AS203" s="136" t="str">
        <f t="shared" si="169"/>
        <v>4.65604955822455E-06j</v>
      </c>
      <c r="AT203" s="136" t="str">
        <f t="shared" si="195"/>
        <v>-1.38190987214509E-08+4.65604955822455E-06j</v>
      </c>
      <c r="AU203" s="179" t="str">
        <f t="shared" si="196"/>
        <v>318721.022187309-215720.306390641j</v>
      </c>
      <c r="AV203" s="136" t="str">
        <f t="shared" si="170"/>
        <v>7954.87760909899-599.118600151444j</v>
      </c>
      <c r="AW203" s="136"/>
      <c r="AX203" s="136" t="str">
        <f t="shared" si="171"/>
        <v>0.497179850568687-0.0374449125094652j</v>
      </c>
      <c r="AY203" s="136"/>
      <c r="AZ203" s="136" t="str">
        <f t="shared" si="172"/>
        <v>5.20734554394093+0.0996923348091133j</v>
      </c>
      <c r="BA203" s="136" t="str">
        <f t="shared" si="173"/>
        <v>2.59272025015086-0.145423578176183j</v>
      </c>
      <c r="BB203" s="136">
        <f t="shared" si="197"/>
        <v>8.288754639630044</v>
      </c>
      <c r="BC203" s="136">
        <f t="shared" si="198"/>
        <v>176.78968987145697</v>
      </c>
      <c r="BD203" s="136" t="str">
        <f t="shared" si="174"/>
        <v>-14.3453615060084-3.86901365688714j</v>
      </c>
      <c r="BE203" s="136">
        <f t="shared" si="199"/>
        <v>23.439177559624405</v>
      </c>
      <c r="BF203" s="136">
        <f t="shared" si="200"/>
        <v>15.093812450466601</v>
      </c>
      <c r="BG203" s="136"/>
      <c r="BH203" s="136" t="str">
        <f t="shared" si="175"/>
        <v>0.150652953317189-2.04945040636557j</v>
      </c>
      <c r="BI203" s="136">
        <f t="shared" si="201"/>
        <v>6.2561524833625484</v>
      </c>
      <c r="BJ203" s="136">
        <f t="shared" si="202"/>
        <v>94.204191094812927</v>
      </c>
      <c r="BK203" s="136"/>
      <c r="BL203" s="136">
        <f t="shared" si="203"/>
        <v>-5.2561524833625484</v>
      </c>
      <c r="BM203" s="136">
        <f t="shared" si="204"/>
        <v>-94.204191094812927</v>
      </c>
      <c r="BN203" s="136"/>
      <c r="BO203" s="189"/>
      <c r="BP203" s="189" t="str">
        <f t="shared" si="176"/>
        <v>0.00001+9.29351209226457E-06j</v>
      </c>
      <c r="BQ203" s="189" t="str">
        <f t="shared" si="177"/>
        <v>2.15179984432365E-06+1.44711158639551E-06j</v>
      </c>
      <c r="BR203" s="189" t="str">
        <f t="shared" si="178"/>
        <v>-0.0556875784437237-0.040363814397938j</v>
      </c>
      <c r="BS203" s="189" t="str">
        <f t="shared" si="179"/>
        <v>0.0000646517998443237+0.0000107406236786601j</v>
      </c>
      <c r="BT203" s="189" t="str">
        <f t="shared" si="205"/>
        <v>-3.16676963467516E-06-3.20771257304882E-06j</v>
      </c>
      <c r="BU203" s="189" t="str">
        <f t="shared" si="206"/>
        <v>-2.15179984432365E-06-1.44711158639551E-06j</v>
      </c>
      <c r="BV203" s="189" t="str">
        <f t="shared" si="207"/>
        <v>-5.31856947899881E-06-4.65482415944433E-06j</v>
      </c>
      <c r="BW203" s="189" t="str">
        <f t="shared" si="180"/>
        <v>0.999781271668763-0.0147878493755528j</v>
      </c>
      <c r="BX203" s="189" t="str">
        <f t="shared" si="208"/>
        <v>-0.00001-9.29351209226457E-06j</v>
      </c>
      <c r="BY203" s="189" t="str">
        <f t="shared" si="209"/>
        <v>1.93109166474123+0.0290884061192832j</v>
      </c>
      <c r="BZ203" s="136">
        <f t="shared" si="210"/>
        <v>5.7170430871913727</v>
      </c>
      <c r="CA203" s="136">
        <f t="shared" si="211"/>
        <v>-179.13700789178031</v>
      </c>
      <c r="CB203" s="189" t="str">
        <f t="shared" si="181"/>
        <v>-10.4377078226481-3.62807848011336j</v>
      </c>
      <c r="CC203" s="136" t="str">
        <f t="shared" si="182"/>
        <v>0.220032319043371-1.5124255905997j</v>
      </c>
      <c r="CD203" s="136">
        <f t="shared" si="212"/>
        <v>3.6844409309238539</v>
      </c>
      <c r="CE203" s="136">
        <f t="shared" si="213"/>
        <v>98.277493331575712</v>
      </c>
      <c r="CF203" s="136"/>
      <c r="CG203" s="136">
        <f t="shared" si="214"/>
        <v>-2.6844409309238539</v>
      </c>
      <c r="CH203" s="136">
        <f t="shared" si="215"/>
        <v>-98.277493331575712</v>
      </c>
      <c r="CI203" s="77"/>
      <c r="CJ203" s="189"/>
      <c r="CK203" s="189"/>
      <c r="CL203" s="189"/>
      <c r="CM203" s="77"/>
      <c r="CN203" s="189">
        <v>63095.734448019197</v>
      </c>
      <c r="CO203" s="189">
        <v>-1.5644801239883901</v>
      </c>
      <c r="CP203" s="189">
        <v>106.735874925879</v>
      </c>
      <c r="CQ203" s="74"/>
      <c r="CR203" s="75"/>
      <c r="CS203" s="75"/>
      <c r="CT203" s="75"/>
      <c r="CU203" s="74"/>
      <c r="CV203" s="75"/>
      <c r="CW203" s="75"/>
      <c r="CX203" s="75"/>
      <c r="CY203" s="74"/>
      <c r="CZ203" s="75"/>
      <c r="DA203" s="75"/>
      <c r="DB203" s="75"/>
      <c r="DC203" s="74"/>
      <c r="DD203" s="75"/>
      <c r="DE203" s="75"/>
      <c r="DF203" s="75"/>
      <c r="DG203" s="74"/>
      <c r="DH203" s="75"/>
      <c r="DI203" s="75"/>
      <c r="DJ203" s="75"/>
      <c r="DK203" s="74"/>
      <c r="DL203" s="75"/>
      <c r="DM203" s="75"/>
      <c r="DN203" s="75"/>
      <c r="DO203" s="76"/>
    </row>
    <row r="204" spans="1:119" x14ac:dyDescent="0.25">
      <c r="A204" s="136">
        <v>155</v>
      </c>
      <c r="B204" s="136">
        <f t="shared" si="144"/>
        <v>44668.359215096309</v>
      </c>
      <c r="C204" s="136" t="str">
        <f t="shared" si="151"/>
        <v>280659.578316113j</v>
      </c>
      <c r="D204" s="136">
        <f t="shared" si="145"/>
        <v>0.95011844212577801</v>
      </c>
      <c r="E204" s="136" t="str">
        <f t="shared" si="146"/>
        <v>-0.350824472895141j</v>
      </c>
      <c r="F204" s="136" t="str">
        <f t="shared" si="152"/>
        <v>0.950118442125778-0.350824472895141j</v>
      </c>
      <c r="G204" s="136">
        <f t="shared" si="153"/>
        <v>0.11063907623734921</v>
      </c>
      <c r="H204" s="136">
        <f t="shared" si="154"/>
        <v>-20.266308272666262</v>
      </c>
      <c r="I204" s="136"/>
      <c r="J204" s="136">
        <f t="shared" si="147"/>
        <v>7.0726915520628681</v>
      </c>
      <c r="K204" s="136" t="str">
        <f t="shared" si="148"/>
        <v>1+20.6002259420172j</v>
      </c>
      <c r="L204" s="136">
        <f t="shared" si="149"/>
        <v>-22.172038273576618</v>
      </c>
      <c r="M204" s="136" t="str">
        <f t="shared" si="150"/>
        <v>1.507615031664j</v>
      </c>
      <c r="N204" s="136" t="str">
        <f t="shared" si="155"/>
        <v>-22.1720382735766+1.507615031664j</v>
      </c>
      <c r="O204" s="136" t="str">
        <f t="shared" si="156"/>
        <v>0.502981258265267-3.67214102941194j</v>
      </c>
      <c r="P204" s="136" t="str">
        <f t="shared" si="157"/>
        <v>3.55743129617871-25.9719208367053j</v>
      </c>
      <c r="Q204" s="136"/>
      <c r="R204" s="136">
        <f t="shared" si="158"/>
        <v>11.787819253438114</v>
      </c>
      <c r="S204" s="136" t="str">
        <f t="shared" si="159"/>
        <v>1+0.00657239722941161j</v>
      </c>
      <c r="T204" s="136" t="str">
        <f t="shared" si="160"/>
        <v>-1.91718678256726+0.534921999044188j</v>
      </c>
      <c r="U204" s="136" t="str">
        <f t="shared" si="183"/>
        <v>-0.483037206952155-0.138202301410705j</v>
      </c>
      <c r="V204" s="136" t="str">
        <f t="shared" si="184"/>
        <v>-5.69395528823758-1.62910374943857j</v>
      </c>
      <c r="W204" s="136"/>
      <c r="X204" s="136" t="str">
        <f t="shared" si="161"/>
        <v>0.0712653664286501-6.19113909386354j</v>
      </c>
      <c r="Y204" s="136">
        <f t="shared" si="185"/>
        <v>15.835986627011206</v>
      </c>
      <c r="Z204" s="136">
        <f t="shared" si="186"/>
        <v>90.659494857519434</v>
      </c>
      <c r="AA204" s="136"/>
      <c r="AB204" s="136" t="str">
        <f t="shared" si="162"/>
        <v>-4.4761729433544-1.28068271632165j</v>
      </c>
      <c r="AC204" s="136">
        <f t="shared" si="187"/>
        <v>13.359846008143252</v>
      </c>
      <c r="AD204" s="136">
        <f t="shared" si="188"/>
        <v>15.966413001170338</v>
      </c>
      <c r="AE204" s="136"/>
      <c r="AF204" s="136" t="str">
        <f t="shared" si="189"/>
        <v>0.0793791642449339-0.73673180713174j</v>
      </c>
      <c r="AG204" s="136">
        <f t="shared" si="190"/>
        <v>-2.6036848212807442</v>
      </c>
      <c r="AH204" s="136">
        <f t="shared" si="191"/>
        <v>96.149609745683321</v>
      </c>
      <c r="AI204" s="136"/>
      <c r="AJ204" s="136" t="str">
        <f t="shared" si="163"/>
        <v>50209.5491724171-49999.5608895152j</v>
      </c>
      <c r="AK204" s="136" t="str">
        <f t="shared" si="164"/>
        <v>19047.5032323313-46.9679898161034j</v>
      </c>
      <c r="AL204" s="136" t="str">
        <f t="shared" si="165"/>
        <v>10000-223155.511675908j</v>
      </c>
      <c r="AM204" s="136" t="str">
        <f t="shared" si="166"/>
        <v>962.220103854368-69284.8959091909j</v>
      </c>
      <c r="AN204" s="136" t="str">
        <f t="shared" si="192"/>
        <v>10962.2201038544-69284.8959091909j</v>
      </c>
      <c r="AO204" s="136" t="str">
        <f t="shared" si="193"/>
        <v>17118.1554810491-4444.74361578916j</v>
      </c>
      <c r="AP204" s="136" t="str">
        <f t="shared" si="194"/>
        <v>0.181001141610449+0.130116869807259j</v>
      </c>
      <c r="AQ204" s="136" t="str">
        <f t="shared" si="167"/>
        <v>1+1.5933084192513j</v>
      </c>
      <c r="AR204" s="136" t="str">
        <f t="shared" si="168"/>
        <v>1+0.0031802563258509j</v>
      </c>
      <c r="AS204" s="136" t="str">
        <f t="shared" si="169"/>
        <v>4.98904698778063E-06j</v>
      </c>
      <c r="AT204" s="136" t="str">
        <f t="shared" si="195"/>
        <v>-1.58664482428567E-08+4.98904698778063E-06j</v>
      </c>
      <c r="AU204" s="179" t="str">
        <f t="shared" si="196"/>
        <v>318720.606235671-201452.69556779j</v>
      </c>
      <c r="AV204" s="136" t="str">
        <f t="shared" si="170"/>
        <v>7948.23581921518-641.431146629333j</v>
      </c>
      <c r="AW204" s="136"/>
      <c r="AX204" s="136" t="str">
        <f t="shared" si="171"/>
        <v>0.496764738700949-0.0400894466643333j</v>
      </c>
      <c r="AY204" s="136"/>
      <c r="AZ204" s="136" t="str">
        <f t="shared" si="172"/>
        <v>5.25307878856436+0.397262911971643j</v>
      </c>
      <c r="BA204" s="136" t="str">
        <f t="shared" si="173"/>
        <v>2.62547036209788-0.0132468152565201j</v>
      </c>
      <c r="BB204" s="136">
        <f t="shared" si="197"/>
        <v>8.3842529587436214</v>
      </c>
      <c r="BC204" s="136">
        <f t="shared" si="198"/>
        <v>179.71091649834869</v>
      </c>
      <c r="BD204" s="136" t="str">
        <f t="shared" si="174"/>
        <v>-11.7690243657467-3.30309947891665j</v>
      </c>
      <c r="BE204" s="136">
        <f t="shared" si="199"/>
        <v>21.744098966886845</v>
      </c>
      <c r="BF204" s="136">
        <f t="shared" si="200"/>
        <v>15.677329499519089</v>
      </c>
      <c r="BG204" s="136"/>
      <c r="BH204" s="136" t="str">
        <f t="shared" si="175"/>
        <v>0.198648292950498-1.93531904556316j</v>
      </c>
      <c r="BI204" s="136">
        <f t="shared" si="201"/>
        <v>5.7805681374628568</v>
      </c>
      <c r="BJ204" s="136">
        <f t="shared" si="202"/>
        <v>95.860526244032044</v>
      </c>
      <c r="BK204" s="136"/>
      <c r="BL204" s="136">
        <f t="shared" si="203"/>
        <v>-4.7805681374628568</v>
      </c>
      <c r="BM204" s="136">
        <f t="shared" si="204"/>
        <v>-95.860526244032044</v>
      </c>
      <c r="BN204" s="136"/>
      <c r="BO204" s="189"/>
      <c r="BP204" s="189" t="str">
        <f t="shared" si="176"/>
        <v>0.00001+9.95817762032062E-06j</v>
      </c>
      <c r="BQ204" s="189" t="str">
        <f t="shared" si="177"/>
        <v>2.24189029877081E-06+1.40706612209096E-06j</v>
      </c>
      <c r="BR204" s="189" t="str">
        <f t="shared" si="178"/>
        <v>-0.0582837763982582-0.0394372298060249j</v>
      </c>
      <c r="BS204" s="189" t="str">
        <f t="shared" si="179"/>
        <v>0.0000647418902987708+0.0000113652437424116j</v>
      </c>
      <c r="BT204" s="189" t="str">
        <f t="shared" si="205"/>
        <v>-3.32518812850315E-06-0.0000032156501307835j</v>
      </c>
      <c r="BU204" s="189" t="str">
        <f t="shared" si="206"/>
        <v>-2.24189029877081E-06-1.40706612209096E-06j</v>
      </c>
      <c r="BV204" s="189" t="str">
        <f t="shared" si="207"/>
        <v>-5.56707842727396E-06-4.62271625287446E-06j</v>
      </c>
      <c r="BW204" s="189" t="str">
        <f t="shared" si="180"/>
        <v>0.99974887441219-0.0158449526269117j</v>
      </c>
      <c r="BX204" s="189" t="str">
        <f t="shared" si="208"/>
        <v>-0.00001-9.95817762032062E-06j</v>
      </c>
      <c r="BY204" s="189" t="str">
        <f t="shared" si="209"/>
        <v>1.94464067261028+0.14508602817768j</v>
      </c>
      <c r="BZ204" s="136">
        <f t="shared" si="210"/>
        <v>5.8008947232732755</v>
      </c>
      <c r="CA204" s="136">
        <f t="shared" si="211"/>
        <v>-175.73317352552576</v>
      </c>
      <c r="CB204" s="189" t="str">
        <f t="shared" si="181"/>
        <v>-8.51873879461772-3.13989785265578j</v>
      </c>
      <c r="CC204" s="136" t="str">
        <f t="shared" si="182"/>
        <v>0.261253443077419-1.42116182929369j</v>
      </c>
      <c r="CD204" s="136">
        <f t="shared" si="212"/>
        <v>3.1972099019925135</v>
      </c>
      <c r="CE204" s="136">
        <f t="shared" si="213"/>
        <v>100.41643622015759</v>
      </c>
      <c r="CF204" s="136"/>
      <c r="CG204" s="136">
        <f t="shared" si="214"/>
        <v>-2.1972099019925135</v>
      </c>
      <c r="CH204" s="136">
        <f t="shared" si="215"/>
        <v>-100.41643622015759</v>
      </c>
      <c r="CI204" s="77"/>
      <c r="CJ204" s="189"/>
      <c r="CK204" s="189"/>
      <c r="CL204" s="189"/>
      <c r="CM204" s="77"/>
      <c r="CN204" s="189">
        <v>66069.3448007595</v>
      </c>
      <c r="CO204" s="189">
        <v>-1.70313152968336</v>
      </c>
      <c r="CP204" s="189">
        <v>106.217379399317</v>
      </c>
      <c r="CQ204" s="74"/>
      <c r="CR204" s="75"/>
      <c r="CS204" s="75"/>
      <c r="CT204" s="75"/>
      <c r="CU204" s="74"/>
      <c r="CV204" s="75"/>
      <c r="CW204" s="75"/>
      <c r="CX204" s="75"/>
      <c r="CY204" s="74"/>
      <c r="CZ204" s="75"/>
      <c r="DA204" s="75"/>
      <c r="DB204" s="75"/>
      <c r="DC204" s="74"/>
      <c r="DD204" s="75"/>
      <c r="DE204" s="75"/>
      <c r="DF204" s="75"/>
      <c r="DG204" s="74"/>
      <c r="DH204" s="75"/>
      <c r="DI204" s="75"/>
      <c r="DJ204" s="75"/>
      <c r="DK204" s="74"/>
      <c r="DL204" s="75"/>
      <c r="DM204" s="75"/>
      <c r="DN204" s="75"/>
      <c r="DO204" s="76"/>
    </row>
    <row r="205" spans="1:119" x14ac:dyDescent="0.25">
      <c r="A205" s="136">
        <v>156</v>
      </c>
      <c r="B205" s="136">
        <f t="shared" si="144"/>
        <v>47863.009232263823</v>
      </c>
      <c r="C205" s="136" t="str">
        <f t="shared" si="151"/>
        <v>300732.156365561j</v>
      </c>
      <c r="D205" s="136">
        <f t="shared" si="145"/>
        <v>0.9427283086808057</v>
      </c>
      <c r="E205" s="136" t="str">
        <f t="shared" si="146"/>
        <v>-0.375915195456951j</v>
      </c>
      <c r="F205" s="136" t="str">
        <f t="shared" si="152"/>
        <v>0.942728308680806-0.375915195456951j</v>
      </c>
      <c r="G205" s="136">
        <f t="shared" si="153"/>
        <v>0.1285784188824419</v>
      </c>
      <c r="H205" s="136">
        <f t="shared" si="154"/>
        <v>-21.739761429008226</v>
      </c>
      <c r="I205" s="136"/>
      <c r="J205" s="136">
        <f t="shared" si="147"/>
        <v>7.0726915520628681</v>
      </c>
      <c r="K205" s="136" t="str">
        <f t="shared" si="148"/>
        <v>1+22.0735397891279j</v>
      </c>
      <c r="L205" s="136">
        <f t="shared" si="149"/>
        <v>-25.605059661271351</v>
      </c>
      <c r="M205" s="136" t="str">
        <f t="shared" si="150"/>
        <v>1.61543861129438j</v>
      </c>
      <c r="N205" s="136" t="str">
        <f t="shared" si="155"/>
        <v>-25.6050596612714+1.61543861129438j</v>
      </c>
      <c r="O205" s="136" t="str">
        <f t="shared" si="156"/>
        <v>0.365887888253345-3.2443762876938j</v>
      </c>
      <c r="P205" s="136" t="str">
        <f t="shared" si="157"/>
        <v>2.58781217625156-22.946472761685j</v>
      </c>
      <c r="Q205" s="136"/>
      <c r="R205" s="136">
        <f t="shared" si="158"/>
        <v>11.787819253438114</v>
      </c>
      <c r="S205" s="136" t="str">
        <f t="shared" si="159"/>
        <v>1+0.00704245051300468j</v>
      </c>
      <c r="T205" s="136" t="str">
        <f t="shared" si="160"/>
        <v>-2.34937856898742+0.573179248772139j</v>
      </c>
      <c r="U205" s="136" t="str">
        <f t="shared" si="183"/>
        <v>-0.401042445089192-0.100840137490944j</v>
      </c>
      <c r="V205" s="136" t="str">
        <f t="shared" si="184"/>
        <v>-4.72741585566828-1.1886853142351j</v>
      </c>
      <c r="W205" s="136"/>
      <c r="X205" s="136" t="str">
        <f t="shared" si="161"/>
        <v>-0.115900496078206-5.45403754570327j</v>
      </c>
      <c r="Y205" s="136">
        <f t="shared" si="185"/>
        <v>14.736323208886116</v>
      </c>
      <c r="Z205" s="136">
        <f t="shared" si="186"/>
        <v>88.782624817686639</v>
      </c>
      <c r="AA205" s="136"/>
      <c r="AB205" s="136" t="str">
        <f t="shared" si="162"/>
        <v>-3.71635003682593-0.934457819283084j</v>
      </c>
      <c r="AC205" s="136">
        <f t="shared" si="187"/>
        <v>11.668582471322001</v>
      </c>
      <c r="AD205" s="136">
        <f t="shared" si="188"/>
        <v>14.114141867552036</v>
      </c>
      <c r="AE205" s="136"/>
      <c r="AF205" s="136" t="str">
        <f t="shared" si="189"/>
        <v>0.0593204751485624-0.691010138433364j</v>
      </c>
      <c r="AG205" s="136">
        <f t="shared" si="190"/>
        <v>-3.1784234625225865</v>
      </c>
      <c r="AH205" s="136">
        <f t="shared" si="191"/>
        <v>94.906585549690632</v>
      </c>
      <c r="AI205" s="136"/>
      <c r="AJ205" s="136" t="str">
        <f t="shared" si="163"/>
        <v>46760.218262584-49894.9277411432j</v>
      </c>
      <c r="AK205" s="136" t="str">
        <f t="shared" si="164"/>
        <v>19047.4860739968-50.3270624805912j</v>
      </c>
      <c r="AL205" s="136" t="str">
        <f t="shared" si="165"/>
        <v>10000-208260.841018095j</v>
      </c>
      <c r="AM205" s="136" t="str">
        <f t="shared" si="166"/>
        <v>962.084097414924-64664.5341857665j</v>
      </c>
      <c r="AN205" s="136" t="str">
        <f t="shared" si="192"/>
        <v>10962.0840974149-64664.5341857665j</v>
      </c>
      <c r="AO205" s="136" t="str">
        <f t="shared" si="193"/>
        <v>16883.4927082718-4653.03618402348j</v>
      </c>
      <c r="AP205" s="136" t="str">
        <f t="shared" si="194"/>
        <v>0.18402217716855+0.138900263394223j</v>
      </c>
      <c r="AQ205" s="136" t="str">
        <f t="shared" si="167"/>
        <v>1+1.70726073042538j</v>
      </c>
      <c r="AR205" s="136" t="str">
        <f t="shared" si="168"/>
        <v>1+0.00340770604875325j</v>
      </c>
      <c r="AS205" s="136" t="str">
        <f t="shared" si="169"/>
        <v>5.34586016214446E-06j</v>
      </c>
      <c r="AT205" s="136" t="str">
        <f t="shared" si="195"/>
        <v>-1.82171200103287E-08+5.34586016214446E-06j</v>
      </c>
      <c r="AU205" s="179" t="str">
        <f t="shared" si="196"/>
        <v>318720.12866063-188146.740155291j</v>
      </c>
      <c r="AV205" s="136" t="str">
        <f t="shared" si="170"/>
        <v>7940.62368836223-686.647614660166j</v>
      </c>
      <c r="AW205" s="136"/>
      <c r="AX205" s="136" t="str">
        <f t="shared" si="171"/>
        <v>0.496288980522639-0.0429154759162604j</v>
      </c>
      <c r="AY205" s="136"/>
      <c r="AZ205" s="136" t="str">
        <f t="shared" si="172"/>
        <v>5.30529920275296+0.694838148568291j</v>
      </c>
      <c r="BA205" s="136" t="str">
        <f t="shared" si="173"/>
        <v>2.66278084253242+0.117161076216895j</v>
      </c>
      <c r="BB205" s="136">
        <f t="shared" si="197"/>
        <v>8.5151081041800776</v>
      </c>
      <c r="BC205" s="136">
        <f t="shared" si="198"/>
        <v>-177.48063821603557</v>
      </c>
      <c r="BD205" s="136" t="str">
        <f t="shared" si="174"/>
        <v>-9.78634359841824-2.92366794925484j</v>
      </c>
      <c r="BE205" s="136">
        <f t="shared" si="199"/>
        <v>20.183690575502069</v>
      </c>
      <c r="BF205" s="136">
        <f t="shared" si="200"/>
        <v>16.633503651516463</v>
      </c>
      <c r="BG205" s="136"/>
      <c r="BH205" s="136" t="str">
        <f t="shared" si="175"/>
        <v>0.238916916291151-1.83305850790593j</v>
      </c>
      <c r="BI205" s="136">
        <f t="shared" si="201"/>
        <v>5.3366846416574703</v>
      </c>
      <c r="BJ205" s="136">
        <f t="shared" si="202"/>
        <v>97.425947333655074</v>
      </c>
      <c r="BK205" s="136"/>
      <c r="BL205" s="136">
        <f t="shared" si="203"/>
        <v>-4.3366846416574703</v>
      </c>
      <c r="BM205" s="136">
        <f t="shared" si="204"/>
        <v>-97.425947333655074</v>
      </c>
      <c r="BN205" s="136"/>
      <c r="BO205" s="189"/>
      <c r="BP205" s="189" t="str">
        <f t="shared" si="176"/>
        <v>0.00001+0.0000106703795651586j</v>
      </c>
      <c r="BQ205" s="189" t="str">
        <f t="shared" si="177"/>
        <v>2.32673481832945E-06+1.36284679713199E-06j</v>
      </c>
      <c r="BR205" s="189" t="str">
        <f t="shared" si="178"/>
        <v>-0.0607519358384038-0.0383731638693288j</v>
      </c>
      <c r="BS205" s="189" t="str">
        <f t="shared" si="179"/>
        <v>0.0000648267348183295+0.0000120332263622906j</v>
      </c>
      <c r="BT205" s="189" t="str">
        <f t="shared" si="205"/>
        <v>-3.47659666721947E-06-3.21864871418815E-06j</v>
      </c>
      <c r="BU205" s="189" t="str">
        <f t="shared" si="206"/>
        <v>-2.32673481832945E-06-1.36284679713199E-06j</v>
      </c>
      <c r="BV205" s="189" t="str">
        <f t="shared" si="207"/>
        <v>-5.80333148554892E-06-4.58149551132014E-06j</v>
      </c>
      <c r="BW205" s="189" t="str">
        <f t="shared" si="180"/>
        <v>0.9997116799739-0.0169775409780929j</v>
      </c>
      <c r="BX205" s="189" t="str">
        <f t="shared" si="208"/>
        <v>-0.00001-0.0000106703795651586j</v>
      </c>
      <c r="BY205" s="189" t="str">
        <f t="shared" si="209"/>
        <v>1.96021048562639+0.261372650157946j</v>
      </c>
      <c r="BZ205" s="136">
        <f t="shared" si="210"/>
        <v>5.9225903343472623</v>
      </c>
      <c r="CA205" s="136">
        <f t="shared" si="211"/>
        <v>-172.40503348507724</v>
      </c>
      <c r="CB205" s="189" t="str">
        <f t="shared" si="181"/>
        <v>-7.04058659375738-2.80308627377405j</v>
      </c>
      <c r="CC205" s="136" t="str">
        <f t="shared" si="182"/>
        <v>0.29689176856689-1.33902056923302j</v>
      </c>
      <c r="CD205" s="136">
        <f t="shared" si="212"/>
        <v>2.7441668718247052</v>
      </c>
      <c r="CE205" s="136">
        <f t="shared" si="213"/>
        <v>102.50155206461338</v>
      </c>
      <c r="CF205" s="136"/>
      <c r="CG205" s="136">
        <f t="shared" si="214"/>
        <v>-1.7441668718247052</v>
      </c>
      <c r="CH205" s="136">
        <f t="shared" si="215"/>
        <v>-102.50155206461338</v>
      </c>
      <c r="CI205" s="77"/>
      <c r="CJ205" s="189"/>
      <c r="CK205" s="189"/>
      <c r="CL205" s="189"/>
      <c r="CM205" s="77"/>
      <c r="CN205" s="189">
        <v>69183.097091893593</v>
      </c>
      <c r="CO205" s="189">
        <v>-1.8389624420148101</v>
      </c>
      <c r="CP205" s="189">
        <v>105.57897024597401</v>
      </c>
      <c r="CQ205" s="74"/>
      <c r="CR205" s="75"/>
      <c r="CS205" s="75"/>
      <c r="CT205" s="75"/>
      <c r="CU205" s="74"/>
      <c r="CV205" s="75"/>
      <c r="CW205" s="75"/>
      <c r="CX205" s="75"/>
      <c r="CY205" s="74"/>
      <c r="CZ205" s="75"/>
      <c r="DA205" s="75"/>
      <c r="DB205" s="75"/>
      <c r="DC205" s="74"/>
      <c r="DD205" s="75"/>
      <c r="DE205" s="75"/>
      <c r="DF205" s="75"/>
      <c r="DG205" s="74"/>
      <c r="DH205" s="75"/>
      <c r="DI205" s="75"/>
      <c r="DJ205" s="75"/>
      <c r="DK205" s="74"/>
      <c r="DL205" s="75"/>
      <c r="DM205" s="75"/>
      <c r="DN205" s="75"/>
      <c r="DO205" s="76"/>
    </row>
    <row r="206" spans="1:119" x14ac:dyDescent="0.25">
      <c r="A206" s="136">
        <v>157</v>
      </c>
      <c r="B206" s="136">
        <f t="shared" si="144"/>
        <v>51286.138399136544</v>
      </c>
      <c r="C206" s="136" t="str">
        <f t="shared" si="151"/>
        <v>322240.311251434j</v>
      </c>
      <c r="D206" s="136">
        <f t="shared" si="145"/>
        <v>0.93424330020261515</v>
      </c>
      <c r="E206" s="136" t="str">
        <f t="shared" si="146"/>
        <v>-0.402800389064292j</v>
      </c>
      <c r="F206" s="136" t="str">
        <f t="shared" si="152"/>
        <v>0.934243300202615-0.402800389064292j</v>
      </c>
      <c r="G206" s="136">
        <f t="shared" si="153"/>
        <v>0.14964979006223195</v>
      </c>
      <c r="H206" s="136">
        <f t="shared" si="154"/>
        <v>-23.32336168032873</v>
      </c>
      <c r="I206" s="136"/>
      <c r="J206" s="136">
        <f t="shared" si="147"/>
        <v>7.0726915520628681</v>
      </c>
      <c r="K206" s="136" t="str">
        <f t="shared" si="148"/>
        <v>1+23.6522240189811j</v>
      </c>
      <c r="L206" s="136">
        <f t="shared" si="149"/>
        <v>-29.546695600229487</v>
      </c>
      <c r="M206" s="136" t="str">
        <f t="shared" si="150"/>
        <v>1.73097365842816j</v>
      </c>
      <c r="N206" s="136" t="str">
        <f t="shared" si="155"/>
        <v>-29.5466956002295+1.73097365842816j</v>
      </c>
      <c r="O206" s="136" t="str">
        <f t="shared" si="156"/>
        <v>0.272413819976679-2.89036174366371j</v>
      </c>
      <c r="P206" s="136" t="str">
        <f t="shared" si="157"/>
        <v>1.92669892321423-20.442637086816j</v>
      </c>
      <c r="Q206" s="136"/>
      <c r="R206" s="136">
        <f t="shared" si="158"/>
        <v>11.787819253438114</v>
      </c>
      <c r="S206" s="136" t="str">
        <f t="shared" si="159"/>
        <v>1+0.007546121680865j</v>
      </c>
      <c r="T206" s="136" t="str">
        <f t="shared" si="160"/>
        <v>-2.84560113374697+0.614172630420935j</v>
      </c>
      <c r="U206" s="136" t="str">
        <f t="shared" si="183"/>
        <v>-0.335230980350291-0.0750055277073032j</v>
      </c>
      <c r="V206" s="136" t="str">
        <f t="shared" si="184"/>
        <v>-3.95164220452209-0.884151603622435j</v>
      </c>
      <c r="W206" s="136"/>
      <c r="X206" s="136" t="str">
        <f t="shared" si="161"/>
        <v>-0.238406778628319-4.84618369082008j</v>
      </c>
      <c r="Y206" s="136">
        <f t="shared" si="185"/>
        <v>13.718495197379045</v>
      </c>
      <c r="Z206" s="136">
        <f t="shared" si="186"/>
        <v>87.183619177499892</v>
      </c>
      <c r="AA206" s="136"/>
      <c r="AB206" s="136" t="str">
        <f t="shared" si="162"/>
        <v>-3.10649329372835-0.695055595911278j</v>
      </c>
      <c r="AC206" s="136">
        <f t="shared" si="187"/>
        <v>10.057553088841766</v>
      </c>
      <c r="AD206" s="136">
        <f t="shared" si="188"/>
        <v>12.611805272854525</v>
      </c>
      <c r="AE206" s="136"/>
      <c r="AF206" s="136" t="str">
        <f t="shared" si="189"/>
        <v>0.0416563960963288-0.647564913514665j</v>
      </c>
      <c r="AG206" s="136">
        <f t="shared" si="190"/>
        <v>-3.75639952153761</v>
      </c>
      <c r="AH206" s="136">
        <f t="shared" si="191"/>
        <v>93.68063746873365</v>
      </c>
      <c r="AI206" s="136"/>
      <c r="AJ206" s="136" t="str">
        <f t="shared" si="163"/>
        <v>43341.5790623996-49554.6711281361j</v>
      </c>
      <c r="AK206" s="136" t="str">
        <f t="shared" si="164"/>
        <v>19047.466373631-53.9263632490288j</v>
      </c>
      <c r="AL206" s="136" t="str">
        <f t="shared" si="165"/>
        <v>10000-194360.325567735j</v>
      </c>
      <c r="AM206" s="136" t="str">
        <f t="shared" si="166"/>
        <v>961.927988535599-60352.854136929j</v>
      </c>
      <c r="AN206" s="136" t="str">
        <f t="shared" si="192"/>
        <v>10961.9279885356-60352.854136929j</v>
      </c>
      <c r="AO206" s="136" t="str">
        <f t="shared" si="193"/>
        <v>16627.0923849327-4857.51144539583j</v>
      </c>
      <c r="AP206" s="136" t="str">
        <f t="shared" si="194"/>
        <v>0.187462987312503+0.148196681873417j</v>
      </c>
      <c r="AQ206" s="136" t="str">
        <f t="shared" si="167"/>
        <v>1+1.82936283172485j</v>
      </c>
      <c r="AR206" s="136" t="str">
        <f t="shared" si="168"/>
        <v>1+0.00365142281781407j</v>
      </c>
      <c r="AS206" s="136" t="str">
        <f t="shared" si="169"/>
        <v>5.72819236683843E-06j</v>
      </c>
      <c r="AT206" s="136" t="str">
        <f t="shared" si="195"/>
        <v>-2.09160523131022E-08+5.72819236683843E-06j</v>
      </c>
      <c r="AU206" s="179" t="str">
        <f t="shared" si="196"/>
        <v>318719.580332882-175738.922673622j</v>
      </c>
      <c r="AV206" s="136" t="str">
        <f t="shared" si="170"/>
        <v>7931.90175372636-734.948024722558j</v>
      </c>
      <c r="AW206" s="136"/>
      <c r="AX206" s="136" t="str">
        <f t="shared" si="171"/>
        <v>0.495743859607897-0.0459342515451599j</v>
      </c>
      <c r="AY206" s="136"/>
      <c r="AZ206" s="136" t="str">
        <f t="shared" si="172"/>
        <v>5.36487945831258+0.993423469201174j</v>
      </c>
      <c r="BA206" s="136" t="str">
        <f t="shared" si="173"/>
        <v>2.70523821252015+0.246051862299266j</v>
      </c>
      <c r="BB206" s="136">
        <f t="shared" si="197"/>
        <v>8.6798899419456337</v>
      </c>
      <c r="BC206" s="136">
        <f t="shared" si="198"/>
        <v>-174.80302695012074</v>
      </c>
      <c r="BD206" s="136" t="str">
        <f t="shared" si="174"/>
        <v>-8.23278464135601-2.64464941802719j</v>
      </c>
      <c r="BE206" s="136">
        <f t="shared" si="199"/>
        <v>18.737443030787389</v>
      </c>
      <c r="BF206" s="136">
        <f t="shared" si="200"/>
        <v>17.808778322733787</v>
      </c>
      <c r="BG206" s="136"/>
      <c r="BH206" s="136" t="str">
        <f t="shared" si="175"/>
        <v>0.27202502744561-1.741567715291j</v>
      </c>
      <c r="BI206" s="136">
        <f t="shared" si="201"/>
        <v>4.9234904204080205</v>
      </c>
      <c r="BJ206" s="136">
        <f t="shared" si="202"/>
        <v>98.877610518612912</v>
      </c>
      <c r="BK206" s="136"/>
      <c r="BL206" s="136">
        <f t="shared" si="203"/>
        <v>-3.9234904204080205</v>
      </c>
      <c r="BM206" s="136">
        <f t="shared" si="204"/>
        <v>-98.877610518612912</v>
      </c>
      <c r="BN206" s="136"/>
      <c r="BO206" s="189"/>
      <c r="BP206" s="189" t="str">
        <f t="shared" si="176"/>
        <v>0.00001+0.0000114335176982803j</v>
      </c>
      <c r="BQ206" s="189" t="str">
        <f t="shared" si="177"/>
        <v>2.40604202351918E-06+1.31523499974611E-06j</v>
      </c>
      <c r="BR206" s="189" t="str">
        <f t="shared" si="178"/>
        <v>-0.0630795870021634-0.037192132874533j</v>
      </c>
      <c r="BS206" s="189" t="str">
        <f t="shared" si="179"/>
        <v>0.0000649060420235192+0.0000127487526980264j</v>
      </c>
      <c r="BT206" s="189" t="str">
        <f t="shared" si="205"/>
        <v>-3.62009302045909E-06-3.21818019428297E-06j</v>
      </c>
      <c r="BU206" s="189" t="str">
        <f t="shared" si="206"/>
        <v>-2.40604202351918E-06-1.31523499974611E-06j</v>
      </c>
      <c r="BV206" s="189" t="str">
        <f t="shared" si="207"/>
        <v>-6.02613504397827E-06-4.53341519402908E-06j</v>
      </c>
      <c r="BW206" s="189" t="str">
        <f t="shared" si="180"/>
        <v>0.999668978457685-0.0181909858735939j</v>
      </c>
      <c r="BX206" s="189" t="str">
        <f t="shared" si="208"/>
        <v>-0.00001-0.0000114335176982803j</v>
      </c>
      <c r="BY206" s="189" t="str">
        <f t="shared" si="209"/>
        <v>1.97808008181241+0.378412495628657j</v>
      </c>
      <c r="BZ206" s="136">
        <f t="shared" si="210"/>
        <v>6.0809760656797511</v>
      </c>
      <c r="CA206" s="136">
        <f t="shared" si="211"/>
        <v>-169.16999937719837</v>
      </c>
      <c r="CB206" s="189" t="str">
        <f t="shared" si="181"/>
        <v>-5.88187478595842-2.55041150995779j</v>
      </c>
      <c r="CC206" s="136" t="str">
        <f t="shared" si="182"/>
        <v>0.327446342402877-1.26517195629823j</v>
      </c>
      <c r="CD206" s="136">
        <f t="shared" si="212"/>
        <v>2.324576544142162</v>
      </c>
      <c r="CE206" s="136">
        <f t="shared" si="213"/>
        <v>104.5106380915353</v>
      </c>
      <c r="CF206" s="136"/>
      <c r="CG206" s="136">
        <f t="shared" si="214"/>
        <v>-1.324576544142162</v>
      </c>
      <c r="CH206" s="136">
        <f t="shared" si="215"/>
        <v>-104.5106380915353</v>
      </c>
      <c r="CI206" s="77"/>
      <c r="CJ206" s="189"/>
      <c r="CK206" s="189"/>
      <c r="CL206" s="189"/>
      <c r="CM206" s="77"/>
      <c r="CN206" s="189">
        <v>72443.596007498898</v>
      </c>
      <c r="CO206" s="189">
        <v>-1.9726631358420601</v>
      </c>
      <c r="CP206" s="189">
        <v>104.81705393169599</v>
      </c>
      <c r="CQ206" s="74"/>
      <c r="CR206" s="75"/>
      <c r="CS206" s="75"/>
      <c r="CT206" s="75"/>
      <c r="CU206" s="74"/>
      <c r="CV206" s="75"/>
      <c r="CW206" s="75"/>
      <c r="CX206" s="75"/>
      <c r="CY206" s="74"/>
      <c r="CZ206" s="75"/>
      <c r="DA206" s="75"/>
      <c r="DB206" s="75"/>
      <c r="DC206" s="74"/>
      <c r="DD206" s="75"/>
      <c r="DE206" s="75"/>
      <c r="DF206" s="75"/>
      <c r="DG206" s="74"/>
      <c r="DH206" s="75"/>
      <c r="DI206" s="75"/>
      <c r="DJ206" s="75"/>
      <c r="DK206" s="74"/>
      <c r="DL206" s="75"/>
      <c r="DM206" s="75"/>
      <c r="DN206" s="75"/>
      <c r="DO206" s="76"/>
    </row>
    <row r="207" spans="1:119" x14ac:dyDescent="0.25">
      <c r="A207" s="136">
        <v>158</v>
      </c>
      <c r="B207" s="136">
        <f t="shared" si="144"/>
        <v>54954.087385762505</v>
      </c>
      <c r="C207" s="136" t="str">
        <f t="shared" si="151"/>
        <v>345286.714431686j</v>
      </c>
      <c r="D207" s="136">
        <f t="shared" si="145"/>
        <v>0.9245012069899492</v>
      </c>
      <c r="E207" s="136" t="str">
        <f t="shared" si="146"/>
        <v>-0.431608393039607j</v>
      </c>
      <c r="F207" s="136" t="str">
        <f t="shared" si="152"/>
        <v>0.924501206989949-0.431608393039607j</v>
      </c>
      <c r="G207" s="136">
        <f t="shared" si="153"/>
        <v>0.17445842801576503</v>
      </c>
      <c r="H207" s="136">
        <f t="shared" si="154"/>
        <v>-25.025773259451338</v>
      </c>
      <c r="I207" s="136"/>
      <c r="J207" s="136">
        <f t="shared" si="147"/>
        <v>7.0726915520628681</v>
      </c>
      <c r="K207" s="136" t="str">
        <f t="shared" si="148"/>
        <v>1+25.3438146481428j</v>
      </c>
      <c r="L207" s="136">
        <f t="shared" si="149"/>
        <v>-34.072299178166375</v>
      </c>
      <c r="M207" s="136" t="str">
        <f t="shared" si="150"/>
        <v>1.85477169186354j</v>
      </c>
      <c r="N207" s="136" t="str">
        <f t="shared" si="155"/>
        <v>-34.0722991781664+1.85477169186354j</v>
      </c>
      <c r="O207" s="136" t="str">
        <f t="shared" si="156"/>
        <v>0.206857478872963-2.59306249486429j</v>
      </c>
      <c r="P207" s="136" t="str">
        <f t="shared" si="157"/>
        <v>1.46303914330583-18.3399312013977j</v>
      </c>
      <c r="Q207" s="136"/>
      <c r="R207" s="136">
        <f t="shared" si="158"/>
        <v>11.787819253438114</v>
      </c>
      <c r="S207" s="136" t="str">
        <f t="shared" si="159"/>
        <v>1+0.00808581506071891j</v>
      </c>
      <c r="T207" s="136" t="str">
        <f t="shared" si="160"/>
        <v>-3.41534086854409+0.658097830244595j</v>
      </c>
      <c r="U207" s="136" t="str">
        <f t="shared" si="183"/>
        <v>-0.2818746399495-0.0566815762946041j</v>
      </c>
      <c r="V207" s="136" t="str">
        <f t="shared" si="184"/>
        <v>-3.32268730785265-0.668152176360756j</v>
      </c>
      <c r="W207" s="136"/>
      <c r="X207" s="136" t="str">
        <f t="shared" si="161"/>
        <v>-0.320610581450287-4.33698468899517j</v>
      </c>
      <c r="Y207" s="136">
        <f t="shared" si="185"/>
        <v>12.767426797402635</v>
      </c>
      <c r="Z207" s="136">
        <f t="shared" si="186"/>
        <v>85.772113291952323</v>
      </c>
      <c r="AA207" s="136"/>
      <c r="AB207" s="136" t="str">
        <f t="shared" si="162"/>
        <v>-2.61205476224255-0.52525257794834j</v>
      </c>
      <c r="AC207" s="136">
        <f t="shared" si="187"/>
        <v>8.5118006782774778</v>
      </c>
      <c r="AD207" s="136">
        <f t="shared" si="188"/>
        <v>11.369853997880938</v>
      </c>
      <c r="AE207" s="136"/>
      <c r="AF207" s="136" t="str">
        <f t="shared" si="189"/>
        <v>0.0261226641575321-0.606366499408786j</v>
      </c>
      <c r="AG207" s="136">
        <f t="shared" si="190"/>
        <v>-4.3372432273199388</v>
      </c>
      <c r="AH207" s="136">
        <f t="shared" si="191"/>
        <v>92.466814205459499</v>
      </c>
      <c r="AI207" s="136"/>
      <c r="AJ207" s="136" t="str">
        <f t="shared" si="163"/>
        <v>39985.1642937894-48986.7641897034j</v>
      </c>
      <c r="AK207" s="136" t="str">
        <f t="shared" si="164"/>
        <v>19047.4437546349-57.7830706647188j</v>
      </c>
      <c r="AL207" s="136" t="str">
        <f t="shared" si="165"/>
        <v>10000-181387.609740392j</v>
      </c>
      <c r="AM207" s="136" t="str">
        <f t="shared" si="166"/>
        <v>961.748814023987-56329.2731939386j</v>
      </c>
      <c r="AN207" s="136" t="str">
        <f t="shared" si="192"/>
        <v>10961.748814024-56329.2731939386j</v>
      </c>
      <c r="AO207" s="136" t="str">
        <f t="shared" si="193"/>
        <v>16348.5785420563-5055.57915172214j</v>
      </c>
      <c r="AP207" s="136" t="str">
        <f t="shared" si="194"/>
        <v>0.191377386489058+0.158018331121533j</v>
      </c>
      <c r="AQ207" s="136" t="str">
        <f t="shared" si="167"/>
        <v>1+1.96019759047731j</v>
      </c>
      <c r="AR207" s="136" t="str">
        <f t="shared" si="168"/>
        <v>1+0.00391257004087288j</v>
      </c>
      <c r="AS207" s="136" t="str">
        <f t="shared" si="169"/>
        <v>6.13786870518208E-06j</v>
      </c>
      <c r="AT207" s="136" t="str">
        <f t="shared" si="195"/>
        <v>-2.40148412107066E-08+6.13786870518208E-06j</v>
      </c>
      <c r="AU207" s="179" t="str">
        <f t="shared" si="196"/>
        <v>318718.950770718-164170.012979075j</v>
      </c>
      <c r="AV207" s="136" t="str">
        <f t="shared" si="170"/>
        <v>7921.91123163893-786.519097762042j</v>
      </c>
      <c r="AW207" s="136"/>
      <c r="AX207" s="136" t="str">
        <f t="shared" si="171"/>
        <v>0.495119451977433-0.0491574436101276j</v>
      </c>
      <c r="AY207" s="136"/>
      <c r="AZ207" s="136" t="str">
        <f t="shared" si="172"/>
        <v>5.43279503176518+1.29394163965637j</v>
      </c>
      <c r="BA207" s="136" t="str">
        <f t="shared" si="173"/>
        <v>2.7534893620195+0.373593360098065j</v>
      </c>
      <c r="BB207" s="136">
        <f t="shared" si="197"/>
        <v>8.876890579398351</v>
      </c>
      <c r="BC207" s="136">
        <f t="shared" si="198"/>
        <v>-172.27329347630879</v>
      </c>
      <c r="BD207" s="136" t="str">
        <f t="shared" si="174"/>
        <v>-6.99603412535133-2.42212370114042j</v>
      </c>
      <c r="BE207" s="136">
        <f t="shared" si="199"/>
        <v>17.388691257675816</v>
      </c>
      <c r="BF207" s="136">
        <f t="shared" si="200"/>
        <v>19.096560521572172</v>
      </c>
      <c r="BG207" s="136"/>
      <c r="BH207" s="136" t="str">
        <f t="shared" si="175"/>
        <v>0.298462975830403-1.65986445172977j</v>
      </c>
      <c r="BI207" s="136">
        <f t="shared" si="201"/>
        <v>4.5396473520784149</v>
      </c>
      <c r="BJ207" s="136">
        <f t="shared" si="202"/>
        <v>100.19352072915073</v>
      </c>
      <c r="BK207" s="136"/>
      <c r="BL207" s="136">
        <f t="shared" si="203"/>
        <v>-3.5396473520784149</v>
      </c>
      <c r="BM207" s="136">
        <f t="shared" si="204"/>
        <v>-100.19352072915073</v>
      </c>
      <c r="BN207" s="136"/>
      <c r="BO207" s="189"/>
      <c r="BP207" s="189" t="str">
        <f t="shared" si="176"/>
        <v>0.00001+0.0000122512349404832j</v>
      </c>
      <c r="BQ207" s="189" t="str">
        <f t="shared" si="177"/>
        <v>2.47965546096801E-06+1.26500281043821E-06j</v>
      </c>
      <c r="BR207" s="189" t="str">
        <f t="shared" si="178"/>
        <v>-0.0652581485005652-0.0359153032375162j</v>
      </c>
      <c r="BS207" s="189" t="str">
        <f t="shared" si="179"/>
        <v>0.000064979655460968+0.0000135162377509214j</v>
      </c>
      <c r="BT207" s="189" t="str">
        <f t="shared" si="205"/>
        <v>-3.75501222813271E-06-3.21580868046856E-06j</v>
      </c>
      <c r="BU207" s="189" t="str">
        <f t="shared" si="206"/>
        <v>-2.47965546096801E-06-1.26500281043821E-06j</v>
      </c>
      <c r="BV207" s="189" t="str">
        <f t="shared" si="207"/>
        <v>-6.23466768910072E-06-4.48081149090677E-06j</v>
      </c>
      <c r="BW207" s="189" t="str">
        <f t="shared" si="180"/>
        <v>0.999619955055577-0.0194910366646551j</v>
      </c>
      <c r="BX207" s="189" t="str">
        <f t="shared" si="208"/>
        <v>-0.00001-0.0000122512349404832j</v>
      </c>
      <c r="BY207" s="189" t="str">
        <f t="shared" si="209"/>
        <v>1.99856660943859+0.496653306868743j</v>
      </c>
      <c r="BZ207" s="136">
        <f t="shared" si="210"/>
        <v>6.2746141130910598</v>
      </c>
      <c r="CA207" s="136">
        <f t="shared" si="211"/>
        <v>-166.04441656721445</v>
      </c>
      <c r="CB207" s="189" t="str">
        <f t="shared" si="181"/>
        <v>-4.95949700006363-2.3470378991991j</v>
      </c>
      <c r="CC207" s="136" t="str">
        <f t="shared" si="182"/>
        <v>0.353361811440619-1.1988899312625j</v>
      </c>
      <c r="CD207" s="136">
        <f t="shared" si="212"/>
        <v>1.9373708857710934</v>
      </c>
      <c r="CE207" s="136">
        <f t="shared" si="213"/>
        <v>106.4223976382451</v>
      </c>
      <c r="CF207" s="136"/>
      <c r="CG207" s="136">
        <f t="shared" si="214"/>
        <v>-0.9373708857710934</v>
      </c>
      <c r="CH207" s="136">
        <f t="shared" si="215"/>
        <v>-106.4223976382451</v>
      </c>
      <c r="CI207" s="77"/>
      <c r="CJ207" s="189"/>
      <c r="CK207" s="189"/>
      <c r="CL207" s="189"/>
      <c r="CM207" s="77"/>
      <c r="CN207" s="189">
        <v>75857.757502918306</v>
      </c>
      <c r="CO207" s="189">
        <v>-2.1049353601018801</v>
      </c>
      <c r="CP207" s="189">
        <v>103.928078809911</v>
      </c>
      <c r="CQ207" s="74"/>
      <c r="CR207" s="75"/>
      <c r="CS207" s="75"/>
      <c r="CT207" s="75"/>
      <c r="CU207" s="74"/>
      <c r="CV207" s="75"/>
      <c r="CW207" s="75"/>
      <c r="CX207" s="75"/>
      <c r="CY207" s="74"/>
      <c r="CZ207" s="75"/>
      <c r="DA207" s="75"/>
      <c r="DB207" s="75"/>
      <c r="DC207" s="74"/>
      <c r="DD207" s="75"/>
      <c r="DE207" s="75"/>
      <c r="DF207" s="75"/>
      <c r="DG207" s="74"/>
      <c r="DH207" s="75"/>
      <c r="DI207" s="75"/>
      <c r="DJ207" s="75"/>
      <c r="DK207" s="74"/>
      <c r="DL207" s="75"/>
      <c r="DM207" s="75"/>
      <c r="DN207" s="75"/>
      <c r="DO207" s="76"/>
    </row>
    <row r="208" spans="1:119" x14ac:dyDescent="0.25">
      <c r="A208" s="136">
        <v>159</v>
      </c>
      <c r="B208" s="136">
        <f t="shared" si="144"/>
        <v>58884.365535558936</v>
      </c>
      <c r="C208" s="136" t="str">
        <f t="shared" si="151"/>
        <v>369981.380355616j</v>
      </c>
      <c r="D208" s="136">
        <f t="shared" si="145"/>
        <v>0.91331578738686692</v>
      </c>
      <c r="E208" s="136" t="str">
        <f t="shared" si="146"/>
        <v>-0.46247672544452j</v>
      </c>
      <c r="F208" s="136" t="str">
        <f t="shared" si="152"/>
        <v>0.913315787386867-0.46247672544452j</v>
      </c>
      <c r="G208" s="136">
        <f t="shared" si="153"/>
        <v>0.2037390065352844</v>
      </c>
      <c r="H208" s="136">
        <f t="shared" si="154"/>
        <v>-26.85633632833547</v>
      </c>
      <c r="I208" s="136"/>
      <c r="J208" s="136">
        <f t="shared" si="147"/>
        <v>7.0726915520628681</v>
      </c>
      <c r="K208" s="136" t="str">
        <f t="shared" si="148"/>
        <v>1+27.1563866638486j</v>
      </c>
      <c r="L208" s="136">
        <f t="shared" si="149"/>
        <v>-39.26838731563376</v>
      </c>
      <c r="M208" s="136" t="str">
        <f t="shared" si="150"/>
        <v>1.98742367464j</v>
      </c>
      <c r="N208" s="136" t="str">
        <f t="shared" si="155"/>
        <v>-39.2683873156338+1.98742367464j</v>
      </c>
      <c r="O208" s="136" t="str">
        <f t="shared" si="156"/>
        <v>0.159754205853994-2.34004691215048j</v>
      </c>
      <c r="P208" s="136" t="str">
        <f t="shared" si="157"/>
        <v>1.12989222215006-16.5504300269975j</v>
      </c>
      <c r="Q208" s="136"/>
      <c r="R208" s="136">
        <f t="shared" si="158"/>
        <v>11.787819253438114</v>
      </c>
      <c r="S208" s="136" t="str">
        <f t="shared" si="159"/>
        <v>1+0.00866410693614134j</v>
      </c>
      <c r="T208" s="136" t="str">
        <f t="shared" si="160"/>
        <v>-4.06948960836214+0.705164529842067j</v>
      </c>
      <c r="U208" s="136" t="str">
        <f t="shared" si="183"/>
        <v>-0.238209599452852-0.0434061968791394j</v>
      </c>
      <c r="V208" s="136" t="str">
        <f t="shared" si="184"/>
        <v>-2.80797170278411-0.511664403290445j</v>
      </c>
      <c r="W208" s="136"/>
      <c r="X208" s="136" t="str">
        <f t="shared" si="161"/>
        <v>-0.376927569630087-3.90435346211096j</v>
      </c>
      <c r="Y208" s="136">
        <f t="shared" si="185"/>
        <v>11.871271493043871</v>
      </c>
      <c r="Z208" s="136">
        <f t="shared" si="186"/>
        <v>84.485735245435677</v>
      </c>
      <c r="AA208" s="136"/>
      <c r="AB208" s="136" t="str">
        <f t="shared" si="162"/>
        <v>-2.20742284149502-0.402233288135841j</v>
      </c>
      <c r="AC208" s="136">
        <f t="shared" si="187"/>
        <v>7.0195696795041718</v>
      </c>
      <c r="AD208" s="136">
        <f t="shared" si="188"/>
        <v>10.327047704818</v>
      </c>
      <c r="AE208" s="136"/>
      <c r="AF208" s="136" t="str">
        <f t="shared" si="189"/>
        <v>0.0124791568795785-0.567366218657688j</v>
      </c>
      <c r="AG208" s="136">
        <f t="shared" si="190"/>
        <v>-4.9206300180903471</v>
      </c>
      <c r="AH208" s="136">
        <f t="shared" si="191"/>
        <v>91.260011137077854</v>
      </c>
      <c r="AI208" s="136"/>
      <c r="AJ208" s="136" t="str">
        <f t="shared" si="163"/>
        <v>36720.2172923683-48204.2256574886j</v>
      </c>
      <c r="AK208" s="136" t="str">
        <f t="shared" si="164"/>
        <v>19047.4177846189-61.9155913149462j</v>
      </c>
      <c r="AL208" s="136" t="str">
        <f t="shared" si="165"/>
        <v>10000-169280.766901506j</v>
      </c>
      <c r="AM208" s="136" t="str">
        <f t="shared" si="166"/>
        <v>961.543176456296-52574.5839893602j</v>
      </c>
      <c r="AN208" s="136" t="str">
        <f t="shared" si="192"/>
        <v>10961.5431764563-52574.5839893602j</v>
      </c>
      <c r="AO208" s="136" t="str">
        <f t="shared" si="193"/>
        <v>16047.9639057286-5244.43719777364j</v>
      </c>
      <c r="AP208" s="136" t="str">
        <f t="shared" si="194"/>
        <v>0.19582472515488+0.168373434520865j</v>
      </c>
      <c r="AQ208" s="136" t="str">
        <f t="shared" si="167"/>
        <v>1+2.10038956027669j</v>
      </c>
      <c r="AR208" s="136" t="str">
        <f t="shared" si="168"/>
        <v>1+0.0041923943318896j</v>
      </c>
      <c r="AS208" s="136" t="str">
        <f t="shared" si="169"/>
        <v>6.57684481061638E-06j</v>
      </c>
      <c r="AT208" s="136" t="str">
        <f t="shared" si="195"/>
        <v>-2.75727269057456E-08+6.57684481061638E-06j</v>
      </c>
      <c r="AU208" s="179" t="str">
        <f t="shared" si="196"/>
        <v>318718.227939708-153384.785517589j</v>
      </c>
      <c r="AV208" s="136" t="str">
        <f t="shared" si="170"/>
        <v>7910.47156860856-841.553391713271j</v>
      </c>
      <c r="AW208" s="136"/>
      <c r="AX208" s="136" t="str">
        <f t="shared" si="171"/>
        <v>0.494404473038035-0.0525970869820794j</v>
      </c>
      <c r="AY208" s="136"/>
      <c r="AZ208" s="136" t="str">
        <f t="shared" si="172"/>
        <v>5.51013181208983+1.59722015193152j</v>
      </c>
      <c r="BA208" s="136" t="str">
        <f t="shared" si="173"/>
        <v>2.80824294218706+0.499855905338222j</v>
      </c>
      <c r="BB208" s="136">
        <f t="shared" si="197"/>
        <v>9.1041544235744887</v>
      </c>
      <c r="BC208" s="136">
        <f t="shared" si="198"/>
        <v>-169.90728439725015</v>
      </c>
      <c r="BD208" s="136" t="str">
        <f t="shared" si="174"/>
        <v>-5.99792093065259-2.23296213541993j</v>
      </c>
      <c r="BE208" s="136">
        <f t="shared" si="199"/>
        <v>16.123724103078668</v>
      </c>
      <c r="BF208" s="136">
        <f t="shared" si="200"/>
        <v>20.419763307567791</v>
      </c>
      <c r="BG208" s="136"/>
      <c r="BH208" s="136" t="str">
        <f t="shared" si="175"/>
        <v>0.318645859116982-1.58706439892091j</v>
      </c>
      <c r="BI208" s="136">
        <f t="shared" si="201"/>
        <v>4.1835244054841239</v>
      </c>
      <c r="BJ208" s="136">
        <f t="shared" si="202"/>
        <v>101.35272673982767</v>
      </c>
      <c r="BK208" s="136"/>
      <c r="BL208" s="136">
        <f t="shared" si="203"/>
        <v>-3.1835244054841239</v>
      </c>
      <c r="BM208" s="136">
        <f t="shared" si="204"/>
        <v>-101.35272673982767</v>
      </c>
      <c r="BN208" s="136"/>
      <c r="BO208" s="189"/>
      <c r="BP208" s="189" t="str">
        <f t="shared" si="176"/>
        <v>0.00001+0.0000131274347517293j</v>
      </c>
      <c r="BQ208" s="189" t="str">
        <f t="shared" si="177"/>
        <v>0.0000025475406468725+1.21288959679313E-06j</v>
      </c>
      <c r="BR208" s="189" t="str">
        <f t="shared" si="178"/>
        <v>-0.0672827481553183-0.0345637152922047j</v>
      </c>
      <c r="BS208" s="189" t="str">
        <f t="shared" si="179"/>
        <v>0.0000650475406468725+0.0000143403243485224j</v>
      </c>
      <c r="BT208" s="189" t="str">
        <f t="shared" si="205"/>
        <v>-3.88092240748615E-06-3.21314110698383E-06j</v>
      </c>
      <c r="BU208" s="189" t="str">
        <f t="shared" si="206"/>
        <v>-0.0000025475406468725-1.21288959679313E-06j</v>
      </c>
      <c r="BV208" s="189" t="str">
        <f t="shared" si="207"/>
        <v>-6.42846305435865E-06-4.42603070377696E-06j</v>
      </c>
      <c r="BW208" s="189" t="str">
        <f t="shared" si="180"/>
        <v>0.999563674588047-0.0208838461995841j</v>
      </c>
      <c r="BX208" s="189" t="str">
        <f t="shared" si="208"/>
        <v>-0.00001-0.0000131274347517293j</v>
      </c>
      <c r="BY208" s="189" t="str">
        <f t="shared" si="209"/>
        <v>2.02202967974395+0.616524195029058j</v>
      </c>
      <c r="BZ208" s="136">
        <f t="shared" si="210"/>
        <v>6.5018179356973231</v>
      </c>
      <c r="CA208" s="136">
        <f t="shared" si="211"/>
        <v>-163.04334576462981</v>
      </c>
      <c r="CB208" s="189" t="str">
        <f t="shared" si="181"/>
        <v>-4.21548794706582-2.17425723723315j</v>
      </c>
      <c r="CC208" s="136" t="str">
        <f t="shared" si="182"/>
        <v>0.375028226833301-1.13953763126012j</v>
      </c>
      <c r="CD208" s="136">
        <f t="shared" si="212"/>
        <v>1.5811879176069967</v>
      </c>
      <c r="CE208" s="136">
        <f t="shared" si="213"/>
        <v>108.21666537244806</v>
      </c>
      <c r="CF208" s="136"/>
      <c r="CG208" s="136">
        <f t="shared" si="214"/>
        <v>-0.58118791760699673</v>
      </c>
      <c r="CH208" s="136">
        <f t="shared" si="215"/>
        <v>-108.21666537244806</v>
      </c>
      <c r="CI208" s="77"/>
      <c r="CJ208" s="189"/>
      <c r="CK208" s="189"/>
      <c r="CL208" s="189"/>
      <c r="CM208" s="77"/>
      <c r="CN208" s="189">
        <v>79432.823472428106</v>
      </c>
      <c r="CO208" s="189">
        <v>-2.2364909153671202</v>
      </c>
      <c r="CP208" s="189">
        <v>102.908511659825</v>
      </c>
      <c r="CQ208" s="74"/>
      <c r="CR208" s="75"/>
      <c r="CS208" s="75"/>
      <c r="CT208" s="75"/>
      <c r="CU208" s="74"/>
      <c r="CV208" s="75"/>
      <c r="CW208" s="75"/>
      <c r="CX208" s="75"/>
      <c r="CY208" s="74"/>
      <c r="CZ208" s="75"/>
      <c r="DA208" s="75"/>
      <c r="DB208" s="75"/>
      <c r="DC208" s="74"/>
      <c r="DD208" s="75"/>
      <c r="DE208" s="75"/>
      <c r="DF208" s="75"/>
      <c r="DG208" s="74"/>
      <c r="DH208" s="75"/>
      <c r="DI208" s="75"/>
      <c r="DJ208" s="75"/>
      <c r="DK208" s="74"/>
      <c r="DL208" s="75"/>
      <c r="DM208" s="75"/>
      <c r="DN208" s="75"/>
      <c r="DO208" s="76"/>
    </row>
    <row r="209" spans="1:119" x14ac:dyDescent="0.25">
      <c r="A209" s="136">
        <v>160</v>
      </c>
      <c r="B209" s="136">
        <f t="shared" si="144"/>
        <v>63095.734448019342</v>
      </c>
      <c r="C209" s="136" t="str">
        <f t="shared" si="151"/>
        <v>396442.1916295j</v>
      </c>
      <c r="D209" s="136">
        <f t="shared" si="145"/>
        <v>0.90047320736162573</v>
      </c>
      <c r="E209" s="136" t="str">
        <f t="shared" si="146"/>
        <v>-0.495552739536875j</v>
      </c>
      <c r="F209" s="136" t="str">
        <f t="shared" si="152"/>
        <v>0.900473207361626-0.495552739536875j</v>
      </c>
      <c r="G209" s="136">
        <f t="shared" si="153"/>
        <v>0.23838470664016304</v>
      </c>
      <c r="H209" s="136">
        <f t="shared" si="154"/>
        <v>-28.825079524686853</v>
      </c>
      <c r="I209" s="136"/>
      <c r="J209" s="136">
        <f t="shared" si="147"/>
        <v>7.0726915520628681</v>
      </c>
      <c r="K209" s="136" t="str">
        <f t="shared" si="148"/>
        <v>1+29.0985925708109j</v>
      </c>
      <c r="L209" s="136">
        <f t="shared" si="149"/>
        <v>-45.234294728283921</v>
      </c>
      <c r="M209" s="136" t="str">
        <f t="shared" si="150"/>
        <v>2.12956283506302j</v>
      </c>
      <c r="N209" s="136" t="str">
        <f t="shared" si="155"/>
        <v>-45.2342947282839+2.12956283506302j</v>
      </c>
      <c r="O209" s="136" t="str">
        <f t="shared" si="156"/>
        <v>0.125192514112801-2.12215806462889j</v>
      </c>
      <c r="P209" s="136" t="str">
        <f t="shared" si="157"/>
        <v>0.885448036947119-15.0093694158428j</v>
      </c>
      <c r="Q209" s="136"/>
      <c r="R209" s="136">
        <f t="shared" si="158"/>
        <v>11.787819253438114</v>
      </c>
      <c r="S209" s="136" t="str">
        <f t="shared" si="159"/>
        <v>1+0.00928375784471843j</v>
      </c>
      <c r="T209" s="136" t="str">
        <f t="shared" si="160"/>
        <v>-4.82055285298175+0.75559740709457j</v>
      </c>
      <c r="U209" s="136" t="str">
        <f t="shared" si="183"/>
        <v>-0.202175957219363-0.033615934072022j</v>
      </c>
      <c r="V209" s="136" t="str">
        <f t="shared" si="184"/>
        <v>-2.38321364109269-0.396258554876487j</v>
      </c>
      <c r="W209" s="136"/>
      <c r="X209" s="136" t="str">
        <f t="shared" si="161"/>
        <v>-0.416189471017084-3.53214656806752j</v>
      </c>
      <c r="Y209" s="136">
        <f t="shared" si="185"/>
        <v>11.020655675935689</v>
      </c>
      <c r="Z209" s="136">
        <f t="shared" si="186"/>
        <v>83.279878492750797</v>
      </c>
      <c r="AA209" s="136"/>
      <c r="AB209" s="136" t="str">
        <f t="shared" si="162"/>
        <v>-1.87350898952951-0.311509615394232j</v>
      </c>
      <c r="AC209" s="136">
        <f t="shared" si="187"/>
        <v>5.5715507305621035</v>
      </c>
      <c r="AD209" s="136">
        <f t="shared" si="188"/>
        <v>9.4402456769526282</v>
      </c>
      <c r="AE209" s="136"/>
      <c r="AF209" s="136" t="str">
        <f t="shared" si="189"/>
        <v>0.000508964546813152-0.530500672121316j</v>
      </c>
      <c r="AG209" s="136">
        <f t="shared" si="190"/>
        <v>-5.5062772331116436</v>
      </c>
      <c r="AH209" s="136">
        <f t="shared" si="191"/>
        <v>90.05496979182</v>
      </c>
      <c r="AI209" s="136"/>
      <c r="AJ209" s="136" t="str">
        <f t="shared" si="163"/>
        <v>33572.7305067099-47224.4091227706j</v>
      </c>
      <c r="AK209" s="136" t="str">
        <f t="shared" si="164"/>
        <v>19047.3879671383-66.343647532384j</v>
      </c>
      <c r="AL209" s="136" t="str">
        <f t="shared" si="165"/>
        <v>9999.99999999998-157982.003753045j</v>
      </c>
      <c r="AM209" s="136" t="str">
        <f t="shared" si="166"/>
        <v>961.307181356367-49070.8626526038j</v>
      </c>
      <c r="AN209" s="136" t="str">
        <f t="shared" si="192"/>
        <v>10961.3071813564-49070.8626526038j</v>
      </c>
      <c r="AO209" s="136" t="str">
        <f t="shared" si="193"/>
        <v>15725.7159641569-5421.13615981305j</v>
      </c>
      <c r="AP209" s="136" t="str">
        <f t="shared" si="194"/>
        <v>0.20087004298261+0.179265120788477j</v>
      </c>
      <c r="AQ209" s="136" t="str">
        <f t="shared" si="167"/>
        <v>1+2.25060796235598j</v>
      </c>
      <c r="AR209" s="136" t="str">
        <f t="shared" si="168"/>
        <v>1+0.00449223146178839j</v>
      </c>
      <c r="AS209" s="136" t="str">
        <f t="shared" si="169"/>
        <v>7.04721618212717E-06j</v>
      </c>
      <c r="AT209" s="136" t="str">
        <f t="shared" si="195"/>
        <v>-3.16577262513759E-08+7.04721618212717E-06j</v>
      </c>
      <c r="AU209" s="179" t="str">
        <f t="shared" si="196"/>
        <v>318717.398022708-143331.755693815j</v>
      </c>
      <c r="AV209" s="136" t="str">
        <f t="shared" si="170"/>
        <v>7897.37775445814-900.24809861217j</v>
      </c>
      <c r="AW209" s="136"/>
      <c r="AX209" s="136" t="str">
        <f t="shared" si="171"/>
        <v>0.493586109653634-0.0562655061632606j</v>
      </c>
      <c r="AY209" s="136"/>
      <c r="AZ209" s="136" t="str">
        <f t="shared" si="172"/>
        <v>5.59809279162911+1.90397539722901j</v>
      </c>
      <c r="BA209" s="136" t="str">
        <f t="shared" si="173"/>
        <v>2.87026898194775+0.624796284724587j</v>
      </c>
      <c r="BB209" s="136">
        <f t="shared" si="197"/>
        <v>9.3595112902262247</v>
      </c>
      <c r="BC209" s="136">
        <f t="shared" si="198"/>
        <v>-167.71950631866483</v>
      </c>
      <c r="BD209" s="136" t="str">
        <f t="shared" si="174"/>
        <v>-5.18284468969253-2.06467784270069j</v>
      </c>
      <c r="BE209" s="136">
        <f t="shared" si="199"/>
        <v>14.931062020788335</v>
      </c>
      <c r="BF209" s="136">
        <f t="shared" si="200"/>
        <v>21.720739358287773</v>
      </c>
      <c r="BG209" s="136"/>
      <c r="BH209" s="136" t="str">
        <f t="shared" si="175"/>
        <v>0.332915714136923-1.52236162493434j</v>
      </c>
      <c r="BI209" s="136">
        <f t="shared" si="201"/>
        <v>3.8532340571145705</v>
      </c>
      <c r="BJ209" s="136">
        <f t="shared" si="202"/>
        <v>102.33546347315517</v>
      </c>
      <c r="BK209" s="136"/>
      <c r="BL209" s="136">
        <f t="shared" si="203"/>
        <v>-2.8532340571145705</v>
      </c>
      <c r="BM209" s="136">
        <f t="shared" si="204"/>
        <v>-102.33546347315517</v>
      </c>
      <c r="BN209" s="136"/>
      <c r="BO209" s="189"/>
      <c r="BP209" s="189" t="str">
        <f t="shared" si="176"/>
        <v>0.00001+0.0000140662997647249j</v>
      </c>
      <c r="BQ209" s="189" t="str">
        <f t="shared" si="177"/>
        <v>2.60976862287959E-06+1.15958383980284E-06j</v>
      </c>
      <c r="BR209" s="189" t="str">
        <f t="shared" si="178"/>
        <v>-0.0691518933212738-0.0331576246556365j</v>
      </c>
      <c r="BS209" s="189" t="str">
        <f t="shared" si="179"/>
        <v>0.0000651097686228796+0.0000152258836045277j</v>
      </c>
      <c r="BT209" s="189" t="str">
        <f t="shared" si="205"/>
        <v>-3.99760964037285E-06-3.21178394815521E-06j</v>
      </c>
      <c r="BU209" s="189" t="str">
        <f t="shared" si="206"/>
        <v>-2.60976862287959E-06-1.15958383980284E-06j</v>
      </c>
      <c r="BV209" s="189" t="str">
        <f t="shared" si="207"/>
        <v>-6.60737826325244E-06-4.37136778795805E-06j</v>
      </c>
      <c r="BW209" s="189" t="str">
        <f t="shared" si="180"/>
        <v>0.99949906378023-0.0223759979145841j</v>
      </c>
      <c r="BX209" s="189" t="str">
        <f t="shared" si="208"/>
        <v>-0.00001-0.0000140662997647249j</v>
      </c>
      <c r="BY209" s="189" t="str">
        <f t="shared" si="209"/>
        <v>2.04887594477561+0.738432547016438j</v>
      </c>
      <c r="BZ209" s="136">
        <f t="shared" si="210"/>
        <v>6.7606917242680087</v>
      </c>
      <c r="CA209" s="136">
        <f t="shared" si="211"/>
        <v>-160.18040036469165</v>
      </c>
      <c r="CB209" s="189" t="str">
        <f t="shared" si="181"/>
        <v>-3.60855866225221-2.02170457254402j</v>
      </c>
      <c r="CC209" s="136" t="str">
        <f t="shared" si="182"/>
        <v>0.392781767725186-1.08655422981002j</v>
      </c>
      <c r="CD209" s="136">
        <f t="shared" si="212"/>
        <v>1.2544144911564172</v>
      </c>
      <c r="CE209" s="136">
        <f t="shared" si="213"/>
        <v>109.87456942712832</v>
      </c>
      <c r="CF209" s="136"/>
      <c r="CG209" s="136">
        <f t="shared" si="214"/>
        <v>-0.25441449115641723</v>
      </c>
      <c r="CH209" s="136">
        <f t="shared" si="215"/>
        <v>-109.87456942712832</v>
      </c>
      <c r="CI209" s="77"/>
      <c r="CJ209" s="189"/>
      <c r="CK209" s="189"/>
      <c r="CL209" s="189"/>
      <c r="CM209" s="77"/>
      <c r="CN209" s="189">
        <v>83176.377110267</v>
      </c>
      <c r="CO209" s="189">
        <v>-2.3680505332482</v>
      </c>
      <c r="CP209" s="189">
        <v>101.754809971184</v>
      </c>
      <c r="CQ209" s="74"/>
      <c r="CR209" s="75"/>
      <c r="CS209" s="75"/>
      <c r="CT209" s="75"/>
      <c r="CU209" s="74"/>
      <c r="CV209" s="75"/>
      <c r="CW209" s="75"/>
      <c r="CX209" s="75"/>
      <c r="CY209" s="74"/>
      <c r="CZ209" s="75"/>
      <c r="DA209" s="75"/>
      <c r="DB209" s="75"/>
      <c r="DC209" s="74"/>
      <c r="DD209" s="75"/>
      <c r="DE209" s="75"/>
      <c r="DF209" s="75"/>
      <c r="DG209" s="74"/>
      <c r="DH209" s="75"/>
      <c r="DI209" s="75"/>
      <c r="DJ209" s="75"/>
      <c r="DK209" s="74"/>
      <c r="DL209" s="75"/>
      <c r="DM209" s="75"/>
      <c r="DN209" s="75"/>
      <c r="DO209" s="76"/>
    </row>
    <row r="210" spans="1:119" x14ac:dyDescent="0.25">
      <c r="A210" s="136">
        <v>161</v>
      </c>
      <c r="B210" s="136">
        <f t="shared" si="144"/>
        <v>67608.297539198305</v>
      </c>
      <c r="C210" s="136" t="str">
        <f t="shared" si="151"/>
        <v>424795.461741717j</v>
      </c>
      <c r="D210" s="136">
        <f t="shared" si="145"/>
        <v>0.88572795259628023</v>
      </c>
      <c r="E210" s="136" t="str">
        <f t="shared" si="146"/>
        <v>-0.530994327177146j</v>
      </c>
      <c r="F210" s="136" t="str">
        <f t="shared" si="152"/>
        <v>0.88572795259628-0.530994327177146j</v>
      </c>
      <c r="G210" s="136">
        <f t="shared" si="153"/>
        <v>0.2794822841437743</v>
      </c>
      <c r="H210" s="136">
        <f t="shared" si="154"/>
        <v>-30.942707227248228</v>
      </c>
      <c r="I210" s="136"/>
      <c r="J210" s="136">
        <f t="shared" si="147"/>
        <v>7.0726915520628681</v>
      </c>
      <c r="K210" s="136" t="str">
        <f t="shared" si="148"/>
        <v>1+31.1797036948675j</v>
      </c>
      <c r="L210" s="136">
        <f t="shared" si="149"/>
        <v>-52.084072929633898</v>
      </c>
      <c r="M210" s="136" t="str">
        <f t="shared" si="150"/>
        <v>2.28186768948656j</v>
      </c>
      <c r="N210" s="136" t="str">
        <f t="shared" si="155"/>
        <v>-52.0840729296339+2.28186768948656j</v>
      </c>
      <c r="O210" s="136" t="str">
        <f t="shared" si="156"/>
        <v>0.0993637366915736-1.93256072384132j</v>
      </c>
      <c r="P210" s="136" t="str">
        <f t="shared" si="157"/>
        <v>0.702769061079892-13.668405905361j</v>
      </c>
      <c r="Q210" s="136"/>
      <c r="R210" s="136">
        <f t="shared" si="158"/>
        <v>11.787819253438114</v>
      </c>
      <c r="S210" s="136" t="str">
        <f t="shared" si="159"/>
        <v>1+0.00994772575576692j</v>
      </c>
      <c r="T210" s="136" t="str">
        <f t="shared" si="160"/>
        <v>-5.68288883726505+0.809637208689315j</v>
      </c>
      <c r="U210" s="136" t="str">
        <f t="shared" si="183"/>
        <v>-0.172221781423573-0.0262867869530495j</v>
      </c>
      <c r="V210" s="136" t="str">
        <f t="shared" si="184"/>
        <v>-2.0301192309262-0.309863893356183j</v>
      </c>
      <c r="W210" s="136"/>
      <c r="X210" s="136" t="str">
        <f t="shared" si="161"/>
        <v>-0.443970485220131-3.20838386185495j</v>
      </c>
      <c r="Y210" s="136">
        <f t="shared" si="185"/>
        <v>10.208101308742226</v>
      </c>
      <c r="Z210" s="136">
        <f t="shared" si="186"/>
        <v>82.121544078492946</v>
      </c>
      <c r="AA210" s="136"/>
      <c r="AB210" s="136" t="str">
        <f t="shared" si="162"/>
        <v>-1.59593188095932-0.243592424834918j</v>
      </c>
      <c r="AC210" s="136">
        <f t="shared" si="187"/>
        <v>4.1603037578027076</v>
      </c>
      <c r="AD210" s="136">
        <f t="shared" si="188"/>
        <v>8.6782678900498524</v>
      </c>
      <c r="AE210" s="136"/>
      <c r="AF210" s="136" t="str">
        <f t="shared" si="189"/>
        <v>-0.00998286000493781-0.495695398254238j</v>
      </c>
      <c r="AG210" s="136">
        <f t="shared" si="190"/>
        <v>-6.0939411869518967</v>
      </c>
      <c r="AH210" s="136">
        <f t="shared" si="191"/>
        <v>88.846270434180639</v>
      </c>
      <c r="AI210" s="136"/>
      <c r="AJ210" s="136" t="str">
        <f t="shared" si="163"/>
        <v>30564.7216034105-46068.1012594079j</v>
      </c>
      <c r="AK210" s="136" t="str">
        <f t="shared" si="164"/>
        <v>19047.3537322051-71.088371339503j</v>
      </c>
      <c r="AL210" s="136" t="str">
        <f t="shared" si="165"/>
        <v>10000-147437.384451055j</v>
      </c>
      <c r="AM210" s="136" t="str">
        <f t="shared" si="166"/>
        <v>961.036365544833-45801.3832287243j</v>
      </c>
      <c r="AN210" s="136" t="str">
        <f t="shared" si="192"/>
        <v>10961.0363655448-45801.3832287243j</v>
      </c>
      <c r="AO210" s="136" t="str">
        <f t="shared" si="193"/>
        <v>15382.8113977739-5582.66439772318j</v>
      </c>
      <c r="AP210" s="136" t="str">
        <f t="shared" si="194"/>
        <v>0.206584082036609+0.190690143487103j</v>
      </c>
      <c r="AQ210" s="136" t="str">
        <f t="shared" si="167"/>
        <v>1+2.41156988018592j</v>
      </c>
      <c r="AR210" s="136" t="str">
        <f t="shared" si="168"/>
        <v>1+0.00481351273490204j</v>
      </c>
      <c r="AS210" s="136" t="str">
        <f t="shared" si="169"/>
        <v>7.55122818733216E-06j</v>
      </c>
      <c r="AT210" s="136" t="str">
        <f t="shared" si="195"/>
        <v>-3.63479330438746E-08+7.55122818733216E-06j</v>
      </c>
      <c r="AU210" s="179" t="str">
        <f t="shared" si="196"/>
        <v>318716.445155831-133962.934096671j</v>
      </c>
      <c r="AV210" s="136" t="str">
        <f t="shared" si="170"/>
        <v>7882.39739878119-962.803426425689j</v>
      </c>
      <c r="AW210" s="136"/>
      <c r="AX210" s="136" t="str">
        <f t="shared" si="171"/>
        <v>0.492649837423824-0.0601752141516056j</v>
      </c>
      <c r="AY210" s="136"/>
      <c r="AZ210" s="136" t="str">
        <f t="shared" si="172"/>
        <v>5.69800322842065+2.21479332355266j</v>
      </c>
      <c r="BA210" s="136" t="str">
        <f t="shared" si="173"/>
        <v>2.94039602666819+0.748239006268836j</v>
      </c>
      <c r="BB210" s="136">
        <f t="shared" si="197"/>
        <v>9.6406108272848883</v>
      </c>
      <c r="BC210" s="136">
        <f t="shared" si="198"/>
        <v>-165.72302983810761</v>
      </c>
      <c r="BD210" s="136" t="str">
        <f t="shared" si="174"/>
        <v>-4.51040640771279-1.91039668279282j</v>
      </c>
      <c r="BE210" s="136">
        <f t="shared" si="199"/>
        <v>13.800914585087609</v>
      </c>
      <c r="BF210" s="136">
        <f t="shared" si="200"/>
        <v>22.955238051942189</v>
      </c>
      <c r="BG210" s="136"/>
      <c r="BH210" s="136" t="str">
        <f t="shared" si="175"/>
        <v>0.341545070308482-1.46501034471429j</v>
      </c>
      <c r="BI210" s="136">
        <f t="shared" si="201"/>
        <v>3.5466696403330293</v>
      </c>
      <c r="BJ210" s="136">
        <f t="shared" si="202"/>
        <v>103.12324059607296</v>
      </c>
      <c r="BK210" s="136"/>
      <c r="BL210" s="136">
        <f t="shared" si="203"/>
        <v>-2.5466696403330293</v>
      </c>
      <c r="BM210" s="136">
        <f t="shared" si="204"/>
        <v>-103.12324059607296</v>
      </c>
      <c r="BN210" s="136"/>
      <c r="BO210" s="189"/>
      <c r="BP210" s="189" t="str">
        <f t="shared" si="176"/>
        <v>0.00001+0.000015072311751162j</v>
      </c>
      <c r="BQ210" s="189" t="str">
        <f t="shared" si="177"/>
        <v>2.66649770647596E-06+1.10571032105874E-06j</v>
      </c>
      <c r="BR210" s="189" t="str">
        <f t="shared" si="178"/>
        <v>-0.0708670381322778-0.0317159833340858j</v>
      </c>
      <c r="BS210" s="189" t="str">
        <f t="shared" si="179"/>
        <v>0.000065166497706476+0.0000161780220722207j</v>
      </c>
      <c r="BT210" s="189" t="str">
        <f t="shared" si="205"/>
        <v>-0.0000041050547994908-3.21330806229623E-06j</v>
      </c>
      <c r="BU210" s="189" t="str">
        <f t="shared" si="206"/>
        <v>-2.66649770647596E-06-1.10571032105874E-06j</v>
      </c>
      <c r="BV210" s="189" t="str">
        <f t="shared" si="207"/>
        <v>-6.77155250596676E-06-4.31901838335497E-06j</v>
      </c>
      <c r="BW210" s="189" t="str">
        <f t="shared" si="180"/>
        <v>0.999424890947147-0.0239745344570094j</v>
      </c>
      <c r="BX210" s="189" t="str">
        <f t="shared" si="208"/>
        <v>-0.00001-0.000015072311751162j</v>
      </c>
      <c r="BY210" s="189" t="str">
        <f t="shared" si="209"/>
        <v>2.07956389819485+0.862759828391443j</v>
      </c>
      <c r="BZ210" s="136">
        <f t="shared" si="210"/>
        <v>7.0491719585097083</v>
      </c>
      <c r="CA210" s="136">
        <f t="shared" si="211"/>
        <v>-157.46764218107899</v>
      </c>
      <c r="CB210" s="189" t="str">
        <f t="shared" si="181"/>
        <v>-3.10868056497318-1.88347192830134j</v>
      </c>
      <c r="CC210" s="136" t="str">
        <f t="shared" si="182"/>
        <v>0.406906081465254-1.03944306529555j</v>
      </c>
      <c r="CD210" s="136">
        <f t="shared" si="212"/>
        <v>0.9552307715578352</v>
      </c>
      <c r="CE210" s="136">
        <f t="shared" si="213"/>
        <v>111.37862825310168</v>
      </c>
      <c r="CF210" s="136"/>
      <c r="CG210" s="136">
        <f t="shared" si="214"/>
        <v>4.4769228442164799E-2</v>
      </c>
      <c r="CH210" s="136">
        <f t="shared" si="215"/>
        <v>-111.37862825310168</v>
      </c>
      <c r="CI210" s="77"/>
      <c r="CJ210" s="189"/>
      <c r="CK210" s="189"/>
      <c r="CL210" s="189"/>
      <c r="CM210" s="77"/>
      <c r="CN210" s="189">
        <v>87096.358995607996</v>
      </c>
      <c r="CO210" s="189">
        <v>-2.5003430990633801</v>
      </c>
      <c r="CP210" s="189">
        <v>100.463389356056</v>
      </c>
      <c r="CQ210" s="74"/>
      <c r="CR210" s="75"/>
      <c r="CS210" s="75"/>
      <c r="CT210" s="75"/>
      <c r="CU210" s="74"/>
      <c r="CV210" s="75"/>
      <c r="CW210" s="75"/>
      <c r="CX210" s="75"/>
      <c r="CY210" s="74"/>
      <c r="CZ210" s="75"/>
      <c r="DA210" s="75"/>
      <c r="DB210" s="75"/>
      <c r="DC210" s="74"/>
      <c r="DD210" s="75"/>
      <c r="DE210" s="75"/>
      <c r="DF210" s="75"/>
      <c r="DG210" s="74"/>
      <c r="DH210" s="75"/>
      <c r="DI210" s="75"/>
      <c r="DJ210" s="75"/>
      <c r="DK210" s="74"/>
      <c r="DL210" s="75"/>
      <c r="DM210" s="75"/>
      <c r="DN210" s="75"/>
      <c r="DO210" s="76"/>
    </row>
    <row r="211" spans="1:119" x14ac:dyDescent="0.25">
      <c r="A211" s="136">
        <v>162</v>
      </c>
      <c r="B211" s="136">
        <f t="shared" si="144"/>
        <v>72443.596007498985</v>
      </c>
      <c r="C211" s="136" t="str">
        <f t="shared" si="151"/>
        <v>455176.538033571j</v>
      </c>
      <c r="D211" s="136">
        <f t="shared" si="145"/>
        <v>0.86879813493755709</v>
      </c>
      <c r="E211" s="136" t="str">
        <f t="shared" si="146"/>
        <v>-0.568970672541964j</v>
      </c>
      <c r="F211" s="136" t="str">
        <f t="shared" si="152"/>
        <v>0.868798134937557-0.568970672541964j</v>
      </c>
      <c r="G211" s="136">
        <f t="shared" si="153"/>
        <v>0.32835380881157328</v>
      </c>
      <c r="H211" s="136">
        <f t="shared" si="154"/>
        <v>-33.220547986188755</v>
      </c>
      <c r="I211" s="136"/>
      <c r="J211" s="136">
        <f t="shared" si="147"/>
        <v>7.0726915520628681</v>
      </c>
      <c r="K211" s="136" t="str">
        <f t="shared" si="148"/>
        <v>1+33.4096544406388j</v>
      </c>
      <c r="L211" s="136">
        <f t="shared" si="149"/>
        <v>-59.948670577963178</v>
      </c>
      <c r="M211" s="136" t="str">
        <f t="shared" si="150"/>
        <v>2.44506528128278j</v>
      </c>
      <c r="N211" s="136" t="str">
        <f t="shared" si="155"/>
        <v>-59.9486705779632+2.44506528128278j</v>
      </c>
      <c r="O211" s="136" t="str">
        <f t="shared" si="156"/>
        <v>0.0797464594051906-1.7660781233856j</v>
      </c>
      <c r="P211" s="136" t="str">
        <f t="shared" si="157"/>
        <v>0.564022109742016-12.4909258235524j</v>
      </c>
      <c r="Q211" s="136"/>
      <c r="R211" s="136">
        <f t="shared" si="158"/>
        <v>11.787819253438114</v>
      </c>
      <c r="S211" s="136" t="str">
        <f t="shared" si="159"/>
        <v>1+0.0106591801905136j</v>
      </c>
      <c r="T211" s="136" t="str">
        <f t="shared" si="160"/>
        <v>-6.67298302056695+0.867541899349288j</v>
      </c>
      <c r="U211" s="136" t="str">
        <f t="shared" si="183"/>
        <v>-0.14716298169588-0.0207297444663824j</v>
      </c>
      <c r="V211" s="136" t="str">
        <f t="shared" si="184"/>
        <v>-1.73473062902805-0.244358480939675j</v>
      </c>
      <c r="W211" s="136"/>
      <c r="X211" s="136" t="str">
        <f t="shared" si="161"/>
        <v>-0.463880036462325-2.9240329129076j</v>
      </c>
      <c r="Y211" s="136">
        <f t="shared" si="185"/>
        <v>9.4275950944256426</v>
      </c>
      <c r="Z211" s="136">
        <f t="shared" si="186"/>
        <v>80.98549744982904</v>
      </c>
      <c r="AA211" s="136"/>
      <c r="AB211" s="136" t="str">
        <f t="shared" si="162"/>
        <v>-1.36371887599893-0.19209684050749j</v>
      </c>
      <c r="AC211" s="136">
        <f t="shared" si="187"/>
        <v>2.779827002120514</v>
      </c>
      <c r="AD211" s="136">
        <f t="shared" si="188"/>
        <v>8.0180718894049789</v>
      </c>
      <c r="AE211" s="136"/>
      <c r="AF211" s="136" t="str">
        <f t="shared" si="189"/>
        <v>-0.0191707473256912-0.462867927945399j</v>
      </c>
      <c r="AG211" s="136">
        <f t="shared" si="190"/>
        <v>-6.6834147281763219</v>
      </c>
      <c r="AH211" s="136">
        <f t="shared" si="191"/>
        <v>87.628318086835165</v>
      </c>
      <c r="AI211" s="136"/>
      <c r="AJ211" s="136" t="str">
        <f t="shared" si="163"/>
        <v>27713.7806160332-44758.5123252516j</v>
      </c>
      <c r="AK211" s="136" t="str">
        <f t="shared" si="164"/>
        <v>19047.3144253943-76.1724050757119j</v>
      </c>
      <c r="AL211" s="136" t="str">
        <f t="shared" si="165"/>
        <v>10000-137596.573137206j</v>
      </c>
      <c r="AM211" s="136" t="str">
        <f t="shared" si="166"/>
        <v>960.725615499559-42750.5378111513j</v>
      </c>
      <c r="AN211" s="136" t="str">
        <f t="shared" si="192"/>
        <v>10960.7256154996-42750.5378111513j</v>
      </c>
      <c r="AO211" s="136" t="str">
        <f t="shared" si="193"/>
        <v>15020.7720871572-5726.05164283902j</v>
      </c>
      <c r="AP211" s="136" t="str">
        <f t="shared" si="194"/>
        <v>0.213043108723773+0.202637431825083j</v>
      </c>
      <c r="AQ211" s="136" t="str">
        <f t="shared" si="167"/>
        <v>1+2.58404368254875j</v>
      </c>
      <c r="AR211" s="136" t="str">
        <f t="shared" si="168"/>
        <v>1+0.00515777182145459j</v>
      </c>
      <c r="AS211" s="136" t="str">
        <f t="shared" si="169"/>
        <v>8.09128678098078E-06j</v>
      </c>
      <c r="AT211" s="136" t="str">
        <f t="shared" si="195"/>
        <v>-4.17330109582507E-08+8.09128678098078E-06j</v>
      </c>
      <c r="AU211" s="179" t="str">
        <f t="shared" si="196"/>
        <v>318715.3511253-125233.597407883j</v>
      </c>
      <c r="AV211" s="136" t="str">
        <f t="shared" si="170"/>
        <v>7865.26758210953-1029.4204771099j</v>
      </c>
      <c r="AW211" s="136"/>
      <c r="AX211" s="136" t="str">
        <f t="shared" si="171"/>
        <v>0.491579223881846-0.0643387798193688j</v>
      </c>
      <c r="AY211" s="136"/>
      <c r="AZ211" s="136" t="str">
        <f t="shared" si="172"/>
        <v>5.81131350134572+2.53010633361303j</v>
      </c>
      <c r="BA211" s="136" t="str">
        <f t="shared" si="173"/>
        <v>3.01950493504354+0.869854887991629j</v>
      </c>
      <c r="BB211" s="136">
        <f t="shared" si="197"/>
        <v>9.9449565540652678</v>
      </c>
      <c r="BC211" s="136">
        <f t="shared" si="198"/>
        <v>-163.9294386870306</v>
      </c>
      <c r="BD211" s="136" t="str">
        <f t="shared" si="174"/>
        <v>-3.95065950040761-1.76627488805276j</v>
      </c>
      <c r="BE211" s="136">
        <f t="shared" si="199"/>
        <v>12.724783556185784</v>
      </c>
      <c r="BF211" s="136">
        <f t="shared" si="200"/>
        <v>24.08863320237441</v>
      </c>
      <c r="BG211" s="136"/>
      <c r="BH211" s="136" t="str">
        <f t="shared" si="175"/>
        <v>0.344741763459466-1.41430776097222j</v>
      </c>
      <c r="BI211" s="136">
        <f t="shared" si="201"/>
        <v>3.2615418258889761</v>
      </c>
      <c r="BJ211" s="136">
        <f t="shared" si="202"/>
        <v>103.69887939980453</v>
      </c>
      <c r="BK211" s="136"/>
      <c r="BL211" s="136">
        <f t="shared" si="203"/>
        <v>-2.2615418258889761</v>
      </c>
      <c r="BM211" s="136">
        <f t="shared" si="204"/>
        <v>-103.69887939980453</v>
      </c>
      <c r="BN211" s="136"/>
      <c r="BO211" s="189"/>
      <c r="BP211" s="189" t="str">
        <f t="shared" si="176"/>
        <v>0.00001+0.0000161502730159297j</v>
      </c>
      <c r="BQ211" s="189" t="str">
        <f t="shared" si="177"/>
        <v>2.71795488945048E-06+1.05182234642785E-06j</v>
      </c>
      <c r="BR211" s="189" t="str">
        <f t="shared" si="178"/>
        <v>-0.0724320940205106-0.0302560666447453j</v>
      </c>
      <c r="BS211" s="189" t="str">
        <f t="shared" si="179"/>
        <v>0.0000652179548894505+0.0000172020953623576j</v>
      </c>
      <c r="BT211" s="189" t="str">
        <f t="shared" si="205"/>
        <v>-4.20340529666534E-06-3.21922257820528E-06j</v>
      </c>
      <c r="BU211" s="189" t="str">
        <f t="shared" si="206"/>
        <v>-2.71795488945048E-06-1.05182234642785E-06j</v>
      </c>
      <c r="BV211" s="189" t="str">
        <f t="shared" si="207"/>
        <v>-6.92136018611582E-06-4.27104492463313E-06j</v>
      </c>
      <c r="BW211" s="189" t="str">
        <f t="shared" si="180"/>
        <v>0.999339742715096-0.025686987858097j</v>
      </c>
      <c r="BX211" s="189" t="str">
        <f t="shared" si="208"/>
        <v>-0.00001-0.0000161502730159297j</v>
      </c>
      <c r="BY211" s="189" t="str">
        <f t="shared" si="209"/>
        <v>2.11460880209048+0.989856101395645j</v>
      </c>
      <c r="BZ211" s="136">
        <f t="shared" si="210"/>
        <v>7.3650689366023911</v>
      </c>
      <c r="CA211" s="136">
        <f t="shared" si="211"/>
        <v>-154.91553441928485</v>
      </c>
      <c r="CB211" s="189" t="str">
        <f t="shared" si="181"/>
        <v>-2.69358370912911-1.75609511978686j</v>
      </c>
      <c r="CC211" s="136" t="str">
        <f t="shared" si="182"/>
        <v>0.417634011579553-0.997760875847373j</v>
      </c>
      <c r="CD211" s="136">
        <f t="shared" si="212"/>
        <v>0.68165420842607061</v>
      </c>
      <c r="CE211" s="136">
        <f t="shared" si="213"/>
        <v>112.71278366755024</v>
      </c>
      <c r="CF211" s="136"/>
      <c r="CG211" s="136">
        <f t="shared" si="214"/>
        <v>0.31834579157392939</v>
      </c>
      <c r="CH211" s="136">
        <f t="shared" si="215"/>
        <v>-112.71278366755024</v>
      </c>
      <c r="CI211" s="77"/>
      <c r="CJ211" s="189"/>
      <c r="CK211" s="189"/>
      <c r="CL211" s="189"/>
      <c r="CM211" s="77"/>
      <c r="CN211" s="189">
        <v>91201.083935590897</v>
      </c>
      <c r="CO211" s="189">
        <v>-2.63620638535519</v>
      </c>
      <c r="CP211" s="189">
        <v>99.026027093825704</v>
      </c>
      <c r="CQ211" s="74"/>
      <c r="CR211" s="75"/>
      <c r="CS211" s="75"/>
      <c r="CT211" s="75"/>
      <c r="CU211" s="74"/>
      <c r="CV211" s="75"/>
      <c r="CW211" s="75"/>
      <c r="CX211" s="75"/>
      <c r="CY211" s="74"/>
      <c r="CZ211" s="75"/>
      <c r="DA211" s="75"/>
      <c r="DB211" s="75"/>
      <c r="DC211" s="74"/>
      <c r="DD211" s="75"/>
      <c r="DE211" s="75"/>
      <c r="DF211" s="75"/>
      <c r="DG211" s="74"/>
      <c r="DH211" s="75"/>
      <c r="DI211" s="75"/>
      <c r="DJ211" s="75"/>
      <c r="DK211" s="74"/>
      <c r="DL211" s="75"/>
      <c r="DM211" s="75"/>
      <c r="DN211" s="75"/>
      <c r="DO211" s="76"/>
    </row>
    <row r="212" spans="1:119" x14ac:dyDescent="0.25">
      <c r="A212" s="136">
        <v>163</v>
      </c>
      <c r="B212" s="136">
        <f t="shared" si="144"/>
        <v>77624.711662869129</v>
      </c>
      <c r="C212" s="136" t="str">
        <f t="shared" si="151"/>
        <v>487730.447794191j</v>
      </c>
      <c r="D212" s="136">
        <f t="shared" si="145"/>
        <v>0.84936010348141089</v>
      </c>
      <c r="E212" s="136" t="str">
        <f t="shared" si="146"/>
        <v>-0.609663059742739j</v>
      </c>
      <c r="F212" s="136" t="str">
        <f t="shared" si="152"/>
        <v>0.849360103481411-0.609663059742739j</v>
      </c>
      <c r="G212" s="136">
        <f t="shared" si="153"/>
        <v>0.38660542625218453</v>
      </c>
      <c r="H212" s="136">
        <f t="shared" si="154"/>
        <v>-35.670445780661737</v>
      </c>
      <c r="I212" s="136"/>
      <c r="J212" s="136">
        <f t="shared" si="147"/>
        <v>7.0726915520628681</v>
      </c>
      <c r="K212" s="136" t="str">
        <f t="shared" si="148"/>
        <v>1+35.7990897144618j</v>
      </c>
      <c r="L212" s="136">
        <f t="shared" si="149"/>
        <v>-68.97843684950891</v>
      </c>
      <c r="M212" s="136" t="str">
        <f t="shared" si="150"/>
        <v>2.61993465146071j</v>
      </c>
      <c r="N212" s="136" t="str">
        <f t="shared" si="155"/>
        <v>-68.9784368495089+2.61993465146071j</v>
      </c>
      <c r="O212" s="136" t="str">
        <f t="shared" si="156"/>
        <v>0.0646311461044606-1.61873230073371j</v>
      </c>
      <c r="P212" s="136" t="str">
        <f t="shared" si="157"/>
        <v>0.457116161053159-11.4487942684506j</v>
      </c>
      <c r="Q212" s="136"/>
      <c r="R212" s="136">
        <f t="shared" si="158"/>
        <v>11.787819253438114</v>
      </c>
      <c r="S212" s="136" t="str">
        <f t="shared" si="159"/>
        <v>1+0.0114215173521416j</v>
      </c>
      <c r="T212" s="136" t="str">
        <f t="shared" si="160"/>
        <v>-7.80976324274809+0.929587893255265j</v>
      </c>
      <c r="U212" s="136" t="str">
        <f t="shared" si="183"/>
        <v>-0.126084428557232-0.0164701632647306j</v>
      </c>
      <c r="V212" s="136" t="str">
        <f t="shared" si="184"/>
        <v>-1.48626045450568-0.194147307639261j</v>
      </c>
      <c r="W212" s="136"/>
      <c r="X212" s="136" t="str">
        <f t="shared" si="161"/>
        <v>-0.47830741609975-2.6721773982508j</v>
      </c>
      <c r="Y212" s="136">
        <f t="shared" si="185"/>
        <v>8.6742682797922637</v>
      </c>
      <c r="Z212" s="136">
        <f t="shared" si="186"/>
        <v>79.851789931610696</v>
      </c>
      <c r="AA212" s="136"/>
      <c r="AB212" s="136" t="str">
        <f t="shared" si="162"/>
        <v>-1.16838972146111-0.152624473057454j</v>
      </c>
      <c r="AC212" s="136">
        <f t="shared" si="187"/>
        <v>1.4252360453381541</v>
      </c>
      <c r="AD212" s="136">
        <f t="shared" si="188"/>
        <v>7.4422959655475722</v>
      </c>
      <c r="AE212" s="136"/>
      <c r="AF212" s="136" t="str">
        <f t="shared" si="189"/>
        <v>-0.0272101550151961-0.431930300038627j</v>
      </c>
      <c r="AG212" s="136">
        <f t="shared" si="190"/>
        <v>-7.2745253834279193</v>
      </c>
      <c r="AH212" s="136">
        <f t="shared" si="191"/>
        <v>86.395322192768973</v>
      </c>
      <c r="AI212" s="136"/>
      <c r="AJ212" s="136" t="str">
        <f t="shared" si="163"/>
        <v>25032.8917852314-43320.2436211067j</v>
      </c>
      <c r="AK212" s="136" t="str">
        <f t="shared" si="164"/>
        <v>19047.2692953372-81.6200091768806j</v>
      </c>
      <c r="AL212" s="136" t="str">
        <f t="shared" si="165"/>
        <v>9999.99999999999-128412.593655225j</v>
      </c>
      <c r="AM212" s="136" t="str">
        <f t="shared" si="166"/>
        <v>960.369074444312-39903.7620060803j</v>
      </c>
      <c r="AN212" s="136" t="str">
        <f t="shared" si="192"/>
        <v>10960.3690744443-39903.7620060803j</v>
      </c>
      <c r="AO212" s="136" t="str">
        <f t="shared" si="193"/>
        <v>14641.6762138665-5848.48655310606j</v>
      </c>
      <c r="AP212" s="136" t="str">
        <f t="shared" si="194"/>
        <v>0.220328484409874+0.215086483184994j</v>
      </c>
      <c r="AQ212" s="136" t="str">
        <f t="shared" si="167"/>
        <v>1+2.76885269142827j</v>
      </c>
      <c r="AR212" s="136" t="str">
        <f t="shared" si="168"/>
        <v>1+0.00552665207869915j</v>
      </c>
      <c r="AS212" s="136" t="str">
        <f t="shared" si="169"/>
        <v>8.66996999003478E-06j</v>
      </c>
      <c r="AT212" s="136" t="str">
        <f t="shared" si="195"/>
        <v>-4.7915907667685E-08+8.66996999003478E-06j</v>
      </c>
      <c r="AU212" s="179" t="str">
        <f t="shared" si="196"/>
        <v>318714.095019446-117102.074899485j</v>
      </c>
      <c r="AV212" s="136" t="str">
        <f t="shared" si="170"/>
        <v>7845.69150728872-1100.29851893356j</v>
      </c>
      <c r="AW212" s="136"/>
      <c r="AX212" s="136" t="str">
        <f t="shared" si="171"/>
        <v>0.490355719205545-0.0687686574333475j</v>
      </c>
      <c r="AY212" s="136"/>
      <c r="AZ212" s="136" t="str">
        <f t="shared" si="172"/>
        <v>5.93959869301946+2.85016628647318j</v>
      </c>
      <c r="BA212" s="136" t="str">
        <f t="shared" si="173"/>
        <v>3.10851829789042+0.98913711144714j</v>
      </c>
      <c r="BB212" s="136">
        <f t="shared" si="197"/>
        <v>10.2699379867706</v>
      </c>
      <c r="BC212" s="136">
        <f t="shared" si="198"/>
        <v>-162.34881953112736</v>
      </c>
      <c r="BD212" s="136" t="str">
        <f t="shared" si="174"/>
        <v>-3.48099429781277-1.63013360133555j</v>
      </c>
      <c r="BE212" s="136">
        <f t="shared" si="199"/>
        <v>11.695174032108778</v>
      </c>
      <c r="BF212" s="136">
        <f t="shared" si="200"/>
        <v>25.093476434420182</v>
      </c>
      <c r="BG212" s="136"/>
      <c r="BH212" s="136" t="str">
        <f t="shared" si="175"/>
        <v>0.342655024573532-1.36957781521714j</v>
      </c>
      <c r="BI212" s="136">
        <f t="shared" si="201"/>
        <v>2.9954126033427371</v>
      </c>
      <c r="BJ212" s="136">
        <f t="shared" si="202"/>
        <v>104.04650266164151</v>
      </c>
      <c r="BK212" s="136"/>
      <c r="BL212" s="136">
        <f t="shared" si="203"/>
        <v>-1.9954126033427371</v>
      </c>
      <c r="BM212" s="136">
        <f t="shared" si="204"/>
        <v>-104.04650266164151</v>
      </c>
      <c r="BN212" s="136"/>
      <c r="BO212" s="189"/>
      <c r="BP212" s="189" t="str">
        <f t="shared" si="176"/>
        <v>0.00001+0.0000173053293214267j</v>
      </c>
      <c r="BQ212" s="189" t="str">
        <f t="shared" si="177"/>
        <v>2.76441802434427E-06+9.98398373774909E-07j</v>
      </c>
      <c r="BR212" s="189" t="str">
        <f t="shared" si="178"/>
        <v>-0.0738529242641478-0.0287932390571928j</v>
      </c>
      <c r="BS212" s="189" t="str">
        <f t="shared" si="179"/>
        <v>0.0000652644180243443+0.0000183037276952016j</v>
      </c>
      <c r="BT212" s="189" t="str">
        <f t="shared" si="205"/>
        <v>-4.29294451432988E-06-3.23095780532882E-06j</v>
      </c>
      <c r="BU212" s="189" t="str">
        <f t="shared" si="206"/>
        <v>-2.76441802434427E-06-9.98398373774909E-07j</v>
      </c>
      <c r="BV212" s="189" t="str">
        <f t="shared" si="207"/>
        <v>-7.05736253867415E-06-4.22935617910373E-06j</v>
      </c>
      <c r="BW212" s="189" t="str">
        <f t="shared" si="180"/>
        <v>0.999241997354663-0.0275214112524502j</v>
      </c>
      <c r="BX212" s="189" t="str">
        <f t="shared" si="208"/>
        <v>-0.00001-0.0000173053293214267j</v>
      </c>
      <c r="BY212" s="189" t="str">
        <f t="shared" si="209"/>
        <v>2.15458759768868+1.12003305916012j</v>
      </c>
      <c r="BZ212" s="136">
        <f t="shared" si="210"/>
        <v>7.7061063655793296</v>
      </c>
      <c r="CA212" s="136">
        <f t="shared" si="211"/>
        <v>-152.5329473462202</v>
      </c>
      <c r="CB212" s="189" t="str">
        <f t="shared" si="181"/>
        <v>-2.3464535476658-1.63747791077269j</v>
      </c>
      <c r="CC212" s="136" t="str">
        <f t="shared" si="182"/>
        <v>0.425149552769285-0.961107940691069j</v>
      </c>
      <c r="CD212" s="136">
        <f t="shared" si="212"/>
        <v>0.43158098215142604</v>
      </c>
      <c r="CE212" s="136">
        <f t="shared" si="213"/>
        <v>113.86237484654879</v>
      </c>
      <c r="CF212" s="136"/>
      <c r="CG212" s="136">
        <f t="shared" si="214"/>
        <v>0.56841901784857396</v>
      </c>
      <c r="CH212" s="136">
        <f t="shared" si="215"/>
        <v>-113.86237484654879</v>
      </c>
      <c r="CI212" s="77"/>
      <c r="CJ212" s="189"/>
      <c r="CK212" s="189"/>
      <c r="CL212" s="189"/>
      <c r="CM212" s="77"/>
      <c r="CN212" s="189">
        <v>95499.2586021436</v>
      </c>
      <c r="CO212" s="189">
        <v>-2.772158473208</v>
      </c>
      <c r="CP212" s="189">
        <v>97.448118851125201</v>
      </c>
      <c r="CQ212" s="74"/>
      <c r="CR212" s="75"/>
      <c r="CS212" s="75"/>
      <c r="CT212" s="75"/>
      <c r="CU212" s="74"/>
      <c r="CV212" s="75"/>
      <c r="CW212" s="75"/>
      <c r="CX212" s="75"/>
      <c r="CY212" s="74"/>
      <c r="CZ212" s="75"/>
      <c r="DA212" s="75"/>
      <c r="DB212" s="75"/>
      <c r="DC212" s="74"/>
      <c r="DD212" s="75"/>
      <c r="DE212" s="75"/>
      <c r="DF212" s="75"/>
      <c r="DG212" s="74"/>
      <c r="DH212" s="75"/>
      <c r="DI212" s="75"/>
      <c r="DJ212" s="75"/>
      <c r="DK212" s="74"/>
      <c r="DL212" s="75"/>
      <c r="DM212" s="75"/>
      <c r="DN212" s="75"/>
      <c r="DO212" s="76"/>
    </row>
    <row r="213" spans="1:119" x14ac:dyDescent="0.25">
      <c r="A213" s="136">
        <v>164</v>
      </c>
      <c r="B213" s="136">
        <f t="shared" si="144"/>
        <v>83176.377110267174</v>
      </c>
      <c r="C213" s="136" t="str">
        <f t="shared" si="151"/>
        <v>522612.590563659j</v>
      </c>
      <c r="D213" s="136">
        <f t="shared" si="145"/>
        <v>0.82704225727026548</v>
      </c>
      <c r="E213" s="136" t="str">
        <f t="shared" si="146"/>
        <v>-0.653265738204574j</v>
      </c>
      <c r="F213" s="136" t="str">
        <f t="shared" si="152"/>
        <v>0.827042257270265-0.653265738204574j</v>
      </c>
      <c r="G213" s="136">
        <f t="shared" si="153"/>
        <v>0.4561828469770679</v>
      </c>
      <c r="H213" s="136">
        <f t="shared" si="154"/>
        <v>-38.304570161908813</v>
      </c>
      <c r="I213" s="136"/>
      <c r="J213" s="136">
        <f t="shared" si="147"/>
        <v>7.0726915520628681</v>
      </c>
      <c r="K213" s="136" t="str">
        <f t="shared" si="148"/>
        <v>1+38.3594157389789j</v>
      </c>
      <c r="L213" s="136">
        <f t="shared" si="149"/>
        <v>-79.345995695454917</v>
      </c>
      <c r="M213" s="136" t="str">
        <f t="shared" si="150"/>
        <v>2.80731055750112j</v>
      </c>
      <c r="N213" s="136" t="str">
        <f t="shared" si="155"/>
        <v>-79.3459956954549+2.80731055750112j</v>
      </c>
      <c r="O213" s="136" t="str">
        <f t="shared" si="156"/>
        <v>0.0528340076239678-1.48742348041602j</v>
      </c>
      <c r="P213" s="136" t="str">
        <f t="shared" si="157"/>
        <v>0.373678639383662-10.5200874842783j</v>
      </c>
      <c r="Q213" s="136"/>
      <c r="R213" s="136">
        <f t="shared" si="158"/>
        <v>11.787819253438114</v>
      </c>
      <c r="S213" s="136" t="str">
        <f t="shared" si="159"/>
        <v>1+0.012238376337926j</v>
      </c>
      <c r="T213" s="136" t="str">
        <f t="shared" si="160"/>
        <v>-9.11496157169131+0.996071373538171j</v>
      </c>
      <c r="U213" s="136" t="str">
        <f t="shared" si="183"/>
        <v>-0.10827006406822-0.0131742834923595j</v>
      </c>
      <c r="V213" s="136" t="str">
        <f t="shared" si="184"/>
        <v>-1.27626794579434-0.155296072601487j</v>
      </c>
      <c r="W213" s="136"/>
      <c r="X213" s="136" t="str">
        <f t="shared" si="161"/>
        <v>-0.488864638007488-2.44744251798308j</v>
      </c>
      <c r="Y213" s="136">
        <f t="shared" si="185"/>
        <v>7.9441578695141759</v>
      </c>
      <c r="Z213" s="136">
        <f t="shared" si="186"/>
        <v>78.704111470505836</v>
      </c>
      <c r="AA213" s="136"/>
      <c r="AB213" s="136" t="str">
        <f t="shared" si="162"/>
        <v>-1.00330890536434-0.122082461698279j</v>
      </c>
      <c r="AC213" s="136">
        <f t="shared" si="187"/>
        <v>9.2523527884282308E-2</v>
      </c>
      <c r="AD213" s="136">
        <f t="shared" si="188"/>
        <v>6.9376356217285888</v>
      </c>
      <c r="AE213" s="136"/>
      <c r="AF213" s="136" t="str">
        <f t="shared" si="189"/>
        <v>-0.0342391350179569-0.402791103549604j</v>
      </c>
      <c r="AG213" s="136">
        <f t="shared" si="190"/>
        <v>-7.8671341966719135</v>
      </c>
      <c r="AH213" s="136">
        <f t="shared" si="191"/>
        <v>85.141269991178234</v>
      </c>
      <c r="AI213" s="136"/>
      <c r="AJ213" s="136" t="str">
        <f t="shared" si="163"/>
        <v>22530.5074955042-41778.3075476431j</v>
      </c>
      <c r="AK213" s="136" t="str">
        <f t="shared" si="164"/>
        <v>19047.2174793625-87.4571776085397j</v>
      </c>
      <c r="AL213" s="136" t="str">
        <f t="shared" si="165"/>
        <v>10000-119841.605305235j</v>
      </c>
      <c r="AM213" s="136" t="str">
        <f t="shared" si="166"/>
        <v>959.960036752609-37247.4653715267j</v>
      </c>
      <c r="AN213" s="136" t="str">
        <f t="shared" si="192"/>
        <v>10959.9600367526-37247.4653715267j</v>
      </c>
      <c r="AO213" s="136" t="str">
        <f t="shared" si="193"/>
        <v>14248.1392342329-5947.44126743636j</v>
      </c>
      <c r="AP213" s="136" t="str">
        <f t="shared" si="194"/>
        <v>0.228525916674656+0.228005622944631j</v>
      </c>
      <c r="AQ213" s="136" t="str">
        <f t="shared" si="167"/>
        <v>1+2.9668791122245j</v>
      </c>
      <c r="AR213" s="136" t="str">
        <f t="shared" si="168"/>
        <v>1+0.00592191439565768j</v>
      </c>
      <c r="AS213" s="136" t="str">
        <f t="shared" si="169"/>
        <v>9.29004022015295E-06j</v>
      </c>
      <c r="AT213" s="136" t="str">
        <f t="shared" si="195"/>
        <v>-5.50148229159626E-08+9.29004022015295E-06j</v>
      </c>
      <c r="AU213" s="179" t="str">
        <f t="shared" si="196"/>
        <v>318712.652829172-109529.549500672j</v>
      </c>
      <c r="AV213" s="136" t="str">
        <f t="shared" si="170"/>
        <v>7823.33499559364-1175.63153728922j</v>
      </c>
      <c r="AW213" s="136"/>
      <c r="AX213" s="136" t="str">
        <f t="shared" si="171"/>
        <v>0.488958437224603-0.0734769710805762j</v>
      </c>
      <c r="AY213" s="136"/>
      <c r="AZ213" s="136" t="str">
        <f t="shared" si="172"/>
        <v>6.08455373748592+3.17501363828634j</v>
      </c>
      <c r="BA213" s="136" t="str">
        <f t="shared" si="173"/>
        <v>3.20838427197103+1.10537512773583j</v>
      </c>
      <c r="BB213" s="136">
        <f t="shared" si="197"/>
        <v>10.612859604401972</v>
      </c>
      <c r="BC213" s="136">
        <f t="shared" si="198"/>
        <v>-160.98978558403479</v>
      </c>
      <c r="BD213" s="136" t="str">
        <f t="shared" si="174"/>
        <v>-3.08405359520537-1.50072015942186j</v>
      </c>
      <c r="BE213" s="136">
        <f t="shared" si="199"/>
        <v>10.705383132286226</v>
      </c>
      <c r="BF213" s="136">
        <f t="shared" si="200"/>
        <v>25.94785003769374</v>
      </c>
      <c r="BG213" s="136"/>
      <c r="BH213" s="136" t="str">
        <f t="shared" si="175"/>
        <v>0.335382965259492-1.33015572976244j</v>
      </c>
      <c r="BI213" s="136">
        <f t="shared" si="201"/>
        <v>2.7457254077300419</v>
      </c>
      <c r="BJ213" s="136">
        <f t="shared" si="202"/>
        <v>104.15148440714337</v>
      </c>
      <c r="BK213" s="136"/>
      <c r="BL213" s="136">
        <f t="shared" si="203"/>
        <v>-1.7457254077300419</v>
      </c>
      <c r="BM213" s="136">
        <f t="shared" si="204"/>
        <v>-104.15148440714337</v>
      </c>
      <c r="BN213" s="136"/>
      <c r="BO213" s="189"/>
      <c r="BP213" s="189" t="str">
        <f t="shared" si="176"/>
        <v>0.00001+0.0000185429944514031j</v>
      </c>
      <c r="BQ213" s="189" t="str">
        <f t="shared" si="177"/>
        <v>2.80619960084123E-06+9.45842245232973E-07j</v>
      </c>
      <c r="BR213" s="189" t="str">
        <f t="shared" si="178"/>
        <v>-0.0751368550891352-0.0273408429909524j</v>
      </c>
      <c r="BS213" s="189" t="str">
        <f t="shared" si="179"/>
        <v>0.0000653061996008412+0.0000194888366966361j</v>
      </c>
      <c r="BT213" s="189" t="str">
        <f t="shared" si="205"/>
        <v>-4.37406123163151E-06-3.24985644835336E-06j</v>
      </c>
      <c r="BU213" s="189" t="str">
        <f t="shared" si="206"/>
        <v>-2.80619960084123E-06-9.45842245232973E-07j</v>
      </c>
      <c r="BV213" s="189" t="str">
        <f t="shared" si="207"/>
        <v>-7.18026083247274E-06-4.19569869358633E-06j</v>
      </c>
      <c r="BW213" s="189" t="str">
        <f t="shared" si="180"/>
        <v>0.999129794242487-0.0294864121156228j</v>
      </c>
      <c r="BX213" s="189" t="str">
        <f t="shared" si="208"/>
        <v>-0.00001-0.0000185429944514031j</v>
      </c>
      <c r="BY213" s="189" t="str">
        <f t="shared" si="209"/>
        <v>2.20014360050553+1.25355536370824j</v>
      </c>
      <c r="BZ213" s="136">
        <f t="shared" si="210"/>
        <v>8.0699574290529714</v>
      </c>
      <c r="CA213" s="136">
        <f t="shared" si="211"/>
        <v>-150.32720938759587</v>
      </c>
      <c r="CB213" s="189" t="str">
        <f t="shared" si="181"/>
        <v>-2.05438654279097-1.52630220661514j</v>
      </c>
      <c r="CC213" s="136" t="str">
        <f t="shared" si="182"/>
        <v>0.429589934511964-0.929118920165709j</v>
      </c>
      <c r="CD213" s="136">
        <f t="shared" si="212"/>
        <v>0.20282323238103303</v>
      </c>
      <c r="CE213" s="136">
        <f t="shared" si="213"/>
        <v>114.81406060358239</v>
      </c>
      <c r="CF213" s="136"/>
      <c r="CG213" s="136">
        <f t="shared" si="214"/>
        <v>0.79717676761896694</v>
      </c>
      <c r="CH213" s="136">
        <f t="shared" si="215"/>
        <v>-114.81406060358239</v>
      </c>
      <c r="CI213" s="77"/>
      <c r="CJ213" s="189"/>
      <c r="CK213" s="189"/>
      <c r="CL213" s="189"/>
      <c r="CM213" s="77"/>
      <c r="CN213" s="189">
        <v>100000</v>
      </c>
      <c r="CO213" s="189">
        <v>-2.9110735299394901</v>
      </c>
      <c r="CP213" s="189">
        <v>95.721052795552396</v>
      </c>
      <c r="CQ213" s="74"/>
      <c r="CR213" s="75"/>
      <c r="CS213" s="75"/>
      <c r="CT213" s="75"/>
      <c r="CU213" s="74"/>
      <c r="CV213" s="75"/>
      <c r="CW213" s="75"/>
      <c r="CX213" s="75"/>
      <c r="CY213" s="74"/>
      <c r="CZ213" s="75"/>
      <c r="DA213" s="75"/>
      <c r="DB213" s="75"/>
      <c r="DC213" s="74"/>
      <c r="DD213" s="75"/>
      <c r="DE213" s="75"/>
      <c r="DF213" s="75"/>
      <c r="DG213" s="74"/>
      <c r="DH213" s="75"/>
      <c r="DI213" s="75"/>
      <c r="DJ213" s="75"/>
      <c r="DK213" s="74"/>
      <c r="DL213" s="75"/>
      <c r="DM213" s="75"/>
      <c r="DN213" s="75"/>
      <c r="DO213" s="76"/>
    </row>
    <row r="214" spans="1:119" x14ac:dyDescent="0.25">
      <c r="A214" s="136">
        <v>165</v>
      </c>
      <c r="B214" s="136">
        <f t="shared" si="144"/>
        <v>89125.093813374609</v>
      </c>
      <c r="C214" s="136" t="str">
        <f t="shared" si="151"/>
        <v>559989.479949198j</v>
      </c>
      <c r="D214" s="136">
        <f t="shared" si="145"/>
        <v>0.80141794131892918</v>
      </c>
      <c r="E214" s="136" t="str">
        <f t="shared" si="146"/>
        <v>-0.699986849936497j</v>
      </c>
      <c r="F214" s="136" t="str">
        <f t="shared" si="152"/>
        <v>0.801417941318929-0.699986849936497j</v>
      </c>
      <c r="G214" s="136">
        <f t="shared" si="153"/>
        <v>0.53943214149515983</v>
      </c>
      <c r="H214" s="136">
        <f t="shared" si="154"/>
        <v>-41.135115423952023</v>
      </c>
      <c r="I214" s="136"/>
      <c r="J214" s="136">
        <f t="shared" si="147"/>
        <v>7.0726915520628681</v>
      </c>
      <c r="K214" s="136" t="str">
        <f t="shared" si="148"/>
        <v>1+41.1028545019512j</v>
      </c>
      <c r="L214" s="136">
        <f t="shared" si="149"/>
        <v>-91.249545930509498</v>
      </c>
      <c r="M214" s="136" t="str">
        <f t="shared" si="150"/>
        <v>3.0080874581598j</v>
      </c>
      <c r="N214" s="136" t="str">
        <f t="shared" si="155"/>
        <v>-91.2495459305095+3.0080874581598j</v>
      </c>
      <c r="O214" s="136" t="str">
        <f t="shared" si="156"/>
        <v>0.0435197687896234-1.3697039882417j</v>
      </c>
      <c r="P214" s="136" t="str">
        <f t="shared" si="157"/>
        <v>0.307801901066099-9.68749382646389j</v>
      </c>
      <c r="Q214" s="136"/>
      <c r="R214" s="136">
        <f t="shared" si="158"/>
        <v>11.787819253438114</v>
      </c>
      <c r="S214" s="136" t="str">
        <f t="shared" si="159"/>
        <v>1+0.0131136565108509j</v>
      </c>
      <c r="T214" s="136" t="str">
        <f t="shared" si="160"/>
        <v>-10.6135297598391+1.06730970614069j</v>
      </c>
      <c r="U214" s="136" t="str">
        <f t="shared" si="183"/>
        <v>-0.0931530957453477-0.0106031511008473j</v>
      </c>
      <c r="V214" s="136" t="str">
        <f t="shared" si="184"/>
        <v>-1.09807185554437-0.124988028693681j</v>
      </c>
      <c r="W214" s="136"/>
      <c r="X214" s="136" t="str">
        <f t="shared" si="161"/>
        <v>-0.496657387970048-2.24559275881124j</v>
      </c>
      <c r="Y214" s="136">
        <f t="shared" si="185"/>
        <v>7.2340274887467801</v>
      </c>
      <c r="Z214" s="136">
        <f t="shared" si="186"/>
        <v>77.5286647086605</v>
      </c>
      <c r="AA214" s="136"/>
      <c r="AB214" s="136" t="str">
        <f t="shared" si="162"/>
        <v>-0.863224117653378-0.0982564849846278j</v>
      </c>
      <c r="AC214" s="136">
        <f t="shared" si="187"/>
        <v>-1.2216223156669805</v>
      </c>
      <c r="AD214" s="136">
        <f t="shared" si="188"/>
        <v>6.4937437331808496</v>
      </c>
      <c r="AE214" s="136"/>
      <c r="AF214" s="136" t="str">
        <f t="shared" si="189"/>
        <v>-0.0403798698238494-0.375357110141833j</v>
      </c>
      <c r="AG214" s="136">
        <f t="shared" si="190"/>
        <v>-8.4611353928588393</v>
      </c>
      <c r="AH214" s="136">
        <f t="shared" si="191"/>
        <v>83.859893553736953</v>
      </c>
      <c r="AI214" s="136"/>
      <c r="AJ214" s="136" t="str">
        <f t="shared" si="163"/>
        <v>20210.8322864378-40157.2594549636j</v>
      </c>
      <c r="AK214" s="136" t="str">
        <f t="shared" si="164"/>
        <v>19047.1579870111-93.7117614875742j</v>
      </c>
      <c r="AL214" s="136" t="str">
        <f t="shared" si="165"/>
        <v>10000-111842.693565527j</v>
      </c>
      <c r="AM214" s="136" t="str">
        <f t="shared" si="166"/>
        <v>959.490828124114-34768.9664975083j</v>
      </c>
      <c r="AN214" s="136" t="str">
        <f t="shared" si="192"/>
        <v>10959.4908281241-34768.9664975083j</v>
      </c>
      <c r="AO214" s="136" t="str">
        <f t="shared" si="193"/>
        <v>13843.2617770462-6020.79395264909j</v>
      </c>
      <c r="AP214" s="136" t="str">
        <f t="shared" si="194"/>
        <v>0.237724317709436+0.241350177176378j</v>
      </c>
      <c r="AQ214" s="136" t="str">
        <f t="shared" si="167"/>
        <v>1+3.17906824505475j</v>
      </c>
      <c r="AR214" s="136" t="str">
        <f t="shared" si="168"/>
        <v>1+0.00634544559891168j</v>
      </c>
      <c r="AS214" s="136" t="str">
        <f t="shared" si="169"/>
        <v>9.95445744232769E-06j</v>
      </c>
      <c r="AT214" s="136" t="str">
        <f t="shared" si="195"/>
        <v>-6.31654681669719E-08+9.95445744232769E-06j</v>
      </c>
      <c r="AU214" s="179" t="str">
        <f t="shared" si="196"/>
        <v>318710.996989281-102479.872483763j</v>
      </c>
      <c r="AV214" s="136" t="str">
        <f t="shared" si="170"/>
        <v>7797.82289722027-1255.60393490521j</v>
      </c>
      <c r="AW214" s="136"/>
      <c r="AX214" s="136" t="str">
        <f t="shared" si="171"/>
        <v>0.487363931076267-0.0784752459315756j</v>
      </c>
      <c r="AY214" s="136"/>
      <c r="AZ214" s="136" t="str">
        <f t="shared" si="172"/>
        <v>6.24798277526526+3.50444301040036j</v>
      </c>
      <c r="BA214" s="136" t="str">
        <f t="shared" si="173"/>
        <v>3.32005347374444+1.21762713691628j</v>
      </c>
      <c r="BB214" s="136">
        <f t="shared" si="197"/>
        <v>10.970965775630315</v>
      </c>
      <c r="BC214" s="136">
        <f t="shared" si="198"/>
        <v>-159.85952552840496</v>
      </c>
      <c r="BD214" s="136" t="str">
        <f t="shared" si="174"/>
        <v>-2.74631046793979-1.3773018951865j</v>
      </c>
      <c r="BE214" s="136">
        <f t="shared" si="199"/>
        <v>9.7493434599633453</v>
      </c>
      <c r="BF214" s="136">
        <f t="shared" si="200"/>
        <v>26.63421820477592</v>
      </c>
      <c r="BG214" s="136"/>
      <c r="BH214" s="136" t="str">
        <f t="shared" si="175"/>
        <v>0.32298167626515-1.29537330270373j</v>
      </c>
      <c r="BI214" s="136">
        <f t="shared" si="201"/>
        <v>2.5098303827714581</v>
      </c>
      <c r="BJ214" s="136">
        <f t="shared" si="202"/>
        <v>104.00036802533207</v>
      </c>
      <c r="BK214" s="136"/>
      <c r="BL214" s="136">
        <f t="shared" si="203"/>
        <v>-1.5098303827714581</v>
      </c>
      <c r="BM214" s="136">
        <f t="shared" si="204"/>
        <v>-104.00036802533207</v>
      </c>
      <c r="BN214" s="136"/>
      <c r="BO214" s="189"/>
      <c r="BP214" s="189" t="str">
        <f t="shared" si="176"/>
        <v>0.00001+0.0000198691765315922j</v>
      </c>
      <c r="BQ214" s="189" t="str">
        <f t="shared" si="177"/>
        <v>2.84363259708889E-06+8.9448617578825E-07j</v>
      </c>
      <c r="BR214" s="189" t="str">
        <f t="shared" si="178"/>
        <v>-0.0762922266964279-0.025910189428606j</v>
      </c>
      <c r="BS214" s="189" t="str">
        <f t="shared" si="179"/>
        <v>0.0000653436325970889+0.0000207636627073804j</v>
      </c>
      <c r="BT214" s="189" t="str">
        <f t="shared" si="205"/>
        <v>-4.44722079728529E-06-3.27717196086344E-06j</v>
      </c>
      <c r="BU214" s="189" t="str">
        <f t="shared" si="206"/>
        <v>-2.84363259708889E-06-8.9448617578825E-07j</v>
      </c>
      <c r="BV214" s="189" t="str">
        <f t="shared" si="207"/>
        <v>-7.29085339437418E-06-4.17165813665169E-06j</v>
      </c>
      <c r="BW214" s="189" t="str">
        <f t="shared" si="180"/>
        <v>0.999000998903416-0.0315911869576479j</v>
      </c>
      <c r="BX214" s="189" t="str">
        <f t="shared" si="208"/>
        <v>-0.00001-0.0000198691765315922j</v>
      </c>
      <c r="BY214" s="189" t="str">
        <f t="shared" si="209"/>
        <v>2.25199070924404+1.39063007011141j</v>
      </c>
      <c r="BZ214" s="136">
        <f t="shared" si="210"/>
        <v>8.4542761556717387</v>
      </c>
      <c r="CA214" s="136">
        <f t="shared" si="211"/>
        <v>-148.30419450437842</v>
      </c>
      <c r="CB214" s="189" t="str">
        <f t="shared" si="181"/>
        <v>-1.80733427034772-1.42169810656253j</v>
      </c>
      <c r="CC214" s="136" t="str">
        <f t="shared" si="182"/>
        <v>0.431047792709558-0.901454185892328j</v>
      </c>
      <c r="CD214" s="136">
        <f t="shared" si="212"/>
        <v>-6.859237187122536E-3</v>
      </c>
      <c r="CE214" s="136">
        <f t="shared" si="213"/>
        <v>115.55569904935841</v>
      </c>
      <c r="CF214" s="136"/>
      <c r="CG214" s="136">
        <f t="shared" si="214"/>
        <v>1.0068592371871226</v>
      </c>
      <c r="CH214" s="136">
        <f t="shared" si="215"/>
        <v>-115.55569904935841</v>
      </c>
      <c r="CI214" s="77"/>
      <c r="CJ214" s="189"/>
      <c r="CK214" s="189"/>
      <c r="CL214" s="189"/>
      <c r="CM214" s="77"/>
      <c r="CN214" s="189">
        <v>104712.85480508899</v>
      </c>
      <c r="CO214" s="189">
        <v>-3.0537150018541501</v>
      </c>
      <c r="CP214" s="189">
        <v>93.840616331009301</v>
      </c>
      <c r="CQ214" s="74"/>
      <c r="CR214" s="75"/>
      <c r="CS214" s="75"/>
      <c r="CT214" s="75"/>
      <c r="CU214" s="74"/>
      <c r="CV214" s="75"/>
      <c r="CW214" s="75"/>
      <c r="CX214" s="75"/>
      <c r="CY214" s="74"/>
      <c r="CZ214" s="75"/>
      <c r="DA214" s="75"/>
      <c r="DB214" s="75"/>
      <c r="DC214" s="74"/>
      <c r="DD214" s="75"/>
      <c r="DE214" s="75"/>
      <c r="DF214" s="75"/>
      <c r="DG214" s="74"/>
      <c r="DH214" s="75"/>
      <c r="DI214" s="75"/>
      <c r="DJ214" s="75"/>
      <c r="DK214" s="74"/>
      <c r="DL214" s="75"/>
      <c r="DM214" s="75"/>
      <c r="DN214" s="75"/>
      <c r="DO214" s="76"/>
    </row>
    <row r="215" spans="1:119" x14ac:dyDescent="0.25">
      <c r="A215" s="136">
        <v>166</v>
      </c>
      <c r="B215" s="136">
        <f t="shared" si="144"/>
        <v>95499.258602143629</v>
      </c>
      <c r="C215" s="136" t="str">
        <f t="shared" si="151"/>
        <v>600039.538495533j</v>
      </c>
      <c r="D215" s="136">
        <f t="shared" si="145"/>
        <v>0.77199729016102214</v>
      </c>
      <c r="E215" s="136" t="str">
        <f t="shared" si="146"/>
        <v>-0.750049423119416j</v>
      </c>
      <c r="F215" s="136" t="str">
        <f t="shared" si="152"/>
        <v>0.771997290161022-0.750049423119416j</v>
      </c>
      <c r="G215" s="136">
        <f t="shared" si="153"/>
        <v>0.63916263421111075</v>
      </c>
      <c r="H215" s="136">
        <f t="shared" si="154"/>
        <v>-44.173853870801132</v>
      </c>
      <c r="I215" s="136"/>
      <c r="J215" s="136">
        <f t="shared" si="147"/>
        <v>7.0726915520628681</v>
      </c>
      <c r="K215" s="136" t="str">
        <f t="shared" si="148"/>
        <v>1+44.0425020992131j</v>
      </c>
      <c r="L215" s="136">
        <f t="shared" si="149"/>
        <v>-104.91665024155745</v>
      </c>
      <c r="M215" s="136" t="str">
        <f t="shared" si="150"/>
        <v>3.22322378326134j</v>
      </c>
      <c r="N215" s="136" t="str">
        <f t="shared" si="155"/>
        <v>-104.916650241557+3.22322378326134j</v>
      </c>
      <c r="O215" s="136" t="str">
        <f t="shared" si="156"/>
        <v>0.0360890425622428-1.26361679607135j</v>
      </c>
      <c r="P215" s="136" t="str">
        <f t="shared" si="157"/>
        <v>0.255246666452012-8.93717183861859j</v>
      </c>
      <c r="Q215" s="136"/>
      <c r="R215" s="136">
        <f t="shared" si="158"/>
        <v>11.787819253438114</v>
      </c>
      <c r="S215" s="136" t="str">
        <f t="shared" si="159"/>
        <v>1+0.0140515361136316j</v>
      </c>
      <c r="T215" s="136" t="str">
        <f t="shared" si="160"/>
        <v>-12.3341162521212+1.14364295479723j</v>
      </c>
      <c r="U215" s="136" t="str">
        <f t="shared" si="183"/>
        <v>-0.0802801051986652-0.00858296700554118j</v>
      </c>
      <c r="V215" s="136" t="str">
        <f t="shared" si="184"/>
        <v>-0.946327369728863-0.101174463719542j</v>
      </c>
      <c r="W215" s="136"/>
      <c r="X215" s="136" t="str">
        <f t="shared" si="161"/>
        <v>-0.502455015882649-2.06324629771749j</v>
      </c>
      <c r="Y215" s="136">
        <f t="shared" si="185"/>
        <v>6.5412322226771655</v>
      </c>
      <c r="Z215" s="136">
        <f t="shared" si="186"/>
        <v>76.313374560324434</v>
      </c>
      <c r="AA215" s="136"/>
      <c r="AB215" s="136" t="str">
        <f t="shared" si="162"/>
        <v>-0.743933654815753-0.0795359946003336j</v>
      </c>
      <c r="AC215" s="136">
        <f t="shared" si="187"/>
        <v>-2.5199561197382163</v>
      </c>
      <c r="AD215" s="136">
        <f t="shared" si="188"/>
        <v>6.1024688448197537</v>
      </c>
      <c r="AE215" s="136"/>
      <c r="AF215" s="136" t="str">
        <f t="shared" si="189"/>
        <v>-0.0457401380572907-0.349534555981188j</v>
      </c>
      <c r="AG215" s="136">
        <f t="shared" si="190"/>
        <v>-9.0564570266331792</v>
      </c>
      <c r="AH215" s="136">
        <f t="shared" si="191"/>
        <v>82.544630313561925</v>
      </c>
      <c r="AI215" s="136"/>
      <c r="AJ215" s="136" t="str">
        <f t="shared" si="163"/>
        <v>18074.263777541-38480.4803329424j</v>
      </c>
      <c r="AK215" s="136" t="str">
        <f t="shared" si="164"/>
        <v>19047.0896811107-100.413601462574j</v>
      </c>
      <c r="AL215" s="136" t="str">
        <f t="shared" si="165"/>
        <v>10000-104377.674782748j</v>
      </c>
      <c r="AM215" s="136" t="str">
        <f t="shared" si="166"/>
        <v>958.952669866085-32456.4324156735j</v>
      </c>
      <c r="AN215" s="136" t="str">
        <f t="shared" si="192"/>
        <v>10958.9526698661-32456.4324156735j</v>
      </c>
      <c r="AO215" s="136" t="str">
        <f t="shared" si="193"/>
        <v>13430.5446322289-6066.93915875261j</v>
      </c>
      <c r="AP215" s="136" t="str">
        <f t="shared" si="194"/>
        <v>0.2480141953158+0.255060628993214j</v>
      </c>
      <c r="AQ215" s="136" t="str">
        <f t="shared" si="167"/>
        <v>1+3.40643299724402j</v>
      </c>
      <c r="AR215" s="136" t="str">
        <f t="shared" si="168"/>
        <v>1+0.00679926745956889j</v>
      </c>
      <c r="AS215" s="136" t="str">
        <f t="shared" si="169"/>
        <v>0.0000106663933226203j</v>
      </c>
      <c r="AT215" s="136" t="str">
        <f t="shared" si="195"/>
        <v>-7.25236610294551E-08+0.0000106663933226203j</v>
      </c>
      <c r="AU215" s="179" t="str">
        <f t="shared" si="196"/>
        <v>318709.095851932-95919.3908839686j</v>
      </c>
      <c r="AV215" s="136" t="str">
        <f t="shared" si="170"/>
        <v>7768.73551819169-1340.38524086191j</v>
      </c>
      <c r="AW215" s="136"/>
      <c r="AX215" s="136" t="str">
        <f t="shared" si="171"/>
        <v>0.485545969886981-0.0837740775538694j</v>
      </c>
      <c r="AY215" s="136"/>
      <c r="AZ215" s="136" t="str">
        <f t="shared" si="172"/>
        <v>6.43178119045216+3.83796582320097j</v>
      </c>
      <c r="BA215" s="136" t="str">
        <f t="shared" si="173"/>
        <v>3.44444748274087+1.32469230176074j</v>
      </c>
      <c r="BB215" s="136">
        <f t="shared" si="197"/>
        <v>11.341461177328737</v>
      </c>
      <c r="BC215" s="136">
        <f t="shared" si="198"/>
        <v>-158.96386837607429</v>
      </c>
      <c r="BD215" s="136" t="str">
        <f t="shared" si="174"/>
        <v>-2.45707968489639-1.25944074194357j</v>
      </c>
      <c r="BE215" s="136">
        <f t="shared" si="199"/>
        <v>8.8215050575905209</v>
      </c>
      <c r="BF215" s="136">
        <f t="shared" si="200"/>
        <v>27.138600468745466</v>
      </c>
      <c r="BG215" s="136"/>
      <c r="BH215" s="136" t="str">
        <f t="shared" si="175"/>
        <v>0.305476232115983-1.26454503024632j</v>
      </c>
      <c r="BI215" s="136">
        <f t="shared" si="201"/>
        <v>2.2850041506955758</v>
      </c>
      <c r="BJ215" s="136">
        <f t="shared" si="202"/>
        <v>103.58076193748759</v>
      </c>
      <c r="BK215" s="136"/>
      <c r="BL215" s="136">
        <f t="shared" si="203"/>
        <v>-1.2850041506955758</v>
      </c>
      <c r="BM215" s="136">
        <f t="shared" si="204"/>
        <v>-103.58076193748759</v>
      </c>
      <c r="BN215" s="136"/>
      <c r="BO215" s="189"/>
      <c r="BP215" s="189" t="str">
        <f t="shared" si="176"/>
        <v>0.00001+0.0000212902062327751j</v>
      </c>
      <c r="BQ215" s="189" t="str">
        <f t="shared" si="177"/>
        <v>2.87705862283466E-06+8.44595688558191E-07j</v>
      </c>
      <c r="BR215" s="189" t="str">
        <f t="shared" si="178"/>
        <v>-0.0773279988176205-0.0245106273697396j</v>
      </c>
      <c r="BS215" s="189" t="str">
        <f t="shared" si="179"/>
        <v>0.0000653770586228347+0.0000221348019213333j</v>
      </c>
      <c r="BT215" s="189" t="str">
        <f t="shared" si="205"/>
        <v>-4.51293923008927E-06-3.31407265923505E-06j</v>
      </c>
      <c r="BU215" s="189" t="str">
        <f t="shared" si="206"/>
        <v>-2.87705862283466E-06-8.44595688558191E-07j</v>
      </c>
      <c r="BV215" s="189" t="str">
        <f t="shared" si="207"/>
        <v>-7.38999785292393E-06-4.15866834779324E-06j</v>
      </c>
      <c r="BW215" s="189" t="str">
        <f t="shared" si="180"/>
        <v>0.998853163011409-0.033845557367438j</v>
      </c>
      <c r="BX215" s="189" t="str">
        <f t="shared" si="208"/>
        <v>-0.00001-0.0000212902062327751j</v>
      </c>
      <c r="BY215" s="189" t="str">
        <f t="shared" si="209"/>
        <v>2.31091677132218+1.531393926906j</v>
      </c>
      <c r="BZ215" s="136">
        <f t="shared" si="210"/>
        <v>8.8567233504047724</v>
      </c>
      <c r="CA215" s="136">
        <f t="shared" si="211"/>
        <v>-146.46843571679392</v>
      </c>
      <c r="CB215" s="189" t="str">
        <f t="shared" si="181"/>
        <v>-1.59736782056335-1.32305654485153j</v>
      </c>
      <c r="CC215" s="136" t="str">
        <f t="shared" si="182"/>
        <v>0.429573444114192-0.877791437210356j</v>
      </c>
      <c r="CD215" s="136">
        <f t="shared" si="212"/>
        <v>-0.19973367622840171</v>
      </c>
      <c r="CE215" s="136">
        <f t="shared" si="213"/>
        <v>116.07619459676802</v>
      </c>
      <c r="CF215" s="136"/>
      <c r="CG215" s="136">
        <f t="shared" si="214"/>
        <v>1.1997336762284017</v>
      </c>
      <c r="CH215" s="136">
        <f t="shared" si="215"/>
        <v>-116.07619459676802</v>
      </c>
      <c r="CI215" s="77"/>
      <c r="CJ215" s="189"/>
      <c r="CK215" s="189"/>
      <c r="CL215" s="189"/>
      <c r="CM215" s="77"/>
      <c r="CN215" s="189">
        <v>109647.819614318</v>
      </c>
      <c r="CO215" s="189">
        <v>-3.20085936005886</v>
      </c>
      <c r="CP215" s="189">
        <v>91.802279041047299</v>
      </c>
      <c r="CQ215" s="74"/>
      <c r="CR215" s="75"/>
      <c r="CS215" s="75"/>
      <c r="CT215" s="75"/>
      <c r="CU215" s="74"/>
      <c r="CV215" s="75"/>
      <c r="CW215" s="75"/>
      <c r="CX215" s="75"/>
      <c r="CY215" s="74"/>
      <c r="CZ215" s="75"/>
      <c r="DA215" s="75"/>
      <c r="DB215" s="75"/>
      <c r="DC215" s="74"/>
      <c r="DD215" s="75"/>
      <c r="DE215" s="75"/>
      <c r="DF215" s="75"/>
      <c r="DG215" s="74"/>
      <c r="DH215" s="75"/>
      <c r="DI215" s="75"/>
      <c r="DJ215" s="75"/>
      <c r="DK215" s="74"/>
      <c r="DL215" s="75"/>
      <c r="DM215" s="75"/>
      <c r="DN215" s="75"/>
      <c r="DO215" s="76"/>
    </row>
    <row r="216" spans="1:119" x14ac:dyDescent="0.25">
      <c r="A216" s="136">
        <v>167</v>
      </c>
      <c r="B216" s="136">
        <f t="shared" si="144"/>
        <v>102329.29922807543</v>
      </c>
      <c r="C216" s="136" t="str">
        <f t="shared" si="151"/>
        <v>642953.949403827j</v>
      </c>
      <c r="D216" s="136">
        <f t="shared" si="145"/>
        <v>0.73821786298727488</v>
      </c>
      <c r="E216" s="136" t="str">
        <f t="shared" si="146"/>
        <v>-0.803692436754784j</v>
      </c>
      <c r="F216" s="136" t="str">
        <f t="shared" si="152"/>
        <v>0.738217862987275-0.803692436754784j</v>
      </c>
      <c r="G216" s="136">
        <f t="shared" si="153"/>
        <v>0.7587060771697417</v>
      </c>
      <c r="H216" s="136">
        <f t="shared" si="154"/>
        <v>-47.431506174266495</v>
      </c>
      <c r="I216" s="136"/>
      <c r="J216" s="136">
        <f t="shared" si="147"/>
        <v>7.0726915520628681</v>
      </c>
      <c r="K216" s="136" t="str">
        <f t="shared" si="148"/>
        <v>1+47.1923912502746j</v>
      </c>
      <c r="L216" s="136">
        <f t="shared" si="149"/>
        <v>-120.60858555166277</v>
      </c>
      <c r="M216" s="136" t="str">
        <f t="shared" si="150"/>
        <v>3.45374650886552j</v>
      </c>
      <c r="N216" s="136" t="str">
        <f t="shared" si="155"/>
        <v>-120.608585551663+3.45374650886552j</v>
      </c>
      <c r="O216" s="136" t="str">
        <f t="shared" si="156"/>
        <v>0.0301051029902355-1.16757870490997j</v>
      </c>
      <c r="P216" s="136" t="str">
        <f t="shared" si="157"/>
        <v>0.212924107593021-8.25792404258525j</v>
      </c>
      <c r="Q216" s="136"/>
      <c r="R216" s="136">
        <f t="shared" si="158"/>
        <v>11.787819253438114</v>
      </c>
      <c r="S216" s="136" t="str">
        <f t="shared" si="159"/>
        <v>1+0.0150564922139996j</v>
      </c>
      <c r="T216" s="136" t="str">
        <f t="shared" si="160"/>
        <v>-14.3096138643334+1.22543550436421j</v>
      </c>
      <c r="U216" s="136" t="str">
        <f t="shared" si="183"/>
        <v>-0.0692848639896466-0.0069855570813905j</v>
      </c>
      <c r="V216" s="136" t="str">
        <f t="shared" si="184"/>
        <v>-0.816717453708997-0.0823444842600059j</v>
      </c>
      <c r="W216" s="136"/>
      <c r="X216" s="136" t="str">
        <f t="shared" si="161"/>
        <v>-0.506799592213523-1.8976693318372j</v>
      </c>
      <c r="Y216" s="136">
        <f t="shared" si="185"/>
        <v>5.8636162890074095</v>
      </c>
      <c r="Z216" s="136">
        <f t="shared" si="186"/>
        <v>75.047318693859594</v>
      </c>
      <c r="AA216" s="136"/>
      <c r="AB216" s="136" t="str">
        <f t="shared" si="162"/>
        <v>-0.642043778638287-0.0647332361812763j</v>
      </c>
      <c r="AC216" s="136">
        <f t="shared" si="187"/>
        <v>-3.8047821798186927</v>
      </c>
      <c r="AD216" s="136">
        <f t="shared" si="188"/>
        <v>5.7573171833693664</v>
      </c>
      <c r="AE216" s="136"/>
      <c r="AF216" s="136" t="str">
        <f t="shared" si="189"/>
        <v>-0.0504146814793041-0.325230126671624j</v>
      </c>
      <c r="AG216" s="136">
        <f t="shared" si="190"/>
        <v>-9.653062821847616</v>
      </c>
      <c r="AH216" s="136">
        <f t="shared" si="191"/>
        <v>81.188576830374245</v>
      </c>
      <c r="AI216" s="136"/>
      <c r="AJ216" s="136" t="str">
        <f t="shared" si="163"/>
        <v>16117.9342714528-36769.6290702858j</v>
      </c>
      <c r="AK216" s="136" t="str">
        <f t="shared" si="164"/>
        <v>19047.0112560479-107.594669460215j</v>
      </c>
      <c r="AL216" s="136" t="str">
        <f t="shared" si="165"/>
        <v>10000-97410.9138981891j</v>
      </c>
      <c r="AM216" s="136" t="str">
        <f t="shared" si="166"/>
        <v>958.335525499508-30298.8220469838j</v>
      </c>
      <c r="AN216" s="136" t="str">
        <f t="shared" si="192"/>
        <v>10958.3355254995-30298.8220469838j</v>
      </c>
      <c r="AO216" s="136" t="str">
        <f t="shared" si="193"/>
        <v>13013.7745806698-6084.87585356497j</v>
      </c>
      <c r="AP216" s="136" t="str">
        <f t="shared" si="194"/>
        <v>0.259485507842408+0.269060859288593j</v>
      </c>
      <c r="AQ216" s="136" t="str">
        <f t="shared" si="167"/>
        <v>1+3.65005871854536j</v>
      </c>
      <c r="AR216" s="136" t="str">
        <f t="shared" si="168"/>
        <v>1+0.00728554634440192j</v>
      </c>
      <c r="AS216" s="136" t="str">
        <f t="shared" si="169"/>
        <v>0.0000114292463624452j</v>
      </c>
      <c r="AT216" s="136" t="str">
        <f t="shared" si="195"/>
        <v>-8.32683040551816E-08+0.0000114292463624452j</v>
      </c>
      <c r="AU216" s="179" t="str">
        <f t="shared" si="196"/>
        <v>318706.913082166-89816.7868282257j</v>
      </c>
      <c r="AV216" s="136" t="str">
        <f t="shared" si="170"/>
        <v>7735.60520664911-1430.12367998576j</v>
      </c>
      <c r="AW216" s="136"/>
      <c r="AX216" s="136" t="str">
        <f t="shared" si="171"/>
        <v>0.483475325415569-0.08938272999911j</v>
      </c>
      <c r="AY216" s="136"/>
      <c r="AZ216" s="136" t="str">
        <f t="shared" si="172"/>
        <v>6.63790869723593+4.17477109375236j</v>
      </c>
      <c r="BA216" s="136" t="str">
        <f t="shared" si="173"/>
        <v>3.58241750495593+1.42508441224365j</v>
      </c>
      <c r="BB216" s="136">
        <f t="shared" si="197"/>
        <v>11.721526649442907</v>
      </c>
      <c r="BC216" s="136">
        <f t="shared" si="198"/>
        <v>-158.30735484387472</v>
      </c>
      <c r="BD216" s="136" t="str">
        <f t="shared" si="174"/>
        <v>-2.20781854570582-1.14686805936369j</v>
      </c>
      <c r="BE216" s="136">
        <f t="shared" si="199"/>
        <v>7.9167444696242075</v>
      </c>
      <c r="BF216" s="136">
        <f t="shared" si="200"/>
        <v>27.44996233949476</v>
      </c>
      <c r="BG216" s="136"/>
      <c r="BH216" s="136" t="str">
        <f t="shared" si="175"/>
        <v>0.282873946473525-1.23695527565184j</v>
      </c>
      <c r="BI216" s="136">
        <f t="shared" si="201"/>
        <v>2.0684638275952647</v>
      </c>
      <c r="BJ216" s="136">
        <f t="shared" si="202"/>
        <v>102.88122198649968</v>
      </c>
      <c r="BK216" s="136"/>
      <c r="BL216" s="136">
        <f t="shared" si="203"/>
        <v>-1.0684638275952647</v>
      </c>
      <c r="BM216" s="136">
        <f t="shared" si="204"/>
        <v>-102.88122198649968</v>
      </c>
      <c r="BN216" s="136"/>
      <c r="BO216" s="189"/>
      <c r="BP216" s="189" t="str">
        <f t="shared" si="176"/>
        <v>0.00001+0.0000228128669909085j</v>
      </c>
      <c r="BQ216" s="189" t="str">
        <f t="shared" si="177"/>
        <v>2.90681836434301E-06+7.9637578145632E-07j</v>
      </c>
      <c r="BR216" s="189" t="str">
        <f t="shared" si="178"/>
        <v>-0.0782534178580023-0.0231496698419951j</v>
      </c>
      <c r="BS216" s="189" t="str">
        <f t="shared" si="179"/>
        <v>0.000065406818364343+0.0000236092427723648j</v>
      </c>
      <c r="BT216" s="189" t="str">
        <f t="shared" si="205"/>
        <v>-4.57176091282764E-06-3.36165019052677E-06j</v>
      </c>
      <c r="BU216" s="189" t="str">
        <f t="shared" si="206"/>
        <v>-2.90681836434301E-06-7.9637578145632E-07j</v>
      </c>
      <c r="BV216" s="189" t="str">
        <f t="shared" si="207"/>
        <v>-7.47857927717065E-06-4.15802597198309E-06j</v>
      </c>
      <c r="BW216" s="189" t="str">
        <f t="shared" si="180"/>
        <v>0.998683478645863-0.0362600072484988j</v>
      </c>
      <c r="BX216" s="189" t="str">
        <f t="shared" si="208"/>
        <v>-0.00001-0.0000228128669909085j</v>
      </c>
      <c r="BY216" s="189" t="str">
        <f t="shared" si="209"/>
        <v>2.37778564597473+1.67589836994429j</v>
      </c>
      <c r="BZ216" s="136">
        <f t="shared" si="210"/>
        <v>9.2749867782293194</v>
      </c>
      <c r="CA216" s="136">
        <f t="shared" si="211"/>
        <v>-144.82325450146953</v>
      </c>
      <c r="CB216" s="189" t="str">
        <f t="shared" si="181"/>
        <v>-1.41815615593608-1.22992188186211j</v>
      </c>
      <c r="CC216" s="136" t="str">
        <f t="shared" si="182"/>
        <v>0.425177333177873-0.857817409350759j</v>
      </c>
      <c r="CD216" s="136">
        <f t="shared" si="212"/>
        <v>-0.37807604361827518</v>
      </c>
      <c r="CE216" s="136">
        <f t="shared" si="213"/>
        <v>116.36532232890468</v>
      </c>
      <c r="CF216" s="136"/>
      <c r="CG216" s="136">
        <f t="shared" si="214"/>
        <v>1.3780760436182753</v>
      </c>
      <c r="CH216" s="136">
        <f t="shared" si="215"/>
        <v>-116.36532232890468</v>
      </c>
      <c r="CI216" s="77"/>
      <c r="CJ216" s="189"/>
      <c r="CK216" s="189"/>
      <c r="CL216" s="189"/>
      <c r="CM216" s="77"/>
      <c r="CN216" s="189">
        <v>114815.36214968799</v>
      </c>
      <c r="CO216" s="189">
        <v>-3.3533004117512699</v>
      </c>
      <c r="CP216" s="189">
        <v>89.601102432731693</v>
      </c>
      <c r="CQ216" s="74"/>
      <c r="CR216" s="75"/>
      <c r="CS216" s="75"/>
      <c r="CT216" s="75"/>
      <c r="CU216" s="74"/>
      <c r="CV216" s="75"/>
      <c r="CW216" s="75"/>
      <c r="CX216" s="75"/>
      <c r="CY216" s="74"/>
      <c r="CZ216" s="75"/>
      <c r="DA216" s="75"/>
      <c r="DB216" s="75"/>
      <c r="DC216" s="74"/>
      <c r="DD216" s="75"/>
      <c r="DE216" s="75"/>
      <c r="DF216" s="75"/>
      <c r="DG216" s="74"/>
      <c r="DH216" s="75"/>
      <c r="DI216" s="75"/>
      <c r="DJ216" s="75"/>
      <c r="DK216" s="74"/>
      <c r="DL216" s="75"/>
      <c r="DM216" s="75"/>
      <c r="DN216" s="75"/>
      <c r="DO216" s="76"/>
    </row>
    <row r="217" spans="1:119" x14ac:dyDescent="0.25">
      <c r="A217" s="136">
        <v>168</v>
      </c>
      <c r="B217" s="136">
        <f t="shared" si="144"/>
        <v>109647.81961431868</v>
      </c>
      <c r="C217" s="136" t="str">
        <f t="shared" si="151"/>
        <v>688937.569164965j</v>
      </c>
      <c r="D217" s="136">
        <f t="shared" si="145"/>
        <v>0.69943389134564549</v>
      </c>
      <c r="E217" s="136" t="str">
        <f t="shared" si="146"/>
        <v>-0.861171961456206j</v>
      </c>
      <c r="F217" s="136" t="str">
        <f t="shared" si="152"/>
        <v>0.699433891345645-0.861171961456206j</v>
      </c>
      <c r="G217" s="136">
        <f t="shared" si="153"/>
        <v>0.90196279077889296</v>
      </c>
      <c r="H217" s="136">
        <f t="shared" si="154"/>
        <v>-50.916896225698679</v>
      </c>
      <c r="I217" s="136"/>
      <c r="J217" s="136">
        <f t="shared" si="147"/>
        <v>7.0726915520628681</v>
      </c>
      <c r="K217" s="136" t="str">
        <f t="shared" si="148"/>
        <v>1+50.5675582849957j</v>
      </c>
      <c r="L217" s="136">
        <f t="shared" si="149"/>
        <v>-138.62533790625557</v>
      </c>
      <c r="M217" s="136" t="str">
        <f t="shared" si="150"/>
        <v>3.7007560596464j</v>
      </c>
      <c r="N217" s="136" t="str">
        <f t="shared" si="155"/>
        <v>-138.625337906256+3.7007560596464j</v>
      </c>
      <c r="O217" s="136" t="str">
        <f t="shared" si="156"/>
        <v>0.0252452870462452-1.08029473316883j</v>
      </c>
      <c r="P217" s="136" t="str">
        <f t="shared" si="157"/>
        <v>0.178552128421381-7.64059143302119j</v>
      </c>
      <c r="Q217" s="136"/>
      <c r="R217" s="136">
        <f t="shared" si="158"/>
        <v>11.787819253438114</v>
      </c>
      <c r="S217" s="136" t="str">
        <f t="shared" si="159"/>
        <v>1+0.0161333220764603j</v>
      </c>
      <c r="T217" s="136" t="str">
        <f t="shared" si="160"/>
        <v>-16.5777886020532+1.31307780024983j</v>
      </c>
      <c r="U217" s="136" t="str">
        <f t="shared" si="183"/>
        <v>-0.059868989476944-0.00571523532820847j</v>
      </c>
      <c r="V217" s="136" t="str">
        <f t="shared" si="184"/>
        <v>-0.705724826840204-0.0673701610397855j</v>
      </c>
      <c r="W217" s="136"/>
      <c r="X217" s="136" t="str">
        <f t="shared" si="161"/>
        <v>-0.510077270546211-1.74662592838998j</v>
      </c>
      <c r="Y217" s="136">
        <f t="shared" si="185"/>
        <v>5.1994356576177303</v>
      </c>
      <c r="Z217" s="136">
        <f t="shared" si="186"/>
        <v>73.720306486382228</v>
      </c>
      <c r="AA217" s="136"/>
      <c r="AB217" s="136" t="str">
        <f t="shared" si="162"/>
        <v>-0.554789459250102-0.0529615138809874j</v>
      </c>
      <c r="AC217" s="136">
        <f t="shared" si="187"/>
        <v>-5.0780376961414504</v>
      </c>
      <c r="AD217" s="136">
        <f t="shared" si="188"/>
        <v>5.4530659715131264</v>
      </c>
      <c r="AE217" s="136"/>
      <c r="AF217" s="136" t="str">
        <f t="shared" si="189"/>
        <v>-0.054486453812563-0.302351693339847j</v>
      </c>
      <c r="AG217" s="136">
        <f t="shared" si="190"/>
        <v>-10.250955468990814</v>
      </c>
      <c r="AH217" s="136">
        <f t="shared" si="191"/>
        <v>79.784435490151395</v>
      </c>
      <c r="AI217" s="136"/>
      <c r="AJ217" s="136" t="str">
        <f t="shared" si="163"/>
        <v>14336.300323737-35044.2652284409j</v>
      </c>
      <c r="AK217" s="136" t="str">
        <f t="shared" si="164"/>
        <v>19046.9212128245-115.289220444127j</v>
      </c>
      <c r="AL217" s="136" t="str">
        <f t="shared" si="165"/>
        <v>10000-90909.15434005j</v>
      </c>
      <c r="AM217" s="136" t="str">
        <f t="shared" si="166"/>
        <v>957.62792782079-28285.8334148852j</v>
      </c>
      <c r="AN217" s="136" t="str">
        <f t="shared" si="192"/>
        <v>10957.6279278208-28285.8334148852j</v>
      </c>
      <c r="AO217" s="136" t="str">
        <f t="shared" si="193"/>
        <v>12596.8883153921-6074.26447738967j</v>
      </c>
      <c r="AP217" s="136" t="str">
        <f t="shared" si="194"/>
        <v>0.272224930097095+0.283256606055599j</v>
      </c>
      <c r="AQ217" s="136" t="str">
        <f t="shared" si="167"/>
        <v>1+3.91110838217219j</v>
      </c>
      <c r="AR217" s="136" t="str">
        <f t="shared" si="168"/>
        <v>1+0.00780660355722992j</v>
      </c>
      <c r="AS217" s="136" t="str">
        <f t="shared" si="169"/>
        <v>0.0000122466581216767j</v>
      </c>
      <c r="AT217" s="136" t="str">
        <f t="shared" si="195"/>
        <v>-9.560480485686E-08+0.0000122466581216767j</v>
      </c>
      <c r="AU217" s="179" t="str">
        <f t="shared" si="196"/>
        <v>318704.406964029-84142.9280050593j</v>
      </c>
      <c r="AV217" s="136" t="str">
        <f t="shared" si="170"/>
        <v>7697.91329205615-1524.93845267094j</v>
      </c>
      <c r="AW217" s="136"/>
      <c r="AX217" s="136" t="str">
        <f t="shared" si="171"/>
        <v>0.481119580753509-0.0953086532919337j</v>
      </c>
      <c r="AY217" s="136"/>
      <c r="AZ217" s="136" t="str">
        <f t="shared" si="172"/>
        <v>6.86835184197763+4.51368606844332j</v>
      </c>
      <c r="BA217" s="136" t="str">
        <f t="shared" si="173"/>
        <v>3.73469189924576+1.51700938450834j</v>
      </c>
      <c r="BB217" s="136">
        <f t="shared" si="197"/>
        <v>12.108330814175241</v>
      </c>
      <c r="BC217" s="136">
        <f t="shared" si="198"/>
        <v>-157.89330649774129</v>
      </c>
      <c r="BD217" s="136" t="str">
        <f t="shared" si="174"/>
        <v>-1.99162458567307-1.03941575297183j</v>
      </c>
      <c r="BE217" s="136">
        <f t="shared" si="199"/>
        <v>7.0302931180338115</v>
      </c>
      <c r="BF217" s="136">
        <f t="shared" si="200"/>
        <v>27.559759473771805</v>
      </c>
      <c r="BG217" s="136"/>
      <c r="BH217" s="136" t="str">
        <f t="shared" si="175"/>
        <v>0.255180238546129-1.21184688160181j</v>
      </c>
      <c r="BI217" s="136">
        <f t="shared" si="201"/>
        <v>1.8573753451844777</v>
      </c>
      <c r="BJ217" s="136">
        <f t="shared" si="202"/>
        <v>101.89112899241005</v>
      </c>
      <c r="BK217" s="136"/>
      <c r="BL217" s="136">
        <f t="shared" si="203"/>
        <v>-0.85737534518447767</v>
      </c>
      <c r="BM217" s="136">
        <f t="shared" si="204"/>
        <v>-101.89112899241005</v>
      </c>
      <c r="BN217" s="136"/>
      <c r="BO217" s="189"/>
      <c r="BP217" s="189" t="str">
        <f t="shared" si="176"/>
        <v>0.00001+0.0000244444273885762j</v>
      </c>
      <c r="BQ217" s="189" t="str">
        <f t="shared" si="177"/>
        <v>2.93324419596652E-06+7.49977732485498E-07j</v>
      </c>
      <c r="BR217" s="189" t="str">
        <f t="shared" si="178"/>
        <v>-0.0790777467690465-0.0218331565345502j</v>
      </c>
      <c r="BS217" s="189" t="str">
        <f t="shared" si="179"/>
        <v>0.0000654332441959665+0.0000251944051210617j</v>
      </c>
      <c r="BT217" s="189" t="str">
        <f t="shared" si="205"/>
        <v>-4.62424012400281E-06-3.42093105125407E-06j</v>
      </c>
      <c r="BU217" s="189" t="str">
        <f t="shared" si="206"/>
        <v>-2.93324419596652E-06-7.49977732485498E-07j</v>
      </c>
      <c r="BV217" s="189" t="str">
        <f t="shared" si="207"/>
        <v>-7.55748431996933E-06-4.17090878373957E-06j</v>
      </c>
      <c r="BW217" s="189" t="str">
        <f t="shared" si="180"/>
        <v>0.998488726009542-0.038845721017688j</v>
      </c>
      <c r="BX217" s="189" t="str">
        <f t="shared" si="208"/>
        <v>-0.00001-0.0000244444273885762j</v>
      </c>
      <c r="BY217" s="189" t="str">
        <f t="shared" si="209"/>
        <v>2.4535373896178+1.82409208115181j</v>
      </c>
      <c r="BZ217" s="136">
        <f t="shared" si="210"/>
        <v>9.7067956726543478</v>
      </c>
      <c r="CA217" s="136">
        <f t="shared" si="211"/>
        <v>-143.37089634430592</v>
      </c>
      <c r="CB217" s="189" t="str">
        <f t="shared" si="181"/>
        <v>-1.26459000355985-1.14193011384237j</v>
      </c>
      <c r="CC217" s="136" t="str">
        <f t="shared" si="182"/>
        <v>0.417832777887248-0.841219493353113j</v>
      </c>
      <c r="CD217" s="136">
        <f t="shared" si="212"/>
        <v>-0.54415979633644351</v>
      </c>
      <c r="CE217" s="136">
        <f t="shared" si="213"/>
        <v>116.41353914584535</v>
      </c>
      <c r="CF217" s="136"/>
      <c r="CG217" s="136">
        <f t="shared" si="214"/>
        <v>1.5441597963364435</v>
      </c>
      <c r="CH217" s="136">
        <f t="shared" si="215"/>
        <v>-116.41353914584535</v>
      </c>
      <c r="CI217" s="77"/>
      <c r="CJ217" s="189"/>
      <c r="CK217" s="189"/>
      <c r="CL217" s="189"/>
      <c r="CM217" s="77"/>
      <c r="CN217" s="189">
        <v>120226.443461741</v>
      </c>
      <c r="CO217" s="189">
        <v>-3.51185576609118</v>
      </c>
      <c r="CP217" s="189">
        <v>87.231632181335101</v>
      </c>
      <c r="CQ217" s="74"/>
      <c r="CR217" s="75"/>
      <c r="CS217" s="75"/>
      <c r="CT217" s="75"/>
      <c r="CU217" s="74"/>
      <c r="CV217" s="75"/>
      <c r="CW217" s="75"/>
      <c r="CX217" s="75"/>
      <c r="CY217" s="74"/>
      <c r="CZ217" s="75"/>
      <c r="DA217" s="75"/>
      <c r="DB217" s="75"/>
      <c r="DC217" s="74"/>
      <c r="DD217" s="75"/>
      <c r="DE217" s="75"/>
      <c r="DF217" s="75"/>
      <c r="DG217" s="74"/>
      <c r="DH217" s="75"/>
      <c r="DI217" s="75"/>
      <c r="DJ217" s="75"/>
      <c r="DK217" s="74"/>
      <c r="DL217" s="75"/>
      <c r="DM217" s="75"/>
      <c r="DN217" s="75"/>
      <c r="DO217" s="76"/>
    </row>
    <row r="218" spans="1:119" x14ac:dyDescent="0.25">
      <c r="A218" s="136">
        <v>169</v>
      </c>
      <c r="B218" s="136">
        <f t="shared" si="144"/>
        <v>117489.75549395289</v>
      </c>
      <c r="C218" s="136" t="str">
        <f t="shared" si="151"/>
        <v>738209.905463727j</v>
      </c>
      <c r="D218" s="136">
        <f t="shared" si="145"/>
        <v>0.65490393384927881</v>
      </c>
      <c r="E218" s="136" t="str">
        <f t="shared" si="146"/>
        <v>-0.922762381829659j</v>
      </c>
      <c r="F218" s="136" t="str">
        <f t="shared" si="152"/>
        <v>0.654903933849279-0.922762381829659j</v>
      </c>
      <c r="G218" s="136">
        <f t="shared" si="153"/>
        <v>1.073421297400138</v>
      </c>
      <c r="H218" s="136">
        <f t="shared" si="154"/>
        <v>-54.635873662133953</v>
      </c>
      <c r="I218" s="136"/>
      <c r="J218" s="136">
        <f t="shared" si="147"/>
        <v>7.0726915520628681</v>
      </c>
      <c r="K218" s="136" t="str">
        <f t="shared" si="148"/>
        <v>1+54.1841149211006j</v>
      </c>
      <c r="L218" s="136">
        <f t="shared" si="149"/>
        <v>-159.3113373697926</v>
      </c>
      <c r="M218" s="136" t="str">
        <f t="shared" si="150"/>
        <v>3.96543156188616j</v>
      </c>
      <c r="N218" s="136" t="str">
        <f t="shared" si="155"/>
        <v>-159.311337369793+3.96543156188616j</v>
      </c>
      <c r="O218" s="136" t="str">
        <f t="shared" si="156"/>
        <v>0.0212681404197899-1.00069459870796j</v>
      </c>
      <c r="P218" s="136" t="str">
        <f t="shared" si="157"/>
        <v>0.150422997075135-7.07760423447673j</v>
      </c>
      <c r="Q218" s="136"/>
      <c r="R218" s="136">
        <f t="shared" si="158"/>
        <v>11.787819253438114</v>
      </c>
      <c r="S218" s="136" t="str">
        <f t="shared" si="159"/>
        <v>1+0.0172871660625433j</v>
      </c>
      <c r="T218" s="136" t="str">
        <f t="shared" si="160"/>
        <v>-19.1820016413541+1.40698821224662j</v>
      </c>
      <c r="U218" s="136" t="str">
        <f t="shared" si="183"/>
        <v>-0.0517874754751818-0.004699798033787j</v>
      </c>
      <c r="V218" s="136" t="str">
        <f t="shared" si="184"/>
        <v>-0.610461400493302-0.055400369749945j</v>
      </c>
      <c r="W218" s="136"/>
      <c r="X218" s="136" t="str">
        <f t="shared" si="161"/>
        <v>-0.512565813468989-1.608266977699j</v>
      </c>
      <c r="Y218" s="136">
        <f t="shared" si="185"/>
        <v>4.5473000588619232</v>
      </c>
      <c r="Z218" s="136">
        <f t="shared" si="186"/>
        <v>72.322559748775632</v>
      </c>
      <c r="AA218" s="136"/>
      <c r="AB218" s="136" t="str">
        <f t="shared" si="162"/>
        <v>-0.479900291717278-0.0435517357571822j</v>
      </c>
      <c r="AC218" s="136">
        <f t="shared" si="187"/>
        <v>-6.3413583256261585</v>
      </c>
      <c r="AD218" s="136">
        <f t="shared" si="188"/>
        <v>5.1854811271158496</v>
      </c>
      <c r="AE218" s="136"/>
      <c r="AF218" s="136" t="str">
        <f t="shared" si="189"/>
        <v>-0.0580277375129255-0.280808842654079j</v>
      </c>
      <c r="AG218" s="136">
        <f t="shared" si="190"/>
        <v>-10.850181728346186</v>
      </c>
      <c r="AH218" s="136">
        <f t="shared" si="191"/>
        <v>78.324453863159789</v>
      </c>
      <c r="AI218" s="136"/>
      <c r="AJ218" s="136" t="str">
        <f t="shared" si="163"/>
        <v>12721.7355845974-33321.6296446516j</v>
      </c>
      <c r="AK218" s="136" t="str">
        <f t="shared" si="164"/>
        <v>19046.8178304214-123.533954873523j</v>
      </c>
      <c r="AL218" s="136" t="str">
        <f t="shared" si="165"/>
        <v>10000-84841.3592696694j</v>
      </c>
      <c r="AM218" s="136" t="str">
        <f t="shared" si="166"/>
        <v>956.816784499085-26407.8543688553j</v>
      </c>
      <c r="AN218" s="136" t="str">
        <f t="shared" si="192"/>
        <v>10956.8167844991-26407.8543688553j</v>
      </c>
      <c r="AO218" s="136" t="str">
        <f t="shared" si="193"/>
        <v>12183.824506944-6035.4471525977j</v>
      </c>
      <c r="AP218" s="136" t="str">
        <f t="shared" si="194"/>
        <v>0.286312505781682+0.297534310678314j</v>
      </c>
      <c r="AQ218" s="136" t="str">
        <f t="shared" si="167"/>
        <v>1+4.19082813637413j</v>
      </c>
      <c r="AR218" s="136" t="str">
        <f t="shared" si="168"/>
        <v>1+0.00836492641990844j</v>
      </c>
      <c r="AS218" s="136" t="str">
        <f t="shared" si="169"/>
        <v>0.0000131225306020215j</v>
      </c>
      <c r="AT218" s="136" t="str">
        <f t="shared" si="195"/>
        <v>-1.09769002928907E-07+0.0000131225306020215j</v>
      </c>
      <c r="AU218" s="179" t="str">
        <f t="shared" si="196"/>
        <v>318701.529604018-78870.7285603216j</v>
      </c>
      <c r="AV218" s="136" t="str">
        <f t="shared" si="170"/>
        <v>7655.08763173663-1624.91058348634j</v>
      </c>
      <c r="AW218" s="136"/>
      <c r="AX218" s="136" t="str">
        <f t="shared" si="171"/>
        <v>0.478442976983539-0.101556911467896j</v>
      </c>
      <c r="AY218" s="136"/>
      <c r="AZ218" s="136" t="str">
        <f t="shared" si="172"/>
        <v>7.12507444866146+4.85313903734294j</v>
      </c>
      <c r="BA218" s="136" t="str">
        <f t="shared" si="173"/>
        <v>3.90181164200376+1.5983497337565j</v>
      </c>
      <c r="BB218" s="136">
        <f t="shared" si="197"/>
        <v>12.499038114273699</v>
      </c>
      <c r="BC218" s="136">
        <f t="shared" si="198"/>
        <v>-157.72388519504432</v>
      </c>
      <c r="BD218" s="136" t="str">
        <f t="shared" si="174"/>
        <v>-1.80286963997135-0.936979173102823j</v>
      </c>
      <c r="BE218" s="136">
        <f t="shared" si="199"/>
        <v>6.157679788647541</v>
      </c>
      <c r="BF218" s="136">
        <f t="shared" si="200"/>
        <v>27.461595932071532</v>
      </c>
      <c r="BG218" s="136"/>
      <c r="BH218" s="136" t="str">
        <f t="shared" si="175"/>
        <v>0.222417437105548-1.18841183024956j</v>
      </c>
      <c r="BI218" s="136">
        <f t="shared" si="201"/>
        <v>1.6488563859274838</v>
      </c>
      <c r="BJ218" s="136">
        <f t="shared" si="202"/>
        <v>100.60056866811554</v>
      </c>
      <c r="BK218" s="136"/>
      <c r="BL218" s="136">
        <f t="shared" si="203"/>
        <v>-0.64885638592748385</v>
      </c>
      <c r="BM218" s="136">
        <f t="shared" si="204"/>
        <v>-100.60056866811554</v>
      </c>
      <c r="BN218" s="136"/>
      <c r="BO218" s="189"/>
      <c r="BP218" s="189" t="str">
        <f t="shared" si="176"/>
        <v>0.00001+0.0000261926758523383j</v>
      </c>
      <c r="BQ218" s="189" t="str">
        <f t="shared" si="177"/>
        <v>2.95665473321668E-06+7.05506080660887E-07j</v>
      </c>
      <c r="BR218" s="189" t="str">
        <f t="shared" si="178"/>
        <v>-0.0798100545674421-0.0205654363548859j</v>
      </c>
      <c r="BS218" s="189" t="str">
        <f t="shared" si="179"/>
        <v>0.0000654566547332167+0.0000268981819329992j</v>
      </c>
      <c r="BT218" s="189" t="str">
        <f t="shared" si="205"/>
        <v>-4.67092633745501E-06-3.49289003475736E-06j</v>
      </c>
      <c r="BU218" s="189" t="str">
        <f t="shared" si="206"/>
        <v>-2.95665473321668E-06-7.05506080660887E-07j</v>
      </c>
      <c r="BV218" s="189" t="str">
        <f t="shared" si="207"/>
        <v>-7.62758107067169E-06-4.19839611541825E-06j</v>
      </c>
      <c r="BW218" s="189" t="str">
        <f t="shared" si="180"/>
        <v>0.99826521371467-0.0416146224526153j</v>
      </c>
      <c r="BX218" s="189" t="str">
        <f t="shared" si="208"/>
        <v>-0.00001-0.0000261926758523383j</v>
      </c>
      <c r="BY218" s="189" t="str">
        <f t="shared" si="209"/>
        <v>2.53918586129269+1.97580107467335j</v>
      </c>
      <c r="BZ218" s="136">
        <f t="shared" si="210"/>
        <v>10.149929958856347</v>
      </c>
      <c r="CA218" s="136">
        <f t="shared" si="211"/>
        <v>-142.11266380420528</v>
      </c>
      <c r="CB218" s="189" t="str">
        <f t="shared" si="181"/>
        <v>-1.13250646924582-1.05877346378044j</v>
      </c>
      <c r="CC218" s="136" t="str">
        <f t="shared" si="182"/>
        <v>0.407479202438083-0.827677109132103j</v>
      </c>
      <c r="CD218" s="136">
        <f t="shared" si="212"/>
        <v>-0.70025176948984225</v>
      </c>
      <c r="CE218" s="136">
        <f t="shared" si="213"/>
        <v>116.21179005895436</v>
      </c>
      <c r="CF218" s="136"/>
      <c r="CG218" s="136">
        <f t="shared" si="214"/>
        <v>1.7002517694898422</v>
      </c>
      <c r="CH218" s="136">
        <f t="shared" si="215"/>
        <v>-116.21179005895436</v>
      </c>
      <c r="CI218" s="77"/>
      <c r="CJ218" s="189"/>
      <c r="CK218" s="189"/>
      <c r="CL218" s="189"/>
      <c r="CM218" s="77"/>
      <c r="CN218" s="189">
        <v>125892.541179416</v>
      </c>
      <c r="CO218" s="189">
        <v>-3.6773762708695501</v>
      </c>
      <c r="CP218" s="189">
        <v>84.687769711537698</v>
      </c>
      <c r="CQ218" s="74"/>
      <c r="CR218" s="75"/>
      <c r="CS218" s="75"/>
      <c r="CT218" s="75"/>
      <c r="CU218" s="74"/>
      <c r="CV218" s="75"/>
      <c r="CW218" s="75"/>
      <c r="CX218" s="75"/>
      <c r="CY218" s="74"/>
      <c r="CZ218" s="75"/>
      <c r="DA218" s="75"/>
      <c r="DB218" s="75"/>
      <c r="DC218" s="74"/>
      <c r="DD218" s="75"/>
      <c r="DE218" s="75"/>
      <c r="DF218" s="75"/>
      <c r="DG218" s="74"/>
      <c r="DH218" s="75"/>
      <c r="DI218" s="75"/>
      <c r="DJ218" s="75"/>
      <c r="DK218" s="74"/>
      <c r="DL218" s="75"/>
      <c r="DM218" s="75"/>
      <c r="DN218" s="75"/>
      <c r="DO218" s="76"/>
    </row>
    <row r="219" spans="1:119" x14ac:dyDescent="0.25">
      <c r="A219" s="136">
        <v>170</v>
      </c>
      <c r="B219" s="136">
        <f t="shared" si="144"/>
        <v>125892.54117941685</v>
      </c>
      <c r="C219" s="136" t="str">
        <f t="shared" si="151"/>
        <v>791006.165022013j</v>
      </c>
      <c r="D219" s="136">
        <f t="shared" si="145"/>
        <v>0.60377670188472077</v>
      </c>
      <c r="E219" s="136" t="str">
        <f t="shared" si="146"/>
        <v>-0.988757706277516j</v>
      </c>
      <c r="F219" s="136" t="str">
        <f t="shared" si="152"/>
        <v>0.603776701884721-0.988757706277516j</v>
      </c>
      <c r="G219" s="136">
        <f t="shared" si="153"/>
        <v>1.2781338640507898</v>
      </c>
      <c r="H219" s="136">
        <f t="shared" si="154"/>
        <v>-58.590020010292498</v>
      </c>
      <c r="I219" s="136"/>
      <c r="J219" s="136">
        <f t="shared" si="147"/>
        <v>7.0726915520628681</v>
      </c>
      <c r="K219" s="136" t="str">
        <f t="shared" si="148"/>
        <v>1+58.0593251751724j</v>
      </c>
      <c r="L219" s="136">
        <f t="shared" si="149"/>
        <v>-183.06204256813635</v>
      </c>
      <c r="M219" s="136" t="str">
        <f t="shared" si="150"/>
        <v>4.24903647215954j</v>
      </c>
      <c r="N219" s="136" t="str">
        <f t="shared" si="155"/>
        <v>-183.062042568136+4.24903647215954j</v>
      </c>
      <c r="O219" s="136" t="str">
        <f t="shared" si="156"/>
        <v>0.017990833043333-0.927885043217104j</v>
      </c>
      <c r="P219" s="136" t="str">
        <f t="shared" si="157"/>
        <v>0.127243612880155-6.5626447064471j</v>
      </c>
      <c r="Q219" s="136"/>
      <c r="R219" s="136">
        <f t="shared" si="158"/>
        <v>11.787819253438114</v>
      </c>
      <c r="S219" s="136" t="str">
        <f t="shared" si="159"/>
        <v>1+0.0185235321688635j</v>
      </c>
      <c r="T219" s="136" t="str">
        <f t="shared" si="160"/>
        <v>-22.1720382735766+1.507615031664j</v>
      </c>
      <c r="U219" s="136" t="str">
        <f t="shared" si="183"/>
        <v>-0.0448377386346122-0.00388424284035543j</v>
      </c>
      <c r="V219" s="136" t="str">
        <f t="shared" si="184"/>
        <v>-0.528539158757708-0.0457867525385709j</v>
      </c>
      <c r="W219" s="136"/>
      <c r="X219" s="136" t="str">
        <f t="shared" si="161"/>
        <v>-0.514466743128598-1.48104706055378j</v>
      </c>
      <c r="Y219" s="136">
        <f t="shared" si="185"/>
        <v>3.9061304934410348</v>
      </c>
      <c r="Z219" s="136">
        <f t="shared" si="186"/>
        <v>70.844464735721601</v>
      </c>
      <c r="AA219" s="136"/>
      <c r="AB219" s="136" t="str">
        <f t="shared" si="162"/>
        <v>-0.41549899185577-0.0359942100881251j</v>
      </c>
      <c r="AC219" s="136">
        <f t="shared" si="187"/>
        <v>-7.5961302997516631</v>
      </c>
      <c r="AD219" s="136">
        <f t="shared" si="188"/>
        <v>4.9511082912801783</v>
      </c>
      <c r="AE219" s="136"/>
      <c r="AF219" s="136" t="str">
        <f t="shared" si="189"/>
        <v>-0.0611011180912775-0.260513239090567j</v>
      </c>
      <c r="AG219" s="136">
        <f t="shared" si="190"/>
        <v>-11.450839790479288</v>
      </c>
      <c r="AH219" s="136">
        <f t="shared" si="191"/>
        <v>76.800356581396059</v>
      </c>
      <c r="AI219" s="136"/>
      <c r="AJ219" s="136" t="str">
        <f t="shared" si="163"/>
        <v>11265.0925470722-31616.5612395326j</v>
      </c>
      <c r="AK219" s="136" t="str">
        <f t="shared" si="164"/>
        <v>19046.6991329248-132.368192591404j</v>
      </c>
      <c r="AL219" s="136" t="str">
        <f t="shared" si="165"/>
        <v>10000-79178.5634238815j</v>
      </c>
      <c r="AM219" s="136" t="str">
        <f t="shared" si="166"/>
        <v>955.887160296738-24655.9165793405j</v>
      </c>
      <c r="AN219" s="136" t="str">
        <f t="shared" si="192"/>
        <v>10955.8871602967-24655.9165793405j</v>
      </c>
      <c r="AO219" s="136" t="str">
        <f t="shared" si="193"/>
        <v>11778.3756382482-5969.42892498627j</v>
      </c>
      <c r="AP219" s="136" t="str">
        <f t="shared" si="194"/>
        <v>0.301817705845879+0.311760550199054j</v>
      </c>
      <c r="AQ219" s="136" t="str">
        <f t="shared" si="167"/>
        <v>1+4.49055325305781j</v>
      </c>
      <c r="AR219" s="136" t="str">
        <f t="shared" si="168"/>
        <v>1+0.00896318014582397j</v>
      </c>
      <c r="AS219" s="136" t="str">
        <f t="shared" si="169"/>
        <v>0.0000140610448736373j</v>
      </c>
      <c r="AT219" s="136" t="str">
        <f t="shared" si="195"/>
        <v>-1.26031678240926E-07+0.0000140610448736373j</v>
      </c>
      <c r="AU219" s="179" t="str">
        <f t="shared" si="196"/>
        <v>318698.226016771-73975.0197531537j</v>
      </c>
      <c r="AV219" s="136" t="str">
        <f t="shared" si="170"/>
        <v>7606.50109037407-1730.0722196286j</v>
      </c>
      <c r="AW219" s="136"/>
      <c r="AX219" s="136" t="str">
        <f t="shared" si="171"/>
        <v>0.475406318148379-0.108129513726787j</v>
      </c>
      <c r="AY219" s="136"/>
      <c r="AZ219" s="136" t="str">
        <f t="shared" si="172"/>
        <v>7.40995492491841+5.19112742081925j</v>
      </c>
      <c r="BA219" s="136" t="str">
        <f t="shared" si="173"/>
        <v>4.08405347220789+1.66665995140193j</v>
      </c>
      <c r="BB219" s="136">
        <f t="shared" si="197"/>
        <v>12.890814179190567</v>
      </c>
      <c r="BC219" s="136">
        <f t="shared" si="198"/>
        <v>-157.80013708090061</v>
      </c>
      <c r="BD219" s="136" t="str">
        <f t="shared" si="174"/>
        <v>-1.63692999195121-0.839497808263677j</v>
      </c>
      <c r="BE219" s="136">
        <f t="shared" si="199"/>
        <v>5.2946838794389048</v>
      </c>
      <c r="BF219" s="136">
        <f t="shared" si="200"/>
        <v>27.150971210379595</v>
      </c>
      <c r="BG219" s="136"/>
      <c r="BH219" s="136" t="str">
        <f t="shared" si="175"/>
        <v>0.184646748905778-1.16578478517257j</v>
      </c>
      <c r="BI219" s="136">
        <f t="shared" si="201"/>
        <v>1.4399743887113039</v>
      </c>
      <c r="BJ219" s="136">
        <f t="shared" si="202"/>
        <v>99.000219500495447</v>
      </c>
      <c r="BK219" s="136"/>
      <c r="BL219" s="136">
        <f t="shared" si="203"/>
        <v>-0.4399743887113039</v>
      </c>
      <c r="BM219" s="136">
        <f t="shared" si="204"/>
        <v>-99.000219500495447</v>
      </c>
      <c r="BN219" s="136"/>
      <c r="BO219" s="189"/>
      <c r="BP219" s="189" t="str">
        <f t="shared" si="176"/>
        <v>0.00001+0.0000280659578316113j</v>
      </c>
      <c r="BQ219" s="189" t="str">
        <f t="shared" si="177"/>
        <v>2.97735105677729E-06+6.63025442299318E-07j</v>
      </c>
      <c r="BR219" s="189" t="str">
        <f t="shared" si="178"/>
        <v>-0.0804590597291699-0.0193495567284192j</v>
      </c>
      <c r="BS219" s="189" t="str">
        <f t="shared" si="179"/>
        <v>0.0000654773510567773+0.0000287289832739106j</v>
      </c>
      <c r="BT219" s="189" t="str">
        <f t="shared" si="205"/>
        <v>-4.71235300797673E-06-3.57846469989363E-06j</v>
      </c>
      <c r="BU219" s="189" t="str">
        <f t="shared" si="206"/>
        <v>-2.97735105677729E-06-6.63025442299318E-07j</v>
      </c>
      <c r="BV219" s="189" t="str">
        <f t="shared" si="207"/>
        <v>-7.68970406475402E-06-4.24149014219295E-06j</v>
      </c>
      <c r="BW219" s="189" t="str">
        <f t="shared" si="180"/>
        <v>0.998008710634954-0.0445794137658869j</v>
      </c>
      <c r="BX219" s="189" t="str">
        <f t="shared" si="208"/>
        <v>-0.00001-0.0000280659578316113j</v>
      </c>
      <c r="BY219" s="189" t="str">
        <f t="shared" si="209"/>
        <v>2.63581291580288+2.13070641127252j</v>
      </c>
      <c r="BZ219" s="136">
        <f t="shared" si="210"/>
        <v>10.602224824564647</v>
      </c>
      <c r="CA219" s="136">
        <f t="shared" si="211"/>
        <v>-141.04903983985773</v>
      </c>
      <c r="CB219" s="189" t="str">
        <f t="shared" si="181"/>
        <v>-1.01848451503306-0.980180369668761j</v>
      </c>
      <c r="CC219" s="136" t="str">
        <f t="shared" si="182"/>
        <v>0.394026112516655-0.816852704385566j</v>
      </c>
      <c r="CD219" s="136">
        <f t="shared" si="212"/>
        <v>-0.84861496591463181</v>
      </c>
      <c r="CE219" s="136">
        <f t="shared" si="213"/>
        <v>115.75131674153825</v>
      </c>
      <c r="CF219" s="136"/>
      <c r="CG219" s="136">
        <f t="shared" si="214"/>
        <v>1.8486149659146318</v>
      </c>
      <c r="CH219" s="136">
        <f t="shared" si="215"/>
        <v>-115.75131674153825</v>
      </c>
      <c r="CI219" s="77"/>
      <c r="CJ219" s="189"/>
      <c r="CK219" s="189"/>
      <c r="CL219" s="189"/>
      <c r="CM219" s="77"/>
      <c r="CN219" s="189">
        <v>131825.67385563999</v>
      </c>
      <c r="CO219" s="189">
        <v>-3.8507595375174399</v>
      </c>
      <c r="CP219" s="189">
        <v>81.962619774459995</v>
      </c>
      <c r="CQ219" s="74"/>
      <c r="CR219" s="75"/>
      <c r="CS219" s="75"/>
      <c r="CT219" s="75"/>
      <c r="CU219" s="74"/>
      <c r="CV219" s="75"/>
      <c r="CW219" s="75"/>
      <c r="CX219" s="75"/>
      <c r="CY219" s="74"/>
      <c r="CZ219" s="75"/>
      <c r="DA219" s="75"/>
      <c r="DB219" s="75"/>
      <c r="DC219" s="74"/>
      <c r="DD219" s="75"/>
      <c r="DE219" s="75"/>
      <c r="DF219" s="75"/>
      <c r="DG219" s="74"/>
      <c r="DH219" s="75"/>
      <c r="DI219" s="75"/>
      <c r="DJ219" s="75"/>
      <c r="DK219" s="74"/>
      <c r="DL219" s="75"/>
      <c r="DM219" s="75"/>
      <c r="DN219" s="75"/>
      <c r="DO219" s="76"/>
    </row>
    <row r="220" spans="1:119" x14ac:dyDescent="0.25">
      <c r="A220" s="136">
        <v>171</v>
      </c>
      <c r="B220" s="136">
        <f t="shared" si="144"/>
        <v>134896.28825916545</v>
      </c>
      <c r="C220" s="136" t="str">
        <f t="shared" si="151"/>
        <v>847578.37638305j</v>
      </c>
      <c r="D220" s="136">
        <f t="shared" si="145"/>
        <v>0.5450747853475042</v>
      </c>
      <c r="E220" s="136" t="str">
        <f t="shared" si="146"/>
        <v>-1.05947297047881j</v>
      </c>
      <c r="F220" s="136" t="str">
        <f t="shared" si="152"/>
        <v>0.545074785347504-1.05947297047881j</v>
      </c>
      <c r="G220" s="136">
        <f t="shared" si="153"/>
        <v>1.52162777446436</v>
      </c>
      <c r="H220" s="136">
        <f t="shared" si="154"/>
        <v>-62.775208444736563</v>
      </c>
      <c r="I220" s="136"/>
      <c r="J220" s="136">
        <f t="shared" si="147"/>
        <v>7.0726915520628681</v>
      </c>
      <c r="K220" s="136" t="str">
        <f t="shared" si="148"/>
        <v>1+62.211687774265j</v>
      </c>
      <c r="L220" s="136">
        <f t="shared" si="149"/>
        <v>-210.33150075471869</v>
      </c>
      <c r="M220" s="136" t="str">
        <f t="shared" si="150"/>
        <v>4.55292460857764j</v>
      </c>
      <c r="N220" s="136" t="str">
        <f t="shared" si="155"/>
        <v>-210.331500754719+4.55292460857764j</v>
      </c>
      <c r="O220" s="136" t="str">
        <f t="shared" si="156"/>
        <v>0.0152733973214888-0.861113656638686j</v>
      </c>
      <c r="P220" s="136" t="str">
        <f t="shared" si="157"/>
        <v>0.108024028206993-6.0903912846744j</v>
      </c>
      <c r="Q220" s="136"/>
      <c r="R220" s="136">
        <f t="shared" si="158"/>
        <v>11.787819253438114</v>
      </c>
      <c r="S220" s="136" t="str">
        <f t="shared" si="159"/>
        <v>1+0.019848322320127j</v>
      </c>
      <c r="T220" s="136" t="str">
        <f t="shared" si="160"/>
        <v>-25.6050596612714+1.61543861129438j</v>
      </c>
      <c r="U220" s="136" t="str">
        <f t="shared" si="183"/>
        <v>-0.038851230664847-0.00322631938863927j</v>
      </c>
      <c r="V220" s="136" t="str">
        <f t="shared" si="184"/>
        <v>-0.457971284850849-0.0380312698071427j</v>
      </c>
      <c r="W220" s="136"/>
      <c r="X220" s="136" t="str">
        <f t="shared" si="161"/>
        <v>-0.515927395883192-1.36366150096105j</v>
      </c>
      <c r="Y220" s="136">
        <f t="shared" si="185"/>
        <v>3.2751295735800676</v>
      </c>
      <c r="Z220" s="136">
        <f t="shared" si="186"/>
        <v>69.276375580017728</v>
      </c>
      <c r="AA220" s="136"/>
      <c r="AB220" s="136" t="str">
        <f t="shared" si="162"/>
        <v>-0.360023669015696-0.0298974144148636j</v>
      </c>
      <c r="AC220" s="136">
        <f t="shared" si="187"/>
        <v>-8.8435322328805039</v>
      </c>
      <c r="AD220" s="136">
        <f t="shared" si="188"/>
        <v>4.747116222428815</v>
      </c>
      <c r="AE220" s="136"/>
      <c r="AF220" s="136" t="str">
        <f t="shared" si="189"/>
        <v>-0.0637603072381872-0.241378854517519j</v>
      </c>
      <c r="AG220" s="136">
        <f t="shared" si="190"/>
        <v>-12.053089476482521</v>
      </c>
      <c r="AH220" s="136">
        <f t="shared" si="191"/>
        <v>75.203269905956688</v>
      </c>
      <c r="AI220" s="136"/>
      <c r="AJ220" s="136" t="str">
        <f t="shared" si="163"/>
        <v>9956.20961596216-29941.5238703583j</v>
      </c>
      <c r="AK220" s="136" t="str">
        <f t="shared" si="164"/>
        <v>19046.5628517886-141.834058916224j</v>
      </c>
      <c r="AL220" s="136" t="str">
        <f t="shared" si="165"/>
        <v>10000-73893.7348462651j</v>
      </c>
      <c r="AM220" s="136" t="str">
        <f t="shared" si="166"/>
        <v>954.822034092679-23021.6525799899j</v>
      </c>
      <c r="AN220" s="136" t="str">
        <f t="shared" si="192"/>
        <v>10954.8220340927-23021.6525799899j</v>
      </c>
      <c r="AO220" s="136" t="str">
        <f t="shared" si="193"/>
        <v>11384.0512636007-5877.82200789572j</v>
      </c>
      <c r="AP220" s="136" t="str">
        <f t="shared" si="194"/>
        <v>0.318794972588547+0.325782275402275j</v>
      </c>
      <c r="AQ220" s="136" t="str">
        <f t="shared" si="167"/>
        <v>1+4.81171450184898j</v>
      </c>
      <c r="AR220" s="136" t="str">
        <f t="shared" si="168"/>
        <v>1+0.00960422056257281j</v>
      </c>
      <c r="AS220" s="136" t="str">
        <f t="shared" si="169"/>
        <v>0.0000150666810339146j</v>
      </c>
      <c r="AT220" s="136" t="str">
        <f t="shared" si="195"/>
        <v>-1.44703727795648E-07+0.0000150666810339146j</v>
      </c>
      <c r="AU220" s="179" t="str">
        <f t="shared" si="196"/>
        <v>318694.43307557-69432.4297527095j</v>
      </c>
      <c r="AV220" s="136" t="str">
        <f t="shared" si="170"/>
        <v>7551.47135837755-1840.39430302963j</v>
      </c>
      <c r="AW220" s="136"/>
      <c r="AX220" s="136" t="str">
        <f t="shared" si="171"/>
        <v>0.471966959898597-0.115024643939352j</v>
      </c>
      <c r="AY220" s="136"/>
      <c r="AZ220" s="136" t="str">
        <f t="shared" si="172"/>
        <v>7.72471002797042+5.52519496601731j</v>
      </c>
      <c r="BA220" s="136" t="str">
        <f t="shared" si="173"/>
        <v>4.28134149166105+1.71917745045618j</v>
      </c>
      <c r="BB220" s="136">
        <f t="shared" si="197"/>
        <v>13.280829600552082</v>
      </c>
      <c r="BC220" s="136">
        <f t="shared" si="198"/>
        <v>-158.12201741783613</v>
      </c>
      <c r="BD220" s="136" t="str">
        <f t="shared" si="174"/>
        <v>-1.48998531144797-0.746945614230025j</v>
      </c>
      <c r="BE220" s="136">
        <f t="shared" si="199"/>
        <v>4.4372973676715954</v>
      </c>
      <c r="BF220" s="136">
        <f t="shared" si="200"/>
        <v>26.625098804592653</v>
      </c>
      <c r="BG220" s="136"/>
      <c r="BH220" s="136" t="str">
        <f t="shared" si="175"/>
        <v>0.141993434803554-1.14304058749352j</v>
      </c>
      <c r="BI220" s="136">
        <f t="shared" si="201"/>
        <v>1.2277401240695653</v>
      </c>
      <c r="BJ220" s="136">
        <f t="shared" si="202"/>
        <v>97.081252488120541</v>
      </c>
      <c r="BK220" s="136"/>
      <c r="BL220" s="136">
        <f t="shared" si="203"/>
        <v>-0.22774012406956534</v>
      </c>
      <c r="BM220" s="136">
        <f t="shared" si="204"/>
        <v>-97.081252488120541</v>
      </c>
      <c r="BN220" s="136"/>
      <c r="BO220" s="189"/>
      <c r="BP220" s="189" t="str">
        <f t="shared" si="176"/>
        <v>0.00001+0.0000300732156365561j</v>
      </c>
      <c r="BQ220" s="189" t="str">
        <f t="shared" si="177"/>
        <v>2.99561432476554E-06+6.22566929857211E-07j</v>
      </c>
      <c r="BR220" s="189" t="str">
        <f t="shared" si="178"/>
        <v>-0.081033020262957-0.018187449844622j</v>
      </c>
      <c r="BS220" s="189" t="str">
        <f t="shared" si="179"/>
        <v>0.0000654956143247655+0.0000306957825664133j</v>
      </c>
      <c r="BT220" s="189" t="str">
        <f t="shared" si="205"/>
        <v>-4.74902943684548E-06-3.67857017126587E-06j</v>
      </c>
      <c r="BU220" s="189" t="str">
        <f t="shared" si="206"/>
        <v>-2.99561432476554E-06-6.22566929857211E-07j</v>
      </c>
      <c r="BV220" s="189" t="str">
        <f t="shared" si="207"/>
        <v>-7.74464376161102E-06-4.30113710112308E-06j</v>
      </c>
      <c r="BW220" s="189" t="str">
        <f t="shared" si="180"/>
        <v>0.997714368203695-0.0477536143511294j</v>
      </c>
      <c r="BX220" s="189" t="str">
        <f t="shared" si="208"/>
        <v>-0.00001-0.0000300732156365561j</v>
      </c>
      <c r="BY220" s="189" t="str">
        <f t="shared" si="209"/>
        <v>2.7445582308278+2.28831983857138j</v>
      </c>
      <c r="BZ220" s="136">
        <f t="shared" si="210"/>
        <v>11.061571442988781</v>
      </c>
      <c r="CA220" s="136">
        <f t="shared" si="211"/>
        <v>-140.17979570593059</v>
      </c>
      <c r="CB220" s="189" t="str">
        <f t="shared" si="181"/>
        <v>-0.91969107756233-0.905904498976658j</v>
      </c>
      <c r="CC220" s="136" t="str">
        <f t="shared" si="182"/>
        <v>0.377358145373399-0.808382297880394j</v>
      </c>
      <c r="CD220" s="136">
        <f t="shared" si="212"/>
        <v>-0.99151803349372747</v>
      </c>
      <c r="CE220" s="136">
        <f t="shared" si="213"/>
        <v>115.02347420002617</v>
      </c>
      <c r="CF220" s="136"/>
      <c r="CG220" s="136">
        <f t="shared" si="214"/>
        <v>1.9915180334937275</v>
      </c>
      <c r="CH220" s="136">
        <f t="shared" si="215"/>
        <v>-115.02347420002617</v>
      </c>
      <c r="CI220" s="77"/>
      <c r="CJ220" s="189"/>
      <c r="CK220" s="189"/>
      <c r="CL220" s="189"/>
      <c r="CM220" s="77"/>
      <c r="CN220" s="189">
        <v>138038.426460288</v>
      </c>
      <c r="CO220" s="189">
        <v>-4.0326228986719403</v>
      </c>
      <c r="CP220" s="189">
        <v>79.048375852097706</v>
      </c>
      <c r="CQ220" s="74"/>
      <c r="CR220" s="75"/>
      <c r="CS220" s="75"/>
      <c r="CT220" s="75"/>
      <c r="CU220" s="74"/>
      <c r="CV220" s="75"/>
      <c r="CW220" s="75"/>
      <c r="CX220" s="75"/>
      <c r="CY220" s="74"/>
      <c r="CZ220" s="75"/>
      <c r="DA220" s="75"/>
      <c r="DB220" s="75"/>
      <c r="DC220" s="74"/>
      <c r="DD220" s="75"/>
      <c r="DE220" s="75"/>
      <c r="DF220" s="75"/>
      <c r="DG220" s="74"/>
      <c r="DH220" s="75"/>
      <c r="DI220" s="75"/>
      <c r="DJ220" s="75"/>
      <c r="DK220" s="74"/>
      <c r="DL220" s="75"/>
      <c r="DM220" s="75"/>
      <c r="DN220" s="75"/>
      <c r="DO220" s="76"/>
    </row>
    <row r="221" spans="1:119" x14ac:dyDescent="0.25">
      <c r="A221" s="136">
        <v>172</v>
      </c>
      <c r="B221" s="136">
        <f t="shared" si="144"/>
        <v>144543.97707459307</v>
      </c>
      <c r="C221" s="136" t="str">
        <f t="shared" si="151"/>
        <v>908196.592996386j</v>
      </c>
      <c r="D221" s="136">
        <f t="shared" si="145"/>
        <v>0.47767596728648798</v>
      </c>
      <c r="E221" s="136" t="str">
        <f t="shared" si="146"/>
        <v>-1.13524574124548j</v>
      </c>
      <c r="F221" s="136" t="str">
        <f t="shared" si="152"/>
        <v>0.477675967286488-1.13524574124548j</v>
      </c>
      <c r="G221" s="136">
        <f t="shared" si="153"/>
        <v>1.8097333412205776</v>
      </c>
      <c r="H221" s="136">
        <f t="shared" si="154"/>
        <v>-67.180161555760904</v>
      </c>
      <c r="I221" s="136"/>
      <c r="J221" s="136">
        <f t="shared" si="147"/>
        <v>7.0726915520628681</v>
      </c>
      <c r="K221" s="136" t="str">
        <f t="shared" si="148"/>
        <v>1+66.6610244615394j</v>
      </c>
      <c r="L221" s="136">
        <f t="shared" si="149"/>
        <v>-241.64102792790246</v>
      </c>
      <c r="M221" s="136" t="str">
        <f t="shared" si="150"/>
        <v>4.87854661338232j</v>
      </c>
      <c r="N221" s="136" t="str">
        <f t="shared" si="155"/>
        <v>-241.641027927902+4.87854661338232j</v>
      </c>
      <c r="O221" s="136" t="str">
        <f t="shared" si="156"/>
        <v>0.0130075750392033-0.799741147671507j</v>
      </c>
      <c r="P221" s="136" t="str">
        <f t="shared" si="157"/>
        <v>0.091998566092597-5.65632245897333j</v>
      </c>
      <c r="Q221" s="136"/>
      <c r="R221" s="136">
        <f t="shared" si="158"/>
        <v>11.787819253438114</v>
      </c>
      <c r="S221" s="136" t="str">
        <f t="shared" si="159"/>
        <v>1+0.0212678605425946j</v>
      </c>
      <c r="T221" s="136" t="str">
        <f t="shared" si="160"/>
        <v>-29.5466956002295+1.73097365842816j</v>
      </c>
      <c r="U221" s="136" t="str">
        <f t="shared" si="183"/>
        <v>-0.0336869450946125-0.00269333248668479j</v>
      </c>
      <c r="V221" s="136" t="str">
        <f t="shared" si="184"/>
        <v>-0.397095619975786-0.0317485165424533j</v>
      </c>
      <c r="W221" s="136"/>
      <c r="X221" s="136" t="str">
        <f t="shared" si="161"/>
        <v>-0.517056240464795-1.25499819368389j</v>
      </c>
      <c r="Y221" s="136">
        <f t="shared" si="185"/>
        <v>2.6537629266648373</v>
      </c>
      <c r="Z221" s="136">
        <f t="shared" si="186"/>
        <v>67.608456627331449</v>
      </c>
      <c r="AA221" s="136"/>
      <c r="AB221" s="136" t="str">
        <f t="shared" si="162"/>
        <v>-0.312167655009866-0.0249583713859748j</v>
      </c>
      <c r="AC221" s="136">
        <f t="shared" si="187"/>
        <v>-10.084568936837108</v>
      </c>
      <c r="AD221" s="136">
        <f t="shared" si="188"/>
        <v>4.5711781519156602</v>
      </c>
      <c r="AE221" s="136"/>
      <c r="AF221" s="136" t="str">
        <f t="shared" si="189"/>
        <v>-0.0660508062161178-0.223322098586316j</v>
      </c>
      <c r="AG221" s="136">
        <f t="shared" si="190"/>
        <v>-12.657166021909305</v>
      </c>
      <c r="AH221" s="136">
        <f t="shared" si="191"/>
        <v>73.523639726266524</v>
      </c>
      <c r="AI221" s="136"/>
      <c r="AJ221" s="136" t="str">
        <f t="shared" si="163"/>
        <v>8784.3498013424-28306.7161412605j</v>
      </c>
      <c r="AK221" s="136" t="str">
        <f t="shared" si="164"/>
        <v>19046.4063825135-151.976683756175j</v>
      </c>
      <c r="AL221" s="136" t="str">
        <f t="shared" si="165"/>
        <v>10000-68961.6458472291j</v>
      </c>
      <c r="AM221" s="136" t="str">
        <f t="shared" si="166"/>
        <v>953.602029100858-21497.2556467954j</v>
      </c>
      <c r="AN221" s="136" t="str">
        <f t="shared" si="192"/>
        <v>10953.6020291009-21497.2556467954j</v>
      </c>
      <c r="AO221" s="136" t="str">
        <f t="shared" si="193"/>
        <v>11003.9628271423-5762.75876645182j</v>
      </c>
      <c r="AP221" s="136" t="str">
        <f t="shared" si="194"/>
        <v>0.337278905255253+0.339428077873814j</v>
      </c>
      <c r="AQ221" s="136" t="str">
        <f t="shared" si="167"/>
        <v>1+5.15584498002294j</v>
      </c>
      <c r="AR221" s="136" t="str">
        <f t="shared" si="168"/>
        <v>1+0.0102911077445568j</v>
      </c>
      <c r="AS221" s="136" t="str">
        <f t="shared" si="169"/>
        <v>0.0000161442395936968j</v>
      </c>
      <c r="AT221" s="136" t="str">
        <f t="shared" si="195"/>
        <v>-1.66142109112674E-07+0.0000161442395936968j</v>
      </c>
      <c r="AU221" s="179" t="str">
        <f t="shared" si="196"/>
        <v>318690.078307728-65221.2719993595j</v>
      </c>
      <c r="AV221" s="136" t="str">
        <f t="shared" si="170"/>
        <v>7489.26260124071-1955.77260937537j</v>
      </c>
      <c r="AW221" s="136"/>
      <c r="AX221" s="136" t="str">
        <f t="shared" si="171"/>
        <v>0.468078912577544-0.122235788085961j</v>
      </c>
      <c r="AY221" s="136"/>
      <c r="AZ221" s="136" t="str">
        <f t="shared" si="172"/>
        <v>8.07080571702594+5.85242253805139j</v>
      </c>
      <c r="BA221" s="136" t="str">
        <f t="shared" si="173"/>
        <v>4.49314944480088+1.75285428024606j</v>
      </c>
      <c r="BB221" s="136">
        <f t="shared" si="197"/>
        <v>13.666263286738117</v>
      </c>
      <c r="BC221" s="136">
        <f t="shared" si="198"/>
        <v>-158.68839471382088</v>
      </c>
      <c r="BD221" s="136" t="str">
        <f t="shared" si="174"/>
        <v>-1.3588675376805-0.659326102774447j</v>
      </c>
      <c r="BE221" s="136">
        <f t="shared" si="199"/>
        <v>3.5816943499010341</v>
      </c>
      <c r="BF221" s="136">
        <f t="shared" si="200"/>
        <v>25.882783438094748</v>
      </c>
      <c r="BG221" s="136"/>
      <c r="BH221" s="136" t="str">
        <f t="shared" si="175"/>
        <v>0.0946749531019565-1.1191970016645j</v>
      </c>
      <c r="BI221" s="136">
        <f t="shared" si="201"/>
        <v>1.0090972648288274</v>
      </c>
      <c r="BJ221" s="136">
        <f t="shared" si="202"/>
        <v>94.835245012445625</v>
      </c>
      <c r="BK221" s="136"/>
      <c r="BL221" s="136">
        <f t="shared" si="203"/>
        <v>-9.0972648288274449E-3</v>
      </c>
      <c r="BM221" s="136">
        <f t="shared" si="204"/>
        <v>-94.835245012445625</v>
      </c>
      <c r="BN221" s="136"/>
      <c r="BO221" s="189"/>
      <c r="BP221" s="189" t="str">
        <f t="shared" si="176"/>
        <v>0.00001+0.0000322240311251434j</v>
      </c>
      <c r="BQ221" s="189" t="str">
        <f t="shared" si="177"/>
        <v>0.0000030117045011484+5.84134029013223E-07j</v>
      </c>
      <c r="BR221" s="189" t="str">
        <f t="shared" si="178"/>
        <v>-0.0815396627998499-0.0170801090520241j</v>
      </c>
      <c r="BS221" s="189" t="str">
        <f t="shared" si="179"/>
        <v>0.0000655117045011484+0.0000328081651541566j</v>
      </c>
      <c r="BT221" s="189" t="str">
        <f t="shared" si="205"/>
        <v>-4.78143525583724E-06-3.79411378081531E-06j</v>
      </c>
      <c r="BU221" s="189" t="str">
        <f t="shared" si="206"/>
        <v>-0.0000030117045011484-5.84134029013223E-07j</v>
      </c>
      <c r="BV221" s="189" t="str">
        <f t="shared" si="207"/>
        <v>-7.79313975698564E-06-4.37824780982853E-06j</v>
      </c>
      <c r="BW221" s="189" t="str">
        <f t="shared" si="180"/>
        <v>0.997376631912707-0.0511515984810979j</v>
      </c>
      <c r="BX221" s="189" t="str">
        <f t="shared" si="208"/>
        <v>-0.00001-0.0000322240311251434j</v>
      </c>
      <c r="BY221" s="189" t="str">
        <f t="shared" si="209"/>
        <v>2.86660372028179+2.44795791944629j</v>
      </c>
      <c r="BZ221" s="136">
        <f t="shared" si="210"/>
        <v>11.525914759582305</v>
      </c>
      <c r="CA221" s="136">
        <f t="shared" si="211"/>
        <v>-139.50407931022039</v>
      </c>
      <c r="CB221" s="189" t="str">
        <f t="shared" si="181"/>
        <v>-0.833763918312147-0.83571904354359j</v>
      </c>
      <c r="CC221" s="136" t="str">
        <f t="shared" si="182"/>
        <v>0.357341612995004-0.801865552791231j</v>
      </c>
      <c r="CD221" s="136">
        <f t="shared" si="212"/>
        <v>-1.1312512623269673</v>
      </c>
      <c r="CE221" s="136">
        <f t="shared" si="213"/>
        <v>114.01956041604615</v>
      </c>
      <c r="CF221" s="136"/>
      <c r="CG221" s="136">
        <f t="shared" si="214"/>
        <v>2.131251262326967</v>
      </c>
      <c r="CH221" s="136">
        <f t="shared" si="215"/>
        <v>-114.01956041604615</v>
      </c>
      <c r="CI221" s="77"/>
      <c r="CJ221" s="189"/>
      <c r="CK221" s="189"/>
      <c r="CL221" s="189"/>
      <c r="CM221" s="77"/>
      <c r="CN221" s="189">
        <v>144543.977074592</v>
      </c>
      <c r="CO221" s="189">
        <v>-4.22471619252119</v>
      </c>
      <c r="CP221" s="189">
        <v>75.935833381428594</v>
      </c>
      <c r="CQ221" s="74"/>
      <c r="CR221" s="75"/>
      <c r="CS221" s="75"/>
      <c r="CT221" s="75"/>
      <c r="CU221" s="74"/>
      <c r="CV221" s="75"/>
      <c r="CW221" s="75"/>
      <c r="CX221" s="75"/>
      <c r="CY221" s="74"/>
      <c r="CZ221" s="75"/>
      <c r="DA221" s="75"/>
      <c r="DB221" s="75"/>
      <c r="DC221" s="74"/>
      <c r="DD221" s="75"/>
      <c r="DE221" s="75"/>
      <c r="DF221" s="75"/>
      <c r="DG221" s="74"/>
      <c r="DH221" s="75"/>
      <c r="DI221" s="75"/>
      <c r="DJ221" s="75"/>
      <c r="DK221" s="74"/>
      <c r="DL221" s="75"/>
      <c r="DM221" s="75"/>
      <c r="DN221" s="75"/>
      <c r="DO221" s="76"/>
    </row>
    <row r="222" spans="1:119" x14ac:dyDescent="0.25">
      <c r="A222" s="136">
        <v>173</v>
      </c>
      <c r="B222" s="136">
        <f t="shared" si="144"/>
        <v>154881.66189124816</v>
      </c>
      <c r="C222" s="136" t="str">
        <f t="shared" si="151"/>
        <v>973150.182346647j</v>
      </c>
      <c r="D222" s="136">
        <f t="shared" si="145"/>
        <v>0.40029177024512719</v>
      </c>
      <c r="E222" s="136" t="str">
        <f t="shared" si="146"/>
        <v>-1.21643772793331j</v>
      </c>
      <c r="F222" s="136" t="str">
        <f t="shared" si="152"/>
        <v>0.400291770245127-1.21643772793331j</v>
      </c>
      <c r="G222" s="136">
        <f t="shared" si="153"/>
        <v>2.1483173192740161</v>
      </c>
      <c r="H222" s="136">
        <f t="shared" si="154"/>
        <v>-71.785234737005382</v>
      </c>
      <c r="I222" s="136"/>
      <c r="J222" s="136">
        <f t="shared" si="147"/>
        <v>7.0726915520628681</v>
      </c>
      <c r="K222" s="136" t="str">
        <f t="shared" si="148"/>
        <v>1+71.4285746174557j</v>
      </c>
      <c r="L222" s="136">
        <f t="shared" si="149"/>
        <v>-277.58917493914646</v>
      </c>
      <c r="M222" s="136" t="str">
        <f t="shared" si="150"/>
        <v>5.22745687774069j</v>
      </c>
      <c r="N222" s="136" t="str">
        <f t="shared" si="155"/>
        <v>-277.589174939146+5.22745687774069j</v>
      </c>
      <c r="O222" s="136" t="str">
        <f t="shared" si="156"/>
        <v>0.0111088249014108-0.74321988609483j</v>
      </c>
      <c r="P222" s="136" t="str">
        <f t="shared" si="157"/>
        <v>0.0785692920335538-5.25656500970803j</v>
      </c>
      <c r="Q222" s="136"/>
      <c r="R222" s="136">
        <f t="shared" si="158"/>
        <v>11.787819253438114</v>
      </c>
      <c r="S222" s="136" t="str">
        <f t="shared" si="159"/>
        <v>1+0.0227889231524913j</v>
      </c>
      <c r="T222" s="136" t="str">
        <f t="shared" si="160"/>
        <v>-34.0722991781664+1.85477169186354j</v>
      </c>
      <c r="U222" s="136" t="str">
        <f t="shared" si="183"/>
        <v>-0.0292263387633808-0.00225981547488184j</v>
      </c>
      <c r="V222" s="136" t="str">
        <f t="shared" si="184"/>
        <v>-0.344514798782485-0.0266382963640295j</v>
      </c>
      <c r="W222" s="136"/>
      <c r="X222" s="136" t="str">
        <f t="shared" si="161"/>
        <v>-0.517933635805679-1.15410036976012j</v>
      </c>
      <c r="Y222" s="136">
        <f t="shared" si="185"/>
        <v>2.0417505708999868</v>
      </c>
      <c r="Z222" s="136">
        <f t="shared" si="186"/>
        <v>65.830556611763313</v>
      </c>
      <c r="AA222" s="136"/>
      <c r="AB222" s="136" t="str">
        <f t="shared" si="162"/>
        <v>-0.270832442973514-0.0209410884711446j</v>
      </c>
      <c r="AC222" s="136">
        <f t="shared" si="187"/>
        <v>-11.320098975416625</v>
      </c>
      <c r="AD222" s="136">
        <f t="shared" si="188"/>
        <v>4.4213810402855813</v>
      </c>
      <c r="AE222" s="136"/>
      <c r="AF222" s="136" t="str">
        <f t="shared" si="189"/>
        <v>-0.0680104002108697-0.20626188402135j</v>
      </c>
      <c r="AG222" s="136">
        <f t="shared" si="190"/>
        <v>-13.263398382410848</v>
      </c>
      <c r="AH222" s="136">
        <f t="shared" si="191"/>
        <v>71.751144696044562</v>
      </c>
      <c r="AI222" s="136"/>
      <c r="AJ222" s="136" t="str">
        <f t="shared" si="163"/>
        <v>7738.56555347317-26720.2387437297j</v>
      </c>
      <c r="AK222" s="136" t="str">
        <f t="shared" si="164"/>
        <v>19046.226734919-162.844414611571j</v>
      </c>
      <c r="AL222" s="136" t="str">
        <f t="shared" si="165"/>
        <v>10000-64358.7525769654j</v>
      </c>
      <c r="AM222" s="136" t="str">
        <f t="shared" si="166"/>
        <v>952.205115051587-20075.4423163262j</v>
      </c>
      <c r="AN222" s="136" t="str">
        <f t="shared" si="192"/>
        <v>10952.2051150516-20075.4423163262j</v>
      </c>
      <c r="AO222" s="136" t="str">
        <f t="shared" si="193"/>
        <v>10640.7374103035-5626.78201637495j</v>
      </c>
      <c r="AP222" s="136" t="str">
        <f t="shared" si="194"/>
        <v>0.357279329727141+0.35251068649472j</v>
      </c>
      <c r="AQ222" s="136" t="str">
        <f t="shared" si="167"/>
        <v>1+5.52458743090698j</v>
      </c>
      <c r="AR222" s="136" t="str">
        <f t="shared" si="168"/>
        <v>1+0.0110271206205728j</v>
      </c>
      <c r="AS222" s="136" t="str">
        <f t="shared" si="169"/>
        <v>0.0000172988643930275j</v>
      </c>
      <c r="AT222" s="136" t="str">
        <f t="shared" si="195"/>
        <v>-1.90756664260846E-07+0.0000172988643930275j</v>
      </c>
      <c r="AU222" s="179" t="str">
        <f t="shared" si="196"/>
        <v>318685.078512021-61321.4415944102j</v>
      </c>
      <c r="AV222" s="136" t="str">
        <f t="shared" si="170"/>
        <v>7419.08951838131-2076.01225075747j</v>
      </c>
      <c r="AW222" s="136"/>
      <c r="AX222" s="136" t="str">
        <f t="shared" si="171"/>
        <v>0.463693094898832-0.129750765672342j</v>
      </c>
      <c r="AY222" s="136"/>
      <c r="AZ222" s="136" t="str">
        <f t="shared" si="172"/>
        <v>8.44935711114849+6.16943739559892j</v>
      </c>
      <c r="BA222" s="136" t="str">
        <f t="shared" si="173"/>
        <v>4.71839777462044+1.76441496513929j</v>
      </c>
      <c r="BB222" s="136">
        <f t="shared" si="197"/>
        <v>14.044306570286416</v>
      </c>
      <c r="BC222" s="136">
        <f t="shared" si="198"/>
        <v>-159.4970348414692</v>
      </c>
      <c r="BD222" s="136" t="str">
        <f t="shared" si="174"/>
        <v>-1.24094642633645-0.57666920066808j</v>
      </c>
      <c r="BE222" s="136">
        <f t="shared" si="199"/>
        <v>2.7242075948697755</v>
      </c>
      <c r="BF222" s="136">
        <f t="shared" si="200"/>
        <v>24.924346198816465</v>
      </c>
      <c r="BG222" s="136"/>
      <c r="BH222" s="136" t="str">
        <f t="shared" si="175"/>
        <v>0.0430314338990829-1.09322418247253j</v>
      </c>
      <c r="BI222" s="136">
        <f t="shared" si="201"/>
        <v>0.78090818787558081</v>
      </c>
      <c r="BJ222" s="136">
        <f t="shared" si="202"/>
        <v>92.254109854575447</v>
      </c>
      <c r="BK222" s="136"/>
      <c r="BL222" s="136">
        <f t="shared" si="203"/>
        <v>0.21909181212441919</v>
      </c>
      <c r="BM222" s="136">
        <f t="shared" si="204"/>
        <v>-92.254109854575447</v>
      </c>
      <c r="BN222" s="136"/>
      <c r="BO222" s="189"/>
      <c r="BP222" s="189" t="str">
        <f t="shared" si="176"/>
        <v>0.00001+0.0000345286714431686j</v>
      </c>
      <c r="BQ222" s="189" t="str">
        <f t="shared" si="177"/>
        <v>3.02585995276718E-06+5.47707858841944E-07j</v>
      </c>
      <c r="BR222" s="189" t="str">
        <f t="shared" si="178"/>
        <v>-0.0819861432326357-0.016027751099811j</v>
      </c>
      <c r="BS222" s="189" t="str">
        <f t="shared" si="179"/>
        <v>0.0000655258599527672+0.0000350763793020105j</v>
      </c>
      <c r="BT222" s="189" t="str">
        <f t="shared" si="205"/>
        <v>-4.81001706259401E-06-3.92600923146092E-06j</v>
      </c>
      <c r="BU222" s="189" t="str">
        <f t="shared" si="206"/>
        <v>-3.02585995276718E-06-5.47707858841944E-07j</v>
      </c>
      <c r="BV222" s="189" t="str">
        <f t="shared" si="207"/>
        <v>-7.83587701536119E-06-4.47371709030286E-06j</v>
      </c>
      <c r="BW222" s="189" t="str">
        <f t="shared" si="180"/>
        <v>0.99698914063512-0.0547886310356882j</v>
      </c>
      <c r="BX222" s="189" t="str">
        <f t="shared" si="208"/>
        <v>-0.00001-0.0000345286714431686j</v>
      </c>
      <c r="BY222" s="189" t="str">
        <f t="shared" si="209"/>
        <v>3.0031514452591+2.60871554945845j</v>
      </c>
      <c r="BZ222" s="136">
        <f t="shared" si="210"/>
        <v>11.993249309959538</v>
      </c>
      <c r="CA222" s="136">
        <f t="shared" si="211"/>
        <v>-139.02048146152691</v>
      </c>
      <c r="CB222" s="189" t="str">
        <f t="shared" si="181"/>
        <v>-0.758721499421702-0.769414065390242j</v>
      </c>
      <c r="CC222" s="136" t="str">
        <f t="shared" si="182"/>
        <v>0.333833052421169-0.796855463655572j</v>
      </c>
      <c r="CD222" s="136">
        <f t="shared" si="212"/>
        <v>-1.2701490724512925</v>
      </c>
      <c r="CE222" s="136">
        <f t="shared" si="213"/>
        <v>112.73066323451766</v>
      </c>
      <c r="CF222" s="136"/>
      <c r="CG222" s="136">
        <f t="shared" si="214"/>
        <v>2.2701490724512925</v>
      </c>
      <c r="CH222" s="136">
        <f t="shared" si="215"/>
        <v>-112.73066323451766</v>
      </c>
      <c r="CI222" s="77"/>
      <c r="CJ222" s="189"/>
      <c r="CK222" s="189"/>
      <c r="CL222" s="189"/>
      <c r="CM222" s="77"/>
      <c r="CN222" s="189">
        <v>151356.12484362</v>
      </c>
      <c r="CO222" s="189">
        <v>-4.4278784992751898</v>
      </c>
      <c r="CP222" s="189">
        <v>72.614594555146795</v>
      </c>
      <c r="CQ222" s="74"/>
      <c r="CR222" s="75"/>
      <c r="CS222" s="75"/>
      <c r="CT222" s="75"/>
      <c r="CU222" s="74"/>
      <c r="CV222" s="75"/>
      <c r="CW222" s="75"/>
      <c r="CX222" s="75"/>
      <c r="CY222" s="74"/>
      <c r="CZ222" s="75"/>
      <c r="DA222" s="75"/>
      <c r="DB222" s="75"/>
      <c r="DC222" s="74"/>
      <c r="DD222" s="75"/>
      <c r="DE222" s="75"/>
      <c r="DF222" s="75"/>
      <c r="DG222" s="74"/>
      <c r="DH222" s="75"/>
      <c r="DI222" s="75"/>
      <c r="DJ222" s="75"/>
      <c r="DK222" s="74"/>
      <c r="DL222" s="75"/>
      <c r="DM222" s="75"/>
      <c r="DN222" s="75"/>
      <c r="DO222" s="76"/>
    </row>
    <row r="223" spans="1:119" x14ac:dyDescent="0.25">
      <c r="A223" s="136">
        <v>174</v>
      </c>
      <c r="B223" s="136">
        <f t="shared" si="144"/>
        <v>165958.69074375604</v>
      </c>
      <c r="C223" s="136" t="str">
        <f t="shared" si="151"/>
        <v>1042749.20727993j</v>
      </c>
      <c r="D223" s="136">
        <f t="shared" si="145"/>
        <v>0.31144282416545832</v>
      </c>
      <c r="E223" s="136" t="str">
        <f t="shared" si="146"/>
        <v>-1.30343650909991j</v>
      </c>
      <c r="F223" s="136" t="str">
        <f t="shared" si="152"/>
        <v>0.311442824165458-1.30343650909991j</v>
      </c>
      <c r="G223" s="136">
        <f t="shared" si="153"/>
        <v>2.5429263732530845</v>
      </c>
      <c r="H223" s="136">
        <f t="shared" si="154"/>
        <v>-76.561718597304434</v>
      </c>
      <c r="I223" s="136"/>
      <c r="J223" s="136">
        <f t="shared" si="147"/>
        <v>7.0726915520628681</v>
      </c>
      <c r="K223" s="136" t="str">
        <f t="shared" si="148"/>
        <v>1+76.5370966482087j</v>
      </c>
      <c r="L223" s="136">
        <f t="shared" si="149"/>
        <v>-318.86317011620952</v>
      </c>
      <c r="M223" s="136" t="str">
        <f t="shared" si="150"/>
        <v>5.60132096179626j</v>
      </c>
      <c r="N223" s="136" t="str">
        <f t="shared" si="155"/>
        <v>-318.86317011621+5.60132096179626j</v>
      </c>
      <c r="O223" s="136" t="str">
        <f t="shared" si="156"/>
        <v>0.0095105278235987-0.691077150624148j</v>
      </c>
      <c r="P223" s="136" t="str">
        <f t="shared" si="157"/>
        <v>0.0672650297936254-4.88777552504309j</v>
      </c>
      <c r="Q223" s="136"/>
      <c r="R223" s="136">
        <f t="shared" si="158"/>
        <v>11.787819253438114</v>
      </c>
      <c r="S223" s="136" t="str">
        <f t="shared" si="159"/>
        <v>1+0.0244187711034707j</v>
      </c>
      <c r="T223" s="136" t="str">
        <f t="shared" si="160"/>
        <v>-39.2683873156338+1.98742367464j</v>
      </c>
      <c r="U223" s="136" t="str">
        <f t="shared" si="183"/>
        <v>-0.0253693212845882-0.00190581701847008j</v>
      </c>
      <c r="V223" s="136" t="str">
        <f t="shared" si="184"/>
        <v>-0.299048973885126-0.0224654265438516j</v>
      </c>
      <c r="W223" s="136"/>
      <c r="X223" s="136" t="str">
        <f t="shared" si="161"/>
        <v>-0.518619461271176-1.0601375454797j</v>
      </c>
      <c r="Y223" s="136">
        <f t="shared" si="185"/>
        <v>1.439067684047294</v>
      </c>
      <c r="Z223" s="136">
        <f t="shared" si="186"/>
        <v>63.93211212254306</v>
      </c>
      <c r="AA223" s="136"/>
      <c r="AB223" s="136" t="str">
        <f t="shared" si="162"/>
        <v>-0.235090522822989-0.0176606821385192j</v>
      </c>
      <c r="AC223" s="136">
        <f t="shared" si="187"/>
        <v>-12.550857269586217</v>
      </c>
      <c r="AD223" s="136">
        <f t="shared" si="188"/>
        <v>4.2961556012502911</v>
      </c>
      <c r="AE223" s="136"/>
      <c r="AF223" s="136" t="str">
        <f t="shared" si="189"/>
        <v>-0.0696694731861621-0.190119664327595j</v>
      </c>
      <c r="AG223" s="136">
        <f t="shared" si="190"/>
        <v>-13.872233223537052</v>
      </c>
      <c r="AH223" s="136">
        <f t="shared" si="191"/>
        <v>69.874607749208892</v>
      </c>
      <c r="AI223" s="136"/>
      <c r="AJ223" s="136" t="str">
        <f t="shared" si="163"/>
        <v>6807.99048187487-25188.2971593196j</v>
      </c>
      <c r="AK223" s="136" t="str">
        <f t="shared" si="164"/>
        <v>19046.020476062-174.489044377508j</v>
      </c>
      <c r="AL223" s="136" t="str">
        <f t="shared" si="165"/>
        <v>10000-60063.0826363826j</v>
      </c>
      <c r="AM223" s="136" t="str">
        <f t="shared" si="166"/>
        <v>950.606281701782-18749.4173567569j</v>
      </c>
      <c r="AN223" s="136" t="str">
        <f t="shared" si="192"/>
        <v>10950.6062817018-18749.4173567569j</v>
      </c>
      <c r="AO223" s="136" t="str">
        <f t="shared" si="193"/>
        <v>10296.4642927113-5472.72273326844j</v>
      </c>
      <c r="AP223" s="136" t="str">
        <f t="shared" si="194"/>
        <v>0.378776583737895+0.364830837400023j</v>
      </c>
      <c r="AQ223" s="136" t="str">
        <f t="shared" si="167"/>
        <v>1+5.91970208568986j</v>
      </c>
      <c r="AR223" s="136" t="str">
        <f t="shared" si="168"/>
        <v>1+0.0118157726261275j</v>
      </c>
      <c r="AS223" s="136" t="str">
        <f t="shared" si="169"/>
        <v>0.0000185360671558164j</v>
      </c>
      <c r="AT223" s="136" t="str">
        <f t="shared" si="195"/>
        <v>-2.19017954895756E-07+0.0000185360671558164j</v>
      </c>
      <c r="AU223" s="179" t="str">
        <f t="shared" si="196"/>
        <v>318679.338171934-57714.3192199895j</v>
      </c>
      <c r="AV223" s="136" t="str">
        <f t="shared" si="170"/>
        <v>7340.12446705597-2200.81088341867j</v>
      </c>
      <c r="AW223" s="136"/>
      <c r="AX223" s="136" t="str">
        <f t="shared" si="171"/>
        <v>0.458757779190998-0.137550680213667j</v>
      </c>
      <c r="AY223" s="136"/>
      <c r="AZ223" s="136" t="str">
        <f t="shared" si="172"/>
        <v>8.86102129387316+6.47244582787733j</v>
      </c>
      <c r="BA223" s="136" t="str">
        <f t="shared" si="173"/>
        <v>4.95535177641203+1.750445367571j</v>
      </c>
      <c r="BB223" s="136">
        <f t="shared" si="197"/>
        <v>14.412169162540549</v>
      </c>
      <c r="BC223" s="136">
        <f t="shared" si="198"/>
        <v>-160.54456799964152</v>
      </c>
      <c r="BD223" s="136" t="str">
        <f t="shared" si="174"/>
        <v>-1.13404218065102-0.499028009243105j</v>
      </c>
      <c r="BE223" s="136">
        <f t="shared" si="199"/>
        <v>1.8613118929543506</v>
      </c>
      <c r="BF223" s="136">
        <f t="shared" si="200"/>
        <v>23.751587601608719</v>
      </c>
      <c r="BG223" s="136"/>
      <c r="BH223" s="136" t="str">
        <f t="shared" si="175"/>
        <v>-0.0124426620083476-1.06406242295644j</v>
      </c>
      <c r="BI223" s="136">
        <f t="shared" si="201"/>
        <v>0.53993593900352876</v>
      </c>
      <c r="BJ223" s="136">
        <f t="shared" si="202"/>
        <v>89.330039749567334</v>
      </c>
      <c r="BK223" s="136"/>
      <c r="BL223" s="136">
        <f t="shared" si="203"/>
        <v>0.46006406099647124</v>
      </c>
      <c r="BM223" s="136">
        <f t="shared" si="204"/>
        <v>-89.330039749567334</v>
      </c>
      <c r="BN223" s="136"/>
      <c r="BO223" s="189"/>
      <c r="BP223" s="189" t="str">
        <f t="shared" si="176"/>
        <v>0.00001+0.0000369981380355616j</v>
      </c>
      <c r="BQ223" s="189" t="str">
        <f t="shared" si="177"/>
        <v>3.03829769913773E-06+5.13251791248488E-07j</v>
      </c>
      <c r="BR223" s="189" t="str">
        <f t="shared" si="178"/>
        <v>-0.0823790320525746-0.0150299618910633j</v>
      </c>
      <c r="BS223" s="189" t="str">
        <f t="shared" si="179"/>
        <v>0.0000655382976991377+0.0000375113898268101j</v>
      </c>
      <c r="BT223" s="189" t="str">
        <f t="shared" si="205"/>
        <v>-4.83518676725067E-06-4.07519010170261E-06j</v>
      </c>
      <c r="BU223" s="189" t="str">
        <f t="shared" si="206"/>
        <v>-3.03829769913773E-06-5.13251791248488E-07j</v>
      </c>
      <c r="BV223" s="189" t="str">
        <f t="shared" si="207"/>
        <v>-0.0000078734844663884-0.0000045884418929511j</v>
      </c>
      <c r="BW223" s="189" t="str">
        <f t="shared" si="180"/>
        <v>0.996544612260233-0.0586809000896827j</v>
      </c>
      <c r="BX223" s="189" t="str">
        <f t="shared" si="208"/>
        <v>-0.00001-0.0000369981380355616j</v>
      </c>
      <c r="BY223" s="189" t="str">
        <f t="shared" si="209"/>
        <v>3.15539397948601+2.7694401749249j</v>
      </c>
      <c r="BZ223" s="136">
        <f t="shared" si="210"/>
        <v>12.461614051294667</v>
      </c>
      <c r="CA223" s="136">
        <f t="shared" si="211"/>
        <v>-138.72707889533547</v>
      </c>
      <c r="CB223" s="189" t="str">
        <f t="shared" si="181"/>
        <v>-0.692893017718885-0.706795548743585j</v>
      </c>
      <c r="CC223" s="136" t="str">
        <f t="shared" si="182"/>
        <v>0.3066904001865-0.792847882208805j</v>
      </c>
      <c r="CD223" s="136">
        <f t="shared" si="212"/>
        <v>-1.4106191722423855</v>
      </c>
      <c r="CE223" s="136">
        <f t="shared" si="213"/>
        <v>111.14752885387341</v>
      </c>
      <c r="CF223" s="136"/>
      <c r="CG223" s="136">
        <f t="shared" si="214"/>
        <v>2.4106191722423853</v>
      </c>
      <c r="CH223" s="136">
        <f t="shared" si="215"/>
        <v>-111.14752885387341</v>
      </c>
      <c r="CI223" s="77"/>
      <c r="CJ223" s="189"/>
      <c r="CK223" s="189"/>
      <c r="CL223" s="189"/>
      <c r="CM223" s="77"/>
      <c r="CN223" s="189">
        <v>158489.319246111</v>
      </c>
      <c r="CO223" s="189">
        <v>-4.6434770371575604</v>
      </c>
      <c r="CP223" s="189">
        <v>69.072478364460494</v>
      </c>
      <c r="CQ223" s="74"/>
      <c r="CR223" s="75"/>
      <c r="CS223" s="75"/>
      <c r="CT223" s="75"/>
      <c r="CU223" s="74"/>
      <c r="CV223" s="75"/>
      <c r="CW223" s="75"/>
      <c r="CX223" s="75"/>
      <c r="CY223" s="74"/>
      <c r="CZ223" s="75"/>
      <c r="DA223" s="75"/>
      <c r="DB223" s="75"/>
      <c r="DC223" s="74"/>
      <c r="DD223" s="75"/>
      <c r="DE223" s="75"/>
      <c r="DF223" s="75"/>
      <c r="DG223" s="74"/>
      <c r="DH223" s="75"/>
      <c r="DI223" s="75"/>
      <c r="DJ223" s="75"/>
      <c r="DK223" s="74"/>
      <c r="DL223" s="75"/>
      <c r="DM223" s="75"/>
      <c r="DN223" s="75"/>
      <c r="DO223" s="76"/>
    </row>
    <row r="224" spans="1:119" x14ac:dyDescent="0.25">
      <c r="A224" s="136">
        <v>175</v>
      </c>
      <c r="B224" s="136">
        <f t="shared" si="144"/>
        <v>177827.94100389251</v>
      </c>
      <c r="C224" s="136" t="str">
        <f t="shared" si="151"/>
        <v>1117325.90612166j</v>
      </c>
      <c r="D224" s="136">
        <f t="shared" si="145"/>
        <v>0.20943058495789602</v>
      </c>
      <c r="E224" s="136" t="str">
        <f t="shared" si="146"/>
        <v>-1.39665738265207j</v>
      </c>
      <c r="F224" s="136" t="str">
        <f t="shared" si="152"/>
        <v>0.209430584957896-1.39665738265207j</v>
      </c>
      <c r="G224" s="136">
        <f t="shared" si="153"/>
        <v>2.998368744777506</v>
      </c>
      <c r="H224" s="136">
        <f t="shared" si="154"/>
        <v>-81.471963523314855</v>
      </c>
      <c r="I224" s="136"/>
      <c r="J224" s="136">
        <f t="shared" si="147"/>
        <v>7.0726915520628681</v>
      </c>
      <c r="K224" s="136" t="str">
        <f t="shared" si="148"/>
        <v>1+82.0109766253924j</v>
      </c>
      <c r="L224" s="136">
        <f t="shared" si="149"/>
        <v>-366.25205715240367</v>
      </c>
      <c r="M224" s="136" t="str">
        <f t="shared" si="150"/>
        <v>6.00192354539679j</v>
      </c>
      <c r="N224" s="136" t="str">
        <f t="shared" si="155"/>
        <v>-366.252057152404+6.00192354539679j</v>
      </c>
      <c r="O224" s="136" t="str">
        <f t="shared" si="156"/>
        <v>0.00815973992508597-0.642901941250758j</v>
      </c>
      <c r="P224" s="136" t="str">
        <f t="shared" si="157"/>
        <v>0.0577113236351856-4.54704712868905j</v>
      </c>
      <c r="Q224" s="136"/>
      <c r="R224" s="136">
        <f t="shared" si="158"/>
        <v>11.787819253438114</v>
      </c>
      <c r="S224" s="136" t="str">
        <f t="shared" si="159"/>
        <v>1+0.026165184647547j</v>
      </c>
      <c r="T224" s="136" t="str">
        <f t="shared" si="160"/>
        <v>-45.2342947282839+2.12956283506302j</v>
      </c>
      <c r="U224" s="136" t="str">
        <f t="shared" si="183"/>
        <v>-0.0220310591462212-0.00161562614961516j</v>
      </c>
      <c r="V224" s="136" t="str">
        <f t="shared" si="184"/>
        <v>-0.25969814317746-0.0190447090327917j</v>
      </c>
      <c r="W224" s="136"/>
      <c r="X224" s="136" t="str">
        <f t="shared" si="161"/>
        <v>-0.519158576634655-0.972382654070592j</v>
      </c>
      <c r="Y224" s="136">
        <f t="shared" si="185"/>
        <v>0.84595455680231013</v>
      </c>
      <c r="Z224" s="136">
        <f t="shared" si="186"/>
        <v>61.902082003661022</v>
      </c>
      <c r="AA224" s="136"/>
      <c r="AB224" s="136" t="str">
        <f t="shared" si="162"/>
        <v>-0.204155765734882-0.0149715631702871j</v>
      </c>
      <c r="AC224" s="136">
        <f t="shared" si="187"/>
        <v>-13.777473753953291</v>
      </c>
      <c r="AD224" s="136">
        <f t="shared" si="188"/>
        <v>4.1942219664807112</v>
      </c>
      <c r="AE224" s="136"/>
      <c r="AF224" s="136" t="str">
        <f t="shared" si="189"/>
        <v>-0.0710511322011486-0.174819488484234j</v>
      </c>
      <c r="AG224" s="136">
        <f t="shared" si="190"/>
        <v>-14.484266001328853</v>
      </c>
      <c r="AH224" s="136">
        <f t="shared" si="191"/>
        <v>67.881911605907547</v>
      </c>
      <c r="AI224" s="136"/>
      <c r="AJ224" s="136" t="str">
        <f t="shared" si="163"/>
        <v>5982.06297664335-23715.4215692618j</v>
      </c>
      <c r="AK224" s="136" t="str">
        <f t="shared" si="164"/>
        <v>19045.7836647174-186.966054905609j</v>
      </c>
      <c r="AL224" s="136" t="str">
        <f t="shared" si="165"/>
        <v>10000-56054.1301895291j</v>
      </c>
      <c r="AM224" s="136" t="str">
        <f t="shared" si="166"/>
        <v>948.777183929661-17512.8410159051j</v>
      </c>
      <c r="AN224" s="136" t="str">
        <f t="shared" si="192"/>
        <v>10948.7771839297-17512.8410159051j</v>
      </c>
      <c r="AO224" s="136" t="str">
        <f t="shared" si="193"/>
        <v>9972.67462079859-5303.57537335667j</v>
      </c>
      <c r="AP224" s="136" t="str">
        <f t="shared" si="194"/>
        <v>0.401717426379711+0.376182566591485j</v>
      </c>
      <c r="AQ224" s="136" t="str">
        <f t="shared" si="167"/>
        <v>1+6.343075066072j</v>
      </c>
      <c r="AR224" s="136" t="str">
        <f t="shared" si="168"/>
        <v>1+0.0126608284751936j</v>
      </c>
      <c r="AS224" s="136" t="str">
        <f t="shared" si="169"/>
        <v>0.0000198617538006379j</v>
      </c>
      <c r="AT224" s="136" t="str">
        <f t="shared" si="195"/>
        <v>-2.51466258086401E-07+0.0000198617538006379j</v>
      </c>
      <c r="AU224" s="179" t="str">
        <f t="shared" si="196"/>
        <v>318672.747634694-54382.6821258412j</v>
      </c>
      <c r="AV224" s="136" t="str">
        <f t="shared" si="170"/>
        <v>7251.50836094334-2329.74105400483j</v>
      </c>
      <c r="AW224" s="136"/>
      <c r="AX224" s="136" t="str">
        <f t="shared" si="171"/>
        <v>0.453219272558959-0.145608815875302j</v>
      </c>
      <c r="AY224" s="136"/>
      <c r="AZ224" s="136" t="str">
        <f t="shared" si="172"/>
        <v>9.30588864193575+6.75729341272478j</v>
      </c>
      <c r="BA224" s="136" t="str">
        <f t="shared" si="173"/>
        <v>5.20152957316163+1.70751617916288j</v>
      </c>
      <c r="BB224" s="136">
        <f t="shared" si="197"/>
        <v>14.767087889908252</v>
      </c>
      <c r="BC224" s="136">
        <f t="shared" si="198"/>
        <v>-161.82644334382053</v>
      </c>
      <c r="BD224" s="136" t="str">
        <f t="shared" si="174"/>
        <v>-1.03635806666082-0.426474301648403j</v>
      </c>
      <c r="BE224" s="136">
        <f t="shared" si="199"/>
        <v>0.98961413595494696</v>
      </c>
      <c r="BF224" s="136">
        <f t="shared" si="200"/>
        <v>22.367778622660182</v>
      </c>
      <c r="BG224" s="136"/>
      <c r="BH224" s="136" t="str">
        <f t="shared" si="175"/>
        <v>-0.0710674603310828-1.03064969709703j</v>
      </c>
      <c r="BI224" s="136">
        <f t="shared" si="201"/>
        <v>0.2828218885793673</v>
      </c>
      <c r="BJ224" s="136">
        <f t="shared" si="202"/>
        <v>86.055468262087004</v>
      </c>
      <c r="BK224" s="136"/>
      <c r="BL224" s="136">
        <f t="shared" si="203"/>
        <v>0.7171781114206327</v>
      </c>
      <c r="BM224" s="136">
        <f t="shared" si="204"/>
        <v>-86.055468262087004</v>
      </c>
      <c r="BN224" s="136"/>
      <c r="BO224" s="189"/>
      <c r="BP224" s="189" t="str">
        <f t="shared" si="176"/>
        <v>0.00001+0.00003964421916295j</v>
      </c>
      <c r="BQ224" s="189" t="str">
        <f t="shared" si="177"/>
        <v>3.04921413322922E-06+4.80715441874389E-07j</v>
      </c>
      <c r="BR224" s="189" t="str">
        <f t="shared" si="178"/>
        <v>-0.0827243183677289-0.0140858248863484j</v>
      </c>
      <c r="BS224" s="189" t="str">
        <f t="shared" si="179"/>
        <v>0.0000655492141332292+0.0000401249346048244j</v>
      </c>
      <c r="BT224" s="189" t="str">
        <f t="shared" si="205"/>
        <v>-4.85732125629195E-06-4.24262261645222E-06j</v>
      </c>
      <c r="BU224" s="189" t="str">
        <f t="shared" si="206"/>
        <v>-3.04921413322922E-06-4.80715441874389E-07j</v>
      </c>
      <c r="BV224" s="189" t="str">
        <f t="shared" si="207"/>
        <v>-7.90653538952117E-06-4.72333805832661E-06j</v>
      </c>
      <c r="BW224" s="189" t="str">
        <f t="shared" si="180"/>
        <v>0.996034713994666-0.0628455448876816j</v>
      </c>
      <c r="BX224" s="189" t="str">
        <f t="shared" si="208"/>
        <v>-0.00001-0.00003964421916295j</v>
      </c>
      <c r="BY224" s="189" t="str">
        <f t="shared" si="209"/>
        <v>3.32447635825285+2.92870849226586j</v>
      </c>
      <c r="BZ224" s="136">
        <f t="shared" si="210"/>
        <v>12.929087172841278</v>
      </c>
      <c r="CA224" s="136">
        <f t="shared" si="211"/>
        <v>-138.62145434082134</v>
      </c>
      <c r="CB224" s="189" t="str">
        <f t="shared" si="181"/>
        <v>-0.634863672387307-0.647685332658496j</v>
      </c>
      <c r="CC224" s="136" t="str">
        <f t="shared" si="182"/>
        <v>0.275787511307532-0.789271310690298j</v>
      </c>
      <c r="CD224" s="136">
        <f t="shared" si="212"/>
        <v>-1.5551788284876034</v>
      </c>
      <c r="CE224" s="136">
        <f t="shared" si="213"/>
        <v>109.26045726508617</v>
      </c>
      <c r="CF224" s="136"/>
      <c r="CG224" s="136">
        <f t="shared" si="214"/>
        <v>2.5551788284876036</v>
      </c>
      <c r="CH224" s="136">
        <f t="shared" si="215"/>
        <v>-109.26045726508617</v>
      </c>
      <c r="CI224" s="77"/>
      <c r="CJ224" s="189"/>
      <c r="CK224" s="189"/>
      <c r="CL224" s="189"/>
      <c r="CM224" s="77"/>
      <c r="CN224" s="189">
        <v>165958.69074375599</v>
      </c>
      <c r="CO224" s="189">
        <v>-4.8731302101655096</v>
      </c>
      <c r="CP224" s="189">
        <v>65.295312769560098</v>
      </c>
      <c r="CQ224" s="74"/>
      <c r="CR224" s="75"/>
      <c r="CS224" s="75"/>
      <c r="CT224" s="75"/>
      <c r="CU224" s="74"/>
      <c r="CV224" s="75"/>
      <c r="CW224" s="75"/>
      <c r="CX224" s="75"/>
      <c r="CY224" s="74"/>
      <c r="CZ224" s="75"/>
      <c r="DA224" s="75"/>
      <c r="DB224" s="75"/>
      <c r="DC224" s="74"/>
      <c r="DD224" s="75"/>
      <c r="DE224" s="75"/>
      <c r="DF224" s="75"/>
      <c r="DG224" s="74"/>
      <c r="DH224" s="75"/>
      <c r="DI224" s="75"/>
      <c r="DJ224" s="75"/>
      <c r="DK224" s="74"/>
      <c r="DL224" s="75"/>
      <c r="DM224" s="75"/>
      <c r="DN224" s="75"/>
      <c r="DO224" s="76"/>
    </row>
    <row r="225" spans="1:119" x14ac:dyDescent="0.25">
      <c r="A225" s="136">
        <v>176</v>
      </c>
      <c r="B225" s="136">
        <f t="shared" si="144"/>
        <v>190546.0717963246</v>
      </c>
      <c r="C225" s="136" t="str">
        <f t="shared" si="151"/>
        <v>1197236.27865145j</v>
      </c>
      <c r="D225" s="136">
        <f t="shared" si="145"/>
        <v>9.2304863074754273E-2</v>
      </c>
      <c r="E225" s="136" t="str">
        <f t="shared" si="146"/>
        <v>-1.49654534831431j</v>
      </c>
      <c r="F225" s="136" t="str">
        <f t="shared" si="152"/>
        <v>0.0923048630747543-1.49654534831431j</v>
      </c>
      <c r="G225" s="136">
        <f t="shared" si="153"/>
        <v>3.5182879417570718</v>
      </c>
      <c r="H225" s="136">
        <f t="shared" si="154"/>
        <v>-86.470546072086464</v>
      </c>
      <c r="I225" s="136"/>
      <c r="J225" s="136">
        <f t="shared" si="147"/>
        <v>7.0726915520628681</v>
      </c>
      <c r="K225" s="136" t="str">
        <f t="shared" si="148"/>
        <v>1+87.8763446954973j</v>
      </c>
      <c r="L225" s="136">
        <f t="shared" si="149"/>
        <v>-420.66177942170401</v>
      </c>
      <c r="M225" s="136" t="str">
        <f t="shared" si="150"/>
        <v>6.43117694745275j</v>
      </c>
      <c r="N225" s="136" t="str">
        <f t="shared" si="155"/>
        <v>-420.661779421704+6.43117694745275j</v>
      </c>
      <c r="O225" s="136" t="str">
        <f t="shared" si="156"/>
        <v>0.00701404822804622-0.598334515945899j</v>
      </c>
      <c r="P225" s="136" t="str">
        <f t="shared" si="157"/>
        <v>0.049608199648264-4.23183547623819j</v>
      </c>
      <c r="Q225" s="136"/>
      <c r="R225" s="136">
        <f t="shared" si="158"/>
        <v>11.787819253438114</v>
      </c>
      <c r="S225" s="136" t="str">
        <f t="shared" si="159"/>
        <v>1+0.0280365004749533j</v>
      </c>
      <c r="T225" s="136" t="str">
        <f t="shared" si="160"/>
        <v>-52.0840729296339+2.28186768948656j</v>
      </c>
      <c r="U225" s="136" t="str">
        <f t="shared" si="183"/>
        <v>-0.0191394074212496-0.00137681428951041j</v>
      </c>
      <c r="V225" s="136" t="str">
        <f t="shared" si="184"/>
        <v>-0.225611875299602-0.0162296379902995j</v>
      </c>
      <c r="W225" s="136"/>
      <c r="X225" s="136" t="str">
        <f t="shared" si="161"/>
        <v>-0.519584760131674-0.89019389077022j</v>
      </c>
      <c r="Y225" s="136">
        <f t="shared" si="185"/>
        <v>0.2629357493132648</v>
      </c>
      <c r="Z225" s="136">
        <f t="shared" si="186"/>
        <v>59.72891866600942</v>
      </c>
      <c r="AA225" s="136"/>
      <c r="AB225" s="136" t="str">
        <f t="shared" si="162"/>
        <v>-0.177359624512982-0.0127585593449753j</v>
      </c>
      <c r="AC225" s="136">
        <f t="shared" si="187"/>
        <v>-15.000488855373655</v>
      </c>
      <c r="AD225" s="136">
        <f t="shared" si="188"/>
        <v>4.1145472595348735</v>
      </c>
      <c r="AE225" s="136"/>
      <c r="AF225" s="136" t="str">
        <f t="shared" si="189"/>
        <v>-0.0721711316491336-0.160288128765676j</v>
      </c>
      <c r="AG225" s="136">
        <f t="shared" si="190"/>
        <v>-15.10028077798815</v>
      </c>
      <c r="AH225" s="136">
        <f t="shared" si="191"/>
        <v>65.759927410522238</v>
      </c>
      <c r="AI225" s="136"/>
      <c r="AJ225" s="136" t="str">
        <f t="shared" si="163"/>
        <v>5250.68932277627-22304.6899533105j</v>
      </c>
      <c r="AK225" s="136" t="str">
        <f t="shared" si="164"/>
        <v>19045.5117761765-200.334877329309j</v>
      </c>
      <c r="AL225" s="136" t="str">
        <f t="shared" si="165"/>
        <v>10000-52312.7580768122j</v>
      </c>
      <c r="AM225" s="136" t="str">
        <f t="shared" si="166"/>
        <v>946.685759939273-16359.7983800679j</v>
      </c>
      <c r="AN225" s="136" t="str">
        <f t="shared" si="192"/>
        <v>10946.6857599393-16359.7983800679j</v>
      </c>
      <c r="AO225" s="136" t="str">
        <f t="shared" si="193"/>
        <v>9670.35133753446-5122.37986802792j</v>
      </c>
      <c r="AP225" s="136" t="str">
        <f t="shared" si="194"/>
        <v>0.426012029337897+0.386359842134988j</v>
      </c>
      <c r="AQ225" s="136" t="str">
        <f t="shared" si="167"/>
        <v>1+6.79672738786747j</v>
      </c>
      <c r="AR225" s="136" t="str">
        <f t="shared" si="168"/>
        <v>1+0.013566322131472j</v>
      </c>
      <c r="AS225" s="136" t="str">
        <f t="shared" si="169"/>
        <v>0.00002128225263326j</v>
      </c>
      <c r="AT225" s="136" t="str">
        <f t="shared" si="195"/>
        <v>-2.88721894906173E-07+0.00002128225263326j</v>
      </c>
      <c r="AU225" s="179" t="str">
        <f t="shared" si="196"/>
        <v>318665.18102165-51310.6217524454j</v>
      </c>
      <c r="AV225" s="136" t="str">
        <f t="shared" si="170"/>
        <v>7152.36606493993-2462.23235959061j</v>
      </c>
      <c r="AW225" s="136"/>
      <c r="AX225" s="136" t="str">
        <f t="shared" si="171"/>
        <v>0.447022879058746-0.153889522474413j</v>
      </c>
      <c r="AY225" s="136"/>
      <c r="AZ225" s="136" t="str">
        <f t="shared" si="172"/>
        <v>9.7833802910948+7.01955577147394j</v>
      </c>
      <c r="BA225" s="136" t="str">
        <f t="shared" si="173"/>
        <v>5.45363091030642+1.63234230949556j</v>
      </c>
      <c r="BB225" s="136">
        <f t="shared" si="197"/>
        <v>15.106338910206414</v>
      </c>
      <c r="BC225" s="136">
        <f t="shared" si="198"/>
        <v>-163.33687777865998</v>
      </c>
      <c r="BD225" s="136" t="str">
        <f t="shared" si="174"/>
        <v>-0.946427594257325-0.359092092703523j</v>
      </c>
      <c r="BE225" s="136">
        <f t="shared" si="199"/>
        <v>0.10585005483275375</v>
      </c>
      <c r="BF225" s="136">
        <f t="shared" si="200"/>
        <v>20.77766948087492</v>
      </c>
      <c r="BG225" s="136"/>
      <c r="BH225" s="136" t="str">
        <f t="shared" si="175"/>
        <v>-0.131949620099423-0.99196028530672j</v>
      </c>
      <c r="BI225" s="136">
        <f t="shared" si="201"/>
        <v>6.0581322182522782E-3</v>
      </c>
      <c r="BJ225" s="136">
        <f t="shared" si="202"/>
        <v>82.423049631862298</v>
      </c>
      <c r="BK225" s="136"/>
      <c r="BL225" s="136">
        <f t="shared" si="203"/>
        <v>0.99394186778174776</v>
      </c>
      <c r="BM225" s="136">
        <f t="shared" si="204"/>
        <v>-82.423049631862298</v>
      </c>
      <c r="BN225" s="136"/>
      <c r="BO225" s="189"/>
      <c r="BP225" s="189" t="str">
        <f t="shared" si="176"/>
        <v>0.00001+0.0000424795461741717j</v>
      </c>
      <c r="BQ225" s="189" t="str">
        <f t="shared" si="177"/>
        <v>3.05878606458012E-06+4.50038068326857E-07j</v>
      </c>
      <c r="BR225" s="189" t="str">
        <f t="shared" si="178"/>
        <v>-0.083027427506824-0.0131940323420949j</v>
      </c>
      <c r="BS225" s="189" t="str">
        <f t="shared" si="179"/>
        <v>0.0000655587860645801+0.0000429295842424986j</v>
      </c>
      <c r="BT225" s="189" t="str">
        <f t="shared" si="205"/>
        <v>-4.87676303448409E-06-0.0000044293176872367j</v>
      </c>
      <c r="BU225" s="189" t="str">
        <f t="shared" si="206"/>
        <v>-3.05878606458012E-06-4.50038068326857E-07j</v>
      </c>
      <c r="BV225" s="189" t="str">
        <f t="shared" si="207"/>
        <v>-7.93554909906421E-06-4.87935575556356E-06j</v>
      </c>
      <c r="BW225" s="189" t="str">
        <f t="shared" si="180"/>
        <v>0.995449915557556-0.067300677366658j</v>
      </c>
      <c r="BX225" s="189" t="str">
        <f t="shared" si="208"/>
        <v>-0.00001-0.0000424795461741717j</v>
      </c>
      <c r="BY225" s="189" t="str">
        <f t="shared" si="209"/>
        <v>3.51144908139078+3.08480790517321j</v>
      </c>
      <c r="BZ225" s="136">
        <f t="shared" si="210"/>
        <v>13.393781807398668</v>
      </c>
      <c r="CA225" s="136">
        <f t="shared" si="211"/>
        <v>-138.7006952074629</v>
      </c>
      <c r="CB225" s="189" t="str">
        <f t="shared" si="181"/>
        <v>-0.583431585845923-0.591921403247982j</v>
      </c>
      <c r="CC225" s="136" t="str">
        <f t="shared" si="182"/>
        <v>0.241032832789495-0.785477679948623j</v>
      </c>
      <c r="CD225" s="136">
        <f t="shared" si="212"/>
        <v>-1.7064989705894931</v>
      </c>
      <c r="CE225" s="136">
        <f t="shared" si="213"/>
        <v>107.05923220305931</v>
      </c>
      <c r="CF225" s="136"/>
      <c r="CG225" s="136">
        <f t="shared" si="214"/>
        <v>2.7064989705894931</v>
      </c>
      <c r="CH225" s="136">
        <f t="shared" si="215"/>
        <v>-107.05923220305931</v>
      </c>
      <c r="CI225" s="77"/>
      <c r="CJ225" s="189"/>
      <c r="CK225" s="189"/>
      <c r="CL225" s="189"/>
      <c r="CM225" s="77"/>
      <c r="CN225" s="189">
        <v>173780.08287493701</v>
      </c>
      <c r="CO225" s="189">
        <v>-5.1188025961647199</v>
      </c>
      <c r="CP225" s="189">
        <v>61.266633831179</v>
      </c>
      <c r="CQ225" s="74"/>
      <c r="CR225" s="75"/>
      <c r="CS225" s="75"/>
      <c r="CT225" s="75"/>
      <c r="CU225" s="74"/>
      <c r="CV225" s="75"/>
      <c r="CW225" s="75"/>
      <c r="CX225" s="75"/>
      <c r="CY225" s="74"/>
      <c r="CZ225" s="75"/>
      <c r="DA225" s="75"/>
      <c r="DB225" s="75"/>
      <c r="DC225" s="74"/>
      <c r="DD225" s="75"/>
      <c r="DE225" s="75"/>
      <c r="DF225" s="75"/>
      <c r="DG225" s="74"/>
      <c r="DH225" s="75"/>
      <c r="DI225" s="75"/>
      <c r="DJ225" s="75"/>
      <c r="DK225" s="74"/>
      <c r="DL225" s="75"/>
      <c r="DM225" s="75"/>
      <c r="DN225" s="75"/>
      <c r="DO225" s="76"/>
    </row>
    <row r="226" spans="1:119" x14ac:dyDescent="0.25">
      <c r="A226" s="136">
        <v>177</v>
      </c>
      <c r="B226" s="136">
        <f t="shared" si="144"/>
        <v>204173.79446695308</v>
      </c>
      <c r="C226" s="136" t="str">
        <f t="shared" si="151"/>
        <v>1282861.78550586j</v>
      </c>
      <c r="D226" s="136">
        <f t="shared" si="145"/>
        <v>-4.217345867583111E-2</v>
      </c>
      <c r="E226" s="136" t="str">
        <f t="shared" si="146"/>
        <v>-1.60357723188233j</v>
      </c>
      <c r="F226" s="136" t="str">
        <f t="shared" si="152"/>
        <v>-0.0421734586758311-1.60357723188233j</v>
      </c>
      <c r="G226" s="136">
        <f t="shared" si="153"/>
        <v>4.104800471775583</v>
      </c>
      <c r="H226" s="136">
        <f t="shared" si="154"/>
        <v>-91.506509486918802</v>
      </c>
      <c r="I226" s="136"/>
      <c r="J226" s="136">
        <f t="shared" si="147"/>
        <v>7.0726915520628681</v>
      </c>
      <c r="K226" s="136" t="str">
        <f t="shared" si="148"/>
        <v>1+94.1611998149398j</v>
      </c>
      <c r="L226" s="136">
        <f t="shared" si="149"/>
        <v>-483.13249908984989</v>
      </c>
      <c r="M226" s="136" t="str">
        <f t="shared" si="150"/>
        <v>6.89113025459469j</v>
      </c>
      <c r="N226" s="136" t="str">
        <f t="shared" si="155"/>
        <v>-483.13249908985+6.89113025459469j</v>
      </c>
      <c r="O226" s="136" t="str">
        <f t="shared" si="156"/>
        <v>0.00603922051878305-0.557058026979803j</v>
      </c>
      <c r="P226" s="136" t="str">
        <f t="shared" si="157"/>
        <v>0.0427135439442416-3.93989960142886j</v>
      </c>
      <c r="Q226" s="136"/>
      <c r="R226" s="136">
        <f t="shared" si="158"/>
        <v>11.787819253438114</v>
      </c>
      <c r="S226" s="136" t="str">
        <f t="shared" si="159"/>
        <v>1+0.0300416515102157j</v>
      </c>
      <c r="T226" s="136" t="str">
        <f t="shared" si="160"/>
        <v>-59.9486705779632+2.44506528128278j</v>
      </c>
      <c r="U226" s="136" t="str">
        <f t="shared" si="183"/>
        <v>-0.0166328296108197-0.00117950915407148j</v>
      </c>
      <c r="V226" s="136" t="str">
        <f t="shared" si="184"/>
        <v>-0.196064789125576-0.0139038407159703j</v>
      </c>
      <c r="W226" s="136"/>
      <c r="X226" s="136" t="str">
        <f t="shared" si="161"/>
        <v>-0.519923569070662-0.813000181034675j</v>
      </c>
      <c r="Y226" s="136">
        <f t="shared" si="185"/>
        <v>-0.30915148038376083</v>
      </c>
      <c r="Z226" s="136">
        <f t="shared" si="186"/>
        <v>57.400587111252719</v>
      </c>
      <c r="AA226" s="136"/>
      <c r="AB226" s="136" t="str">
        <f t="shared" si="162"/>
        <v>-0.154131857347274-0.0109301869212252j</v>
      </c>
      <c r="AC226" s="136">
        <f t="shared" si="187"/>
        <v>-16.220366392842127</v>
      </c>
      <c r="AD226" s="136">
        <f t="shared" si="188"/>
        <v>4.056312331219516</v>
      </c>
      <c r="AE226" s="136"/>
      <c r="AF226" s="136" t="str">
        <f t="shared" si="189"/>
        <v>-0.0730375939234728-0.146455354759323j</v>
      </c>
      <c r="AG226" s="136">
        <f t="shared" si="190"/>
        <v>-15.72130059469716</v>
      </c>
      <c r="AH226" s="136">
        <f t="shared" si="191"/>
        <v>63.494470759624662</v>
      </c>
      <c r="AI226" s="136"/>
      <c r="AJ226" s="136" t="str">
        <f t="shared" si="163"/>
        <v>4604.35511414001-20957.9442073142j</v>
      </c>
      <c r="AK226" s="136" t="str">
        <f t="shared" si="164"/>
        <v>19045.1996159365-214.659170200807j</v>
      </c>
      <c r="AL226" s="136" t="str">
        <f t="shared" si="165"/>
        <v>10000-48821.1064617378j</v>
      </c>
      <c r="AM226" s="136" t="str">
        <f t="shared" si="166"/>
        <v>944.295825854648-15284.7706861955j</v>
      </c>
      <c r="AN226" s="136" t="str">
        <f t="shared" si="192"/>
        <v>10944.2958258546-15284.7706861955j</v>
      </c>
      <c r="AO226" s="136" t="str">
        <f t="shared" si="193"/>
        <v>9389.9642211792-4932.11733920876j</v>
      </c>
      <c r="AP226" s="136" t="str">
        <f t="shared" si="194"/>
        <v>0.451532509116937+0.395164292268942j</v>
      </c>
      <c r="AQ226" s="136" t="str">
        <f t="shared" si="167"/>
        <v>1+7.28282460853714j</v>
      </c>
      <c r="AR226" s="136" t="str">
        <f t="shared" si="168"/>
        <v>1+0.0145365760649444j</v>
      </c>
      <c r="AS226" s="136" t="str">
        <f t="shared" si="169"/>
        <v>0.0000228043445554819j</v>
      </c>
      <c r="AT226" s="136" t="str">
        <f t="shared" si="195"/>
        <v>-3.31497089241963E-07+0.0000228043445554819j</v>
      </c>
      <c r="AU226" s="179" t="str">
        <f t="shared" si="196"/>
        <v>318656.493830592-48483.4675902627j</v>
      </c>
      <c r="AV226" s="136" t="str">
        <f t="shared" si="170"/>
        <v>7041.82695360634-2597.55438524662j</v>
      </c>
      <c r="AW226" s="136"/>
      <c r="AX226" s="136" t="str">
        <f t="shared" si="171"/>
        <v>0.440114184600396-0.162347149077914j</v>
      </c>
      <c r="AY226" s="136"/>
      <c r="AZ226" s="136" t="str">
        <f t="shared" si="172"/>
        <v>10.2921609734789+7.25466045972949j</v>
      </c>
      <c r="BA226" s="136" t="str">
        <f t="shared" si="173"/>
        <v>5.70749947778404+1.52197598089131j</v>
      </c>
      <c r="BB226" s="136">
        <f t="shared" si="197"/>
        <v>15.427253805596157</v>
      </c>
      <c r="BC226" s="136">
        <f t="shared" si="198"/>
        <v>-165.06880662918638</v>
      </c>
      <c r="BD226" s="136" t="str">
        <f t="shared" si="174"/>
        <v>-0.863072013358691-0.296969020917691j</v>
      </c>
      <c r="BE226" s="136">
        <f t="shared" si="199"/>
        <v>-0.79311258724599587</v>
      </c>
      <c r="BF226" s="136">
        <f t="shared" si="200"/>
        <v>18.987505702033133</v>
      </c>
      <c r="BG226" s="136"/>
      <c r="BH226" s="136" t="str">
        <f t="shared" si="175"/>
        <v>-0.193960496960218-0.947055324461127j</v>
      </c>
      <c r="BI226" s="136">
        <f t="shared" si="201"/>
        <v>-0.29404678910104065</v>
      </c>
      <c r="BJ226" s="136">
        <f t="shared" si="202"/>
        <v>78.425664130438264</v>
      </c>
      <c r="BK226" s="136"/>
      <c r="BL226" s="136">
        <f t="shared" si="203"/>
        <v>1.2940467891010408</v>
      </c>
      <c r="BM226" s="136">
        <f t="shared" si="204"/>
        <v>-78.425664130438264</v>
      </c>
      <c r="BN226" s="136"/>
      <c r="BO226" s="189"/>
      <c r="BP226" s="189" t="str">
        <f t="shared" si="176"/>
        <v>0.00001+0.0000455176538033571j</v>
      </c>
      <c r="BQ226" s="189" t="str">
        <f t="shared" si="177"/>
        <v>3.06717196647398E-06+4.21151425626611E-07j</v>
      </c>
      <c r="BR226" s="189" t="str">
        <f t="shared" si="178"/>
        <v>-0.0832932480209331-0.0123529802635626j</v>
      </c>
      <c r="BS226" s="189" t="str">
        <f t="shared" si="179"/>
        <v>0.000065567171966474+0.0000459388052289837j</v>
      </c>
      <c r="BT226" s="189" t="str">
        <f t="shared" si="205"/>
        <v>-4.89382156230941E-06-4.63634227896255E-06j</v>
      </c>
      <c r="BU226" s="189" t="str">
        <f t="shared" si="206"/>
        <v>-3.06717196647398E-06-4.21151425626611E-07j</v>
      </c>
      <c r="BV226" s="189" t="str">
        <f t="shared" si="207"/>
        <v>-7.96099352878339E-06-5.05749370458916E-06j</v>
      </c>
      <c r="BW226" s="189" t="str">
        <f t="shared" si="180"/>
        <v>0.994779323387372-0.0720653949433038j</v>
      </c>
      <c r="BX226" s="189" t="str">
        <f t="shared" si="208"/>
        <v>-0.00001-0.0000455176538033571j</v>
      </c>
      <c r="BY226" s="189" t="str">
        <f t="shared" si="209"/>
        <v>3.71721219150554+3.2357254848851j</v>
      </c>
      <c r="BZ226" s="136">
        <f t="shared" si="210"/>
        <v>13.853843494422932</v>
      </c>
      <c r="CA226" s="136">
        <f t="shared" si="211"/>
        <v>-138.96137374483203</v>
      </c>
      <c r="CB226" s="189" t="str">
        <f t="shared" si="181"/>
        <v>-0.537573734855112-0.539358202930261j</v>
      </c>
      <c r="CC226" s="136" t="str">
        <f t="shared" si="182"/>
        <v>0.202393089222065-0.780735234235491j</v>
      </c>
      <c r="CD226" s="136">
        <f t="shared" si="212"/>
        <v>-1.8674571002742675</v>
      </c>
      <c r="CE226" s="136">
        <f t="shared" si="213"/>
        <v>104.53309701479263</v>
      </c>
      <c r="CF226" s="136"/>
      <c r="CG226" s="136">
        <f t="shared" si="214"/>
        <v>2.8674571002742675</v>
      </c>
      <c r="CH226" s="136">
        <f t="shared" si="215"/>
        <v>-104.53309701479263</v>
      </c>
      <c r="CI226" s="77"/>
      <c r="CJ226" s="189"/>
      <c r="CK226" s="189"/>
      <c r="CL226" s="189"/>
      <c r="CM226" s="77"/>
      <c r="CN226" s="189">
        <v>181970.08586099799</v>
      </c>
      <c r="CO226" s="189">
        <v>-5.3826203111225803</v>
      </c>
      <c r="CP226" s="189">
        <v>56.967835030550503</v>
      </c>
      <c r="CQ226" s="74"/>
      <c r="CR226" s="75"/>
      <c r="CS226" s="75"/>
      <c r="CT226" s="75"/>
      <c r="CU226" s="74"/>
      <c r="CV226" s="75"/>
      <c r="CW226" s="75"/>
      <c r="CX226" s="75"/>
      <c r="CY226" s="74"/>
      <c r="CZ226" s="75"/>
      <c r="DA226" s="75"/>
      <c r="DB226" s="75"/>
      <c r="DC226" s="74"/>
      <c r="DD226" s="75"/>
      <c r="DE226" s="75"/>
      <c r="DF226" s="75"/>
      <c r="DG226" s="74"/>
      <c r="DH226" s="75"/>
      <c r="DI226" s="75"/>
      <c r="DJ226" s="75"/>
      <c r="DK226" s="74"/>
      <c r="DL226" s="75"/>
      <c r="DM226" s="75"/>
      <c r="DN226" s="75"/>
      <c r="DO226" s="76"/>
    </row>
    <row r="227" spans="1:119" x14ac:dyDescent="0.25">
      <c r="A227" s="136">
        <v>178</v>
      </c>
      <c r="B227" s="136">
        <f t="shared" si="144"/>
        <v>218776.16239495538</v>
      </c>
      <c r="C227" s="136" t="str">
        <f t="shared" si="151"/>
        <v>1374611.16912112j</v>
      </c>
      <c r="D227" s="136">
        <f t="shared" si="145"/>
        <v>-0.196575230806598</v>
      </c>
      <c r="E227" s="136" t="str">
        <f t="shared" si="146"/>
        <v>-1.7182639614014j</v>
      </c>
      <c r="F227" s="136" t="str">
        <f t="shared" si="152"/>
        <v>-0.196575230806598-1.7182639614014j</v>
      </c>
      <c r="G227" s="136">
        <f t="shared" si="153"/>
        <v>4.7582699255670589</v>
      </c>
      <c r="H227" s="136">
        <f t="shared" si="154"/>
        <v>-96.526457344058571</v>
      </c>
      <c r="I227" s="136"/>
      <c r="J227" s="136">
        <f t="shared" si="147"/>
        <v>7.0726915520628681</v>
      </c>
      <c r="K227" s="136" t="str">
        <f t="shared" si="148"/>
        <v>1+100.895543406044j</v>
      </c>
      <c r="L227" s="136">
        <f t="shared" si="149"/>
        <v>-554.85848211435234</v>
      </c>
      <c r="M227" s="136" t="str">
        <f t="shared" si="150"/>
        <v>7.38397910270518j</v>
      </c>
      <c r="N227" s="136" t="str">
        <f t="shared" si="155"/>
        <v>-554.858482114352+7.38397910270518j</v>
      </c>
      <c r="O227" s="136" t="str">
        <f t="shared" si="156"/>
        <v>0.00520743290874877-0.518791787912106j</v>
      </c>
      <c r="P227" s="136" t="str">
        <f t="shared" si="157"/>
        <v>0.0368305667416416-3.66925429564554j</v>
      </c>
      <c r="Q227" s="136"/>
      <c r="R227" s="136">
        <f t="shared" si="158"/>
        <v>11.787819253438114</v>
      </c>
      <c r="S227" s="136" t="str">
        <f t="shared" si="159"/>
        <v>1+0.0321902095544166j</v>
      </c>
      <c r="T227" s="136" t="str">
        <f t="shared" si="160"/>
        <v>-68.9784368495089+2.61993465146071j</v>
      </c>
      <c r="U227" s="136" t="str">
        <f t="shared" si="183"/>
        <v>-0.0144587005874253-0.00101584007175144j</v>
      </c>
      <c r="V227" s="136" t="str">
        <f t="shared" si="184"/>
        <v>-0.170436549164149-0.0119745391562056j</v>
      </c>
      <c r="W227" s="136"/>
      <c r="X227" s="136" t="str">
        <f t="shared" si="161"/>
        <v>-0.5201944311251-0.740289455062681j</v>
      </c>
      <c r="Y227" s="136">
        <f t="shared" si="185"/>
        <v>-0.8691196018591224</v>
      </c>
      <c r="Z227" s="136">
        <f t="shared" si="186"/>
        <v>54.904647956168603</v>
      </c>
      <c r="AA227" s="136"/>
      <c r="AB227" s="136" t="str">
        <f t="shared" si="162"/>
        <v>-0.133984801655054-0.00941351055054313j</v>
      </c>
      <c r="AC227" s="136">
        <f t="shared" si="187"/>
        <v>-17.437504368206838</v>
      </c>
      <c r="AD227" s="136">
        <f t="shared" si="188"/>
        <v>4.0188856116024567</v>
      </c>
      <c r="AE227" s="136"/>
      <c r="AF227" s="136" t="str">
        <f t="shared" si="189"/>
        <v>-0.0736505375007684-0.133254449238647j</v>
      </c>
      <c r="AG227" s="136">
        <f t="shared" si="190"/>
        <v>-16.348650243772902</v>
      </c>
      <c r="AH227" s="136">
        <f t="shared" si="191"/>
        <v>61.070306552837707</v>
      </c>
      <c r="AI227" s="136"/>
      <c r="AJ227" s="136" t="str">
        <f t="shared" si="163"/>
        <v>4034.19399441636-19675.9924338533j</v>
      </c>
      <c r="AK227" s="136" t="str">
        <f t="shared" si="164"/>
        <v>19044.8412206453-230.007116528171j</v>
      </c>
      <c r="AL227" s="136" t="str">
        <f t="shared" si="165"/>
        <v>10000-45562.5075750846j</v>
      </c>
      <c r="AM227" s="136" t="str">
        <f t="shared" si="166"/>
        <v>941.566652345042-14282.60843795j</v>
      </c>
      <c r="AN227" s="136" t="str">
        <f t="shared" si="192"/>
        <v>10941.566652345-14282.60843795j</v>
      </c>
      <c r="AO227" s="136" t="str">
        <f t="shared" si="193"/>
        <v>9131.52357962776-4735.6241393465j</v>
      </c>
      <c r="AP227" s="136" t="str">
        <f t="shared" si="194"/>
        <v>0.478113399281343+0.402413615129656j</v>
      </c>
      <c r="AQ227" s="136" t="str">
        <f t="shared" si="167"/>
        <v>1+7.80368716470706j</v>
      </c>
      <c r="AR227" s="136" t="str">
        <f t="shared" si="168"/>
        <v>1+0.0155762218856428j</v>
      </c>
      <c r="AS227" s="136" t="str">
        <f t="shared" si="169"/>
        <v>0.000024435295434489j</v>
      </c>
      <c r="AT227" s="136" t="str">
        <f t="shared" si="195"/>
        <v>-3.80609583528835E-07+0.000024435295434489j</v>
      </c>
      <c r="AU227" s="179" t="str">
        <f t="shared" si="196"/>
        <v>318646.520184802-45887.7169030594j</v>
      </c>
      <c r="AV227" s="136" t="str">
        <f t="shared" si="170"/>
        <v>6919.05115260465-2734.80170551311j</v>
      </c>
      <c r="AW227" s="136"/>
      <c r="AX227" s="136" t="str">
        <f t="shared" si="171"/>
        <v>0.432440697037791-0.170925106594569j</v>
      </c>
      <c r="AY227" s="136"/>
      <c r="AZ227" s="136" t="str">
        <f t="shared" si="172"/>
        <v>10.8300773818857+7.45803759328853j</v>
      </c>
      <c r="BA227" s="136" t="str">
        <f t="shared" si="173"/>
        <v>5.95813208261501+1.3740268444495j</v>
      </c>
      <c r="BB227" s="136">
        <f t="shared" si="197"/>
        <v>15.727239597526101</v>
      </c>
      <c r="BC227" s="136">
        <f t="shared" si="198"/>
        <v>-167.01384455100975</v>
      </c>
      <c r="BD227" s="136" t="str">
        <f t="shared" si="174"/>
        <v>-0.785364729126828-0.240185653443511j</v>
      </c>
      <c r="BE227" s="136">
        <f t="shared" si="199"/>
        <v>-1.710264770680769</v>
      </c>
      <c r="BF227" s="136">
        <f t="shared" si="200"/>
        <v>17.005041060592703</v>
      </c>
      <c r="BG227" s="136"/>
      <c r="BH227" s="136" t="str">
        <f t="shared" si="175"/>
        <v>-0.255724439988933-0.895145424794163j</v>
      </c>
      <c r="BI227" s="136">
        <f t="shared" si="201"/>
        <v>-0.62141064624682807</v>
      </c>
      <c r="BJ227" s="136">
        <f t="shared" si="202"/>
        <v>74.056462001827953</v>
      </c>
      <c r="BK227" s="136"/>
      <c r="BL227" s="136">
        <f t="shared" si="203"/>
        <v>1.6214106462468281</v>
      </c>
      <c r="BM227" s="136">
        <f t="shared" si="204"/>
        <v>-74.056462001827953</v>
      </c>
      <c r="BN227" s="136"/>
      <c r="BO227" s="189"/>
      <c r="BP227" s="189" t="str">
        <f t="shared" si="176"/>
        <v>0.00001+0.0000487730447794191j</v>
      </c>
      <c r="BQ227" s="189" t="str">
        <f t="shared" si="177"/>
        <v>3.07451333550577E-06+3.93982135702538E-07j</v>
      </c>
      <c r="BR227" s="189" t="str">
        <f t="shared" si="178"/>
        <v>-0.083526164734997-0.011560848374203j</v>
      </c>
      <c r="BS227" s="189" t="str">
        <f t="shared" si="179"/>
        <v>0.0000655745133355058+0.0000491670269151216j</v>
      </c>
      <c r="BT227" s="189" t="str">
        <f t="shared" si="205"/>
        <v>-4.90877506010264E-06-4.86483019552641E-06j</v>
      </c>
      <c r="BU227" s="189" t="str">
        <f t="shared" si="206"/>
        <v>-3.07451333550577E-06-3.93982135702538E-07j</v>
      </c>
      <c r="BV227" s="189" t="str">
        <f t="shared" si="207"/>
        <v>-7.98328839560841E-06-5.25881233122895E-06j</v>
      </c>
      <c r="BW227" s="189" t="str">
        <f t="shared" si="180"/>
        <v>0.994010493896796-0.077159781750881j</v>
      </c>
      <c r="BX227" s="189" t="str">
        <f t="shared" si="208"/>
        <v>-0.00001-0.0000487730447794191j</v>
      </c>
      <c r="BY227" s="189" t="str">
        <f t="shared" si="209"/>
        <v>3.94245123385743+3.37914754069184j</v>
      </c>
      <c r="BZ227" s="136">
        <f t="shared" si="210"/>
        <v>14.307450142473719</v>
      </c>
      <c r="CA227" s="136">
        <f t="shared" si="211"/>
        <v>-139.39951277365438</v>
      </c>
      <c r="CB227" s="189" t="str">
        <f t="shared" si="181"/>
        <v>-0.496418905576964-0.489866719287677j</v>
      </c>
      <c r="CC227" s="136" t="str">
        <f t="shared" si="182"/>
        <v>0.159922791986852-0.774225200484247j</v>
      </c>
      <c r="CD227" s="136">
        <f t="shared" si="212"/>
        <v>-2.0412001012992103</v>
      </c>
      <c r="CE227" s="136">
        <f t="shared" si="213"/>
        <v>101.67079377918333</v>
      </c>
      <c r="CF227" s="136"/>
      <c r="CG227" s="136">
        <f t="shared" si="214"/>
        <v>3.0412001012992103</v>
      </c>
      <c r="CH227" s="136">
        <f t="shared" si="215"/>
        <v>-101.67079377918333</v>
      </c>
      <c r="CI227" s="77"/>
      <c r="CJ227" s="189"/>
      <c r="CK227" s="189"/>
      <c r="CL227" s="189"/>
      <c r="CM227" s="77"/>
      <c r="CN227" s="189">
        <v>190546.07179632399</v>
      </c>
      <c r="CO227" s="189">
        <v>-5.6682981487370201</v>
      </c>
      <c r="CP227" s="189">
        <v>52.376306904232003</v>
      </c>
      <c r="CQ227" s="74"/>
      <c r="CR227" s="75"/>
      <c r="CS227" s="75"/>
      <c r="CT227" s="75"/>
      <c r="CU227" s="74"/>
      <c r="CV227" s="75"/>
      <c r="CW227" s="75"/>
      <c r="CX227" s="75"/>
      <c r="CY227" s="74"/>
      <c r="CZ227" s="75"/>
      <c r="DA227" s="75"/>
      <c r="DB227" s="75"/>
      <c r="DC227" s="74"/>
      <c r="DD227" s="75"/>
      <c r="DE227" s="75"/>
      <c r="DF227" s="75"/>
      <c r="DG227" s="74"/>
      <c r="DH227" s="75"/>
      <c r="DI227" s="75"/>
      <c r="DJ227" s="75"/>
      <c r="DK227" s="74"/>
      <c r="DL227" s="75"/>
      <c r="DM227" s="75"/>
      <c r="DN227" s="75"/>
      <c r="DO227" s="76"/>
    </row>
    <row r="228" spans="1:119" x14ac:dyDescent="0.25">
      <c r="A228" s="136">
        <v>179</v>
      </c>
      <c r="B228" s="136">
        <f t="shared" si="144"/>
        <v>234422.88153199267</v>
      </c>
      <c r="C228" s="136" t="str">
        <f t="shared" si="151"/>
        <v>1472922.40490852j</v>
      </c>
      <c r="D228" s="136">
        <f t="shared" si="145"/>
        <v>-0.37385218464407344</v>
      </c>
      <c r="E228" s="136" t="str">
        <f t="shared" si="146"/>
        <v>-1.84115300613565j</v>
      </c>
      <c r="F228" s="136" t="str">
        <f t="shared" si="152"/>
        <v>-0.373852184644073-1.84115300613565j</v>
      </c>
      <c r="G228" s="136">
        <f t="shared" si="153"/>
        <v>5.4772670248695015</v>
      </c>
      <c r="H228" s="136">
        <f t="shared" si="154"/>
        <v>-101.47804570465323</v>
      </c>
      <c r="I228" s="136"/>
      <c r="J228" s="136">
        <f t="shared" si="147"/>
        <v>7.0726915520628681</v>
      </c>
      <c r="K228" s="136" t="str">
        <f t="shared" si="148"/>
        <v>1+108.111522572015j</v>
      </c>
      <c r="L228" s="136">
        <f t="shared" si="149"/>
        <v>-637.21092927935831</v>
      </c>
      <c r="M228" s="136" t="str">
        <f t="shared" si="150"/>
        <v>7.91207615801968j</v>
      </c>
      <c r="N228" s="136" t="str">
        <f t="shared" si="155"/>
        <v>-637.210929279358+7.91207615801968j</v>
      </c>
      <c r="O228" s="136" t="str">
        <f t="shared" si="156"/>
        <v>0.00449592157671482-0.483285816187287j</v>
      </c>
      <c r="P228" s="136" t="str">
        <f t="shared" si="157"/>
        <v>0.0317982665543681-3.41813150937963j</v>
      </c>
      <c r="Q228" s="136"/>
      <c r="R228" s="136">
        <f t="shared" si="158"/>
        <v>11.787819253438114</v>
      </c>
      <c r="S228" s="136" t="str">
        <f t="shared" si="159"/>
        <v>1+0.0344924309772015j</v>
      </c>
      <c r="T228" s="136" t="str">
        <f t="shared" si="160"/>
        <v>-79.3459956954549+2.80731055750112j</v>
      </c>
      <c r="U228" s="136" t="str">
        <f t="shared" si="183"/>
        <v>-0.012571912798964-0.000879511232974722j</v>
      </c>
      <c r="V228" s="136" t="str">
        <f t="shared" si="184"/>
        <v>-0.148195435744173-0.0103675194456745j</v>
      </c>
      <c r="W228" s="136"/>
      <c r="X228" s="136" t="str">
        <f t="shared" si="161"/>
        <v>-0.520412182076053-0.671599111117451j</v>
      </c>
      <c r="Y228" s="136">
        <f t="shared" si="185"/>
        <v>-1.4153847653133109</v>
      </c>
      <c r="Z228" s="136">
        <f t="shared" si="186"/>
        <v>52.228426859911366</v>
      </c>
      <c r="AA228" s="136"/>
      <c r="AB228" s="136" t="str">
        <f t="shared" si="162"/>
        <v>-0.116500458157269-0.00815018869717764j</v>
      </c>
      <c r="AC228" s="136">
        <f t="shared" si="187"/>
        <v>-18.652244018512079</v>
      </c>
      <c r="AD228" s="136">
        <f t="shared" si="188"/>
        <v>4.0018025420039294</v>
      </c>
      <c r="AE228" s="136"/>
      <c r="AF228" s="136" t="str">
        <f t="shared" si="189"/>
        <v>-0.0740012521621969-0.120623088637462j</v>
      </c>
      <c r="AG228" s="136">
        <f t="shared" si="190"/>
        <v>-16.98403297826308</v>
      </c>
      <c r="AH228" s="136">
        <f t="shared" si="191"/>
        <v>58.471233765877741</v>
      </c>
      <c r="AI228" s="136"/>
      <c r="AJ228" s="136" t="str">
        <f t="shared" si="163"/>
        <v>3532.02230546645-18458.7932698845j</v>
      </c>
      <c r="AK228" s="136" t="str">
        <f t="shared" si="164"/>
        <v>19044.4297444277-246.451740836301j</v>
      </c>
      <c r="AL228" s="136" t="str">
        <f t="shared" si="165"/>
        <v>10000-42521.406149543j</v>
      </c>
      <c r="AM228" s="136" t="str">
        <f t="shared" si="166"/>
        <v>938.452532029939-13348.5061836501j</v>
      </c>
      <c r="AN228" s="136" t="str">
        <f t="shared" si="192"/>
        <v>10938.4525320299-13348.5061836501j</v>
      </c>
      <c r="AO228" s="136" t="str">
        <f t="shared" si="193"/>
        <v>8894.64581502282-4535.52637180882j</v>
      </c>
      <c r="AP228" s="136" t="str">
        <f t="shared" si="194"/>
        <v>0.505554332224549+0.407950101694494j</v>
      </c>
      <c r="AQ228" s="136" t="str">
        <f t="shared" si="167"/>
        <v>1+8.36180144901854j</v>
      </c>
      <c r="AR228" s="136" t="str">
        <f t="shared" si="168"/>
        <v>1+0.0166902224531308j</v>
      </c>
      <c r="AS228" s="136" t="str">
        <f t="shared" si="169"/>
        <v>0.0000261828907872393j</v>
      </c>
      <c r="AT228" s="136" t="str">
        <f t="shared" si="195"/>
        <v>-4.36998271705053E-07+0.0000261828907872393j</v>
      </c>
      <c r="AU228" s="179" t="str">
        <f t="shared" si="196"/>
        <v>318635.06967717-43510.9699693195j</v>
      </c>
      <c r="AV228" s="136" t="str">
        <f t="shared" si="170"/>
        <v>6783.26171143212-2872.88256733127j</v>
      </c>
      <c r="AW228" s="136"/>
      <c r="AX228" s="136" t="str">
        <f t="shared" si="171"/>
        <v>0.423953856964507-0.179555160458204j</v>
      </c>
      <c r="AY228" s="136"/>
      <c r="AZ228" s="136" t="str">
        <f t="shared" si="172"/>
        <v>11.3941320401684+7.62529319946193j</v>
      </c>
      <c r="BA228" s="136" t="str">
        <f t="shared" si="173"/>
        <v>6.1997469691625+1.18689725564271j</v>
      </c>
      <c r="BB228" s="136">
        <f t="shared" si="197"/>
        <v>16.003802354681383</v>
      </c>
      <c r="BC228" s="136">
        <f t="shared" si="198"/>
        <v>-169.16226499344771</v>
      </c>
      <c r="BD228" s="136" t="str">
        <f t="shared" si="174"/>
        <v>-0.71259992576892-0.18880318174141j</v>
      </c>
      <c r="BE228" s="136">
        <f t="shared" si="199"/>
        <v>-2.6484416638307047</v>
      </c>
      <c r="BF228" s="136">
        <f t="shared" si="200"/>
        <v>14.839537548556194</v>
      </c>
      <c r="BG228" s="136"/>
      <c r="BH228" s="136" t="str">
        <f t="shared" si="175"/>
        <v>-0.315621825935859-0.835664511296561j</v>
      </c>
      <c r="BI228" s="136">
        <f t="shared" si="201"/>
        <v>-0.98023062358168811</v>
      </c>
      <c r="BJ228" s="136">
        <f t="shared" si="202"/>
        <v>69.308968772430049</v>
      </c>
      <c r="BK228" s="136"/>
      <c r="BL228" s="136">
        <f t="shared" si="203"/>
        <v>1.9802306235816882</v>
      </c>
      <c r="BM228" s="136">
        <f t="shared" si="204"/>
        <v>-69.308968772430049</v>
      </c>
      <c r="BN228" s="136"/>
      <c r="BO228" s="189"/>
      <c r="BP228" s="189" t="str">
        <f t="shared" si="176"/>
        <v>0.00001+0.0000522612590563659j</v>
      </c>
      <c r="BQ228" s="189" t="str">
        <f t="shared" si="177"/>
        <v>0.000003080936094404+3.68453629662018E-07j</v>
      </c>
      <c r="BR228" s="189" t="str">
        <f t="shared" si="178"/>
        <v>-0.0837300952421331-0.0108156666210977j</v>
      </c>
      <c r="BS228" s="189" t="str">
        <f t="shared" si="179"/>
        <v>0.000065580936094404+0.0000526297126860279j</v>
      </c>
      <c r="BT228" s="189" t="str">
        <f t="shared" si="205"/>
        <v>-4.92187259847646E-06-0.0000051159923972638j</v>
      </c>
      <c r="BU228" s="189" t="str">
        <f t="shared" si="206"/>
        <v>-0.000003080936094404-3.68453629662018E-07j</v>
      </c>
      <c r="BV228" s="189" t="str">
        <f t="shared" si="207"/>
        <v>-8.00280869288046E-06-5.48444602692582E-06j</v>
      </c>
      <c r="BW228" s="189" t="str">
        <f t="shared" si="180"/>
        <v>0.993129223776852-0.0826048948745734j</v>
      </c>
      <c r="BX228" s="189" t="str">
        <f t="shared" si="208"/>
        <v>-0.00001-0.0000522612590563659j</v>
      </c>
      <c r="BY228" s="189" t="str">
        <f t="shared" si="209"/>
        <v>4.18756692127304+3.51247305869616j</v>
      </c>
      <c r="BZ228" s="136">
        <f t="shared" si="210"/>
        <v>14.752815096220464</v>
      </c>
      <c r="CA228" s="136">
        <f t="shared" si="211"/>
        <v>-140.01054228060096</v>
      </c>
      <c r="CB228" s="189" t="str">
        <f t="shared" si="181"/>
        <v>-0.459226146670407-0.443334181193601j</v>
      </c>
      <c r="CC228" s="136" t="str">
        <f t="shared" si="182"/>
        <v>0.113800153408605-0.765044660449521j</v>
      </c>
      <c r="CD228" s="136">
        <f t="shared" si="212"/>
        <v>-2.2312178820425954</v>
      </c>
      <c r="CE228" s="136">
        <f t="shared" si="213"/>
        <v>98.460691485276882</v>
      </c>
      <c r="CF228" s="136"/>
      <c r="CG228" s="136">
        <f t="shared" si="214"/>
        <v>3.2312178820425954</v>
      </c>
      <c r="CH228" s="136">
        <f t="shared" si="215"/>
        <v>-98.460691485276882</v>
      </c>
      <c r="CI228" s="77"/>
      <c r="CJ228" s="189"/>
      <c r="CK228" s="189"/>
      <c r="CL228" s="189"/>
      <c r="CM228" s="77"/>
      <c r="CN228" s="189">
        <v>199526.23149688699</v>
      </c>
      <c r="CO228" s="189">
        <v>-5.9794576034076297</v>
      </c>
      <c r="CP228" s="189">
        <v>47.467841033912102</v>
      </c>
      <c r="CQ228" s="74"/>
      <c r="CR228" s="75"/>
      <c r="CS228" s="75"/>
      <c r="CT228" s="75"/>
      <c r="CU228" s="74"/>
      <c r="CV228" s="75"/>
      <c r="CW228" s="75"/>
      <c r="CX228" s="75"/>
      <c r="CY228" s="74"/>
      <c r="CZ228" s="75"/>
      <c r="DA228" s="75"/>
      <c r="DB228" s="75"/>
      <c r="DC228" s="74"/>
      <c r="DD228" s="75"/>
      <c r="DE228" s="75"/>
      <c r="DF228" s="75"/>
      <c r="DG228" s="74"/>
      <c r="DH228" s="75"/>
      <c r="DI228" s="75"/>
      <c r="DJ228" s="75"/>
      <c r="DK228" s="74"/>
      <c r="DL228" s="75"/>
      <c r="DM228" s="75"/>
      <c r="DN228" s="75"/>
      <c r="DO228" s="76"/>
    </row>
    <row r="229" spans="1:119" x14ac:dyDescent="0.25">
      <c r="A229" s="136">
        <v>180</v>
      </c>
      <c r="B229" s="136">
        <f t="shared" si="144"/>
        <v>251188.643150958</v>
      </c>
      <c r="C229" s="136" t="str">
        <f t="shared" si="151"/>
        <v>1578264.79197648j</v>
      </c>
      <c r="D229" s="136">
        <f t="shared" si="145"/>
        <v>-0.57739336120049112</v>
      </c>
      <c r="E229" s="136" t="str">
        <f t="shared" si="146"/>
        <v>-1.9728309899706j</v>
      </c>
      <c r="F229" s="136" t="str">
        <f t="shared" si="152"/>
        <v>-0.577393361200491-1.9728309899706j</v>
      </c>
      <c r="G229" s="136">
        <f t="shared" si="153"/>
        <v>6.2587247457060657</v>
      </c>
      <c r="H229" s="136">
        <f t="shared" si="154"/>
        <v>-106.31330170271418</v>
      </c>
      <c r="I229" s="136"/>
      <c r="J229" s="136">
        <f t="shared" si="147"/>
        <v>7.0726915520628681</v>
      </c>
      <c r="K229" s="136" t="str">
        <f t="shared" si="148"/>
        <v>1+115.843583554546j</v>
      </c>
      <c r="L229" s="136">
        <f t="shared" si="149"/>
        <v>-731.76418973098339</v>
      </c>
      <c r="M229" s="136" t="str">
        <f t="shared" si="150"/>
        <v>8.47794234782826j</v>
      </c>
      <c r="N229" s="136" t="str">
        <f t="shared" si="155"/>
        <v>-731.764189730983+8.47794234782826j</v>
      </c>
      <c r="O229" s="136" t="str">
        <f t="shared" si="156"/>
        <v>0.00388594871567266-0.450316380309983j</v>
      </c>
      <c r="P229" s="136" t="str">
        <f t="shared" si="157"/>
        <v>0.0274841166530876-3.18494885877395j</v>
      </c>
      <c r="Q229" s="136"/>
      <c r="R229" s="136">
        <f t="shared" si="158"/>
        <v>11.787819253438114</v>
      </c>
      <c r="S229" s="136" t="str">
        <f t="shared" si="159"/>
        <v>1+0.0369593056766471j</v>
      </c>
      <c r="T229" s="136" t="str">
        <f t="shared" si="160"/>
        <v>-91.2495459305095+3.0080874581598j</v>
      </c>
      <c r="U229" s="136" t="str">
        <f t="shared" si="183"/>
        <v>-0.0109337244949472-0.000765471263320756j</v>
      </c>
      <c r="V229" s="136" t="str">
        <f t="shared" si="184"/>
        <v>-0.128884768113327-0.009023236895726j</v>
      </c>
      <c r="W229" s="136"/>
      <c r="X229" s="136" t="str">
        <f t="shared" si="161"/>
        <v>-0.52058820248981-0.606508196855688j</v>
      </c>
      <c r="Y229" s="136">
        <f t="shared" si="185"/>
        <v>-1.9459140052901505</v>
      </c>
      <c r="Z229" s="136">
        <f t="shared" si="186"/>
        <v>49.359299045977053</v>
      </c>
      <c r="AA229" s="136"/>
      <c r="AB229" s="136" t="str">
        <f t="shared" si="162"/>
        <v>-0.101319817707587-0.00709341166369212j</v>
      </c>
      <c r="AC229" s="136">
        <f t="shared" si="187"/>
        <v>-19.864877424877218</v>
      </c>
      <c r="AD229" s="136">
        <f t="shared" si="188"/>
        <v>4.0047494215702102</v>
      </c>
      <c r="AE229" s="136"/>
      <c r="AF229" s="136" t="str">
        <f t="shared" si="189"/>
        <v>-0.0740716120344875-0.10850473807086j</v>
      </c>
      <c r="AG229" s="136">
        <f t="shared" si="190"/>
        <v>-17.629621804227277</v>
      </c>
      <c r="AH229" s="136">
        <f t="shared" si="191"/>
        <v>55.680293569012491</v>
      </c>
      <c r="AI229" s="136"/>
      <c r="AJ229" s="136" t="str">
        <f t="shared" si="163"/>
        <v>3090.34737806789-17305.6202110661j</v>
      </c>
      <c r="AK229" s="136" t="str">
        <f t="shared" si="164"/>
        <v>19043.9573284447-264.071247403611j</v>
      </c>
      <c r="AL229" s="136" t="str">
        <f t="shared" si="165"/>
        <v>10000-39683.2851649967j</v>
      </c>
      <c r="AM229" s="136" t="str">
        <f t="shared" si="166"/>
        <v>934.9023504144-12477.9788211751j</v>
      </c>
      <c r="AN229" s="136" t="str">
        <f t="shared" si="192"/>
        <v>10934.9023504144-12477.9788211751j</v>
      </c>
      <c r="AO229" s="136" t="str">
        <f t="shared" si="193"/>
        <v>8678.62452904645-4334.19491721794j</v>
      </c>
      <c r="AP229" s="136" t="str">
        <f t="shared" si="194"/>
        <v>0.533625006562646+0.411648596747882j</v>
      </c>
      <c r="AQ229" s="136" t="str">
        <f t="shared" si="167"/>
        <v>1+8.95983167918717j</v>
      </c>
      <c r="AR229" s="136" t="str">
        <f t="shared" si="168"/>
        <v>1+0.0178838955672399j</v>
      </c>
      <c r="AS229" s="136" t="str">
        <f t="shared" si="169"/>
        <v>0.0000280554729454548j</v>
      </c>
      <c r="AT229" s="136" t="str">
        <f t="shared" si="195"/>
        <v>-5.01741148246038E-07+0.0000280554729454548j</v>
      </c>
      <c r="AU229" s="179" t="str">
        <f t="shared" si="196"/>
        <v>318621.923750182-41341.8705196586j</v>
      </c>
      <c r="AV229" s="136" t="str">
        <f t="shared" si="170"/>
        <v>6633.7825370593-3010.51317012257j</v>
      </c>
      <c r="AW229" s="136"/>
      <c r="AX229" s="136" t="str">
        <f t="shared" si="171"/>
        <v>0.414611408566206-0.188157073132661j</v>
      </c>
      <c r="AY229" s="136"/>
      <c r="AZ229" s="136" t="str">
        <f t="shared" si="172"/>
        <v>11.9805010727+7.7523955440503j</v>
      </c>
      <c r="BA229" s="136" t="str">
        <f t="shared" si="173"/>
        <v>6.42592048041628+0.960015619779136j</v>
      </c>
      <c r="BB229" s="136">
        <f t="shared" si="197"/>
        <v>16.254573701022434</v>
      </c>
      <c r="BC229" s="136">
        <f t="shared" si="198"/>
        <v>-171.50300573751963</v>
      </c>
      <c r="BD229" s="136" t="str">
        <f t="shared" si="174"/>
        <v>-0.644263305684556-0.142850306878201j</v>
      </c>
      <c r="BE229" s="136">
        <f t="shared" si="199"/>
        <v>-3.610303723854825</v>
      </c>
      <c r="BF229" s="136">
        <f t="shared" si="200"/>
        <v>12.501743684050666</v>
      </c>
      <c r="BG229" s="136"/>
      <c r="BH229" s="136" t="str">
        <f t="shared" si="175"/>
        <v>-0.371812045421791-0.768352723127067j</v>
      </c>
      <c r="BI229" s="136">
        <f t="shared" si="201"/>
        <v>-1.3750481032048936</v>
      </c>
      <c r="BJ229" s="136">
        <f t="shared" si="202"/>
        <v>64.177287831492833</v>
      </c>
      <c r="BK229" s="136"/>
      <c r="BL229" s="136">
        <f t="shared" si="203"/>
        <v>2.3750481032048936</v>
      </c>
      <c r="BM229" s="136">
        <f t="shared" si="204"/>
        <v>-64.177287831492833</v>
      </c>
      <c r="BN229" s="136"/>
      <c r="BO229" s="189"/>
      <c r="BP229" s="189" t="str">
        <f t="shared" si="176"/>
        <v>0.00001+0.0000559989479949198j</v>
      </c>
      <c r="BQ229" s="189" t="str">
        <f t="shared" si="177"/>
        <v>3.08655198753475E-06+3.44487720087925E-07j</v>
      </c>
      <c r="BR229" s="189" t="str">
        <f t="shared" si="178"/>
        <v>-0.0839085278647333-0.010115369808366j</v>
      </c>
      <c r="BS229" s="189" t="str">
        <f t="shared" si="179"/>
        <v>0.0000655865519875347+0.0000563434357150077j</v>
      </c>
      <c r="BT229" s="189" t="str">
        <f t="shared" si="205"/>
        <v>-4.93333633646664E-06-5.39112697349707E-06j</v>
      </c>
      <c r="BU229" s="189" t="str">
        <f t="shared" si="206"/>
        <v>-3.08655198753475E-06-3.44487720087925E-07j</v>
      </c>
      <c r="BV229" s="189" t="str">
        <f t="shared" si="207"/>
        <v>-8.01988832400139E-06-5.73561469358499E-06j</v>
      </c>
      <c r="BW229" s="189" t="str">
        <f t="shared" si="180"/>
        <v>0.992119315385182-0.0884227313806775j</v>
      </c>
      <c r="BX229" s="189" t="str">
        <f t="shared" si="208"/>
        <v>-0.00001-0.0000559989479949198j</v>
      </c>
      <c r="BY229" s="189" t="str">
        <f t="shared" si="209"/>
        <v>4.45260152923666+3.63284408714787j</v>
      </c>
      <c r="BZ229" s="136">
        <f t="shared" si="210"/>
        <v>15.188193723005561</v>
      </c>
      <c r="CA229" s="136">
        <f t="shared" si="211"/>
        <v>-140.78925325481154</v>
      </c>
      <c r="CB229" s="189" t="str">
        <f t="shared" si="181"/>
        <v>-0.42536751664663-0.399663236291167j</v>
      </c>
      <c r="CC229" s="136" t="str">
        <f t="shared" si="182"/>
        <v>0.0643694231104679-0.75221898046873j</v>
      </c>
      <c r="CD229" s="136">
        <f t="shared" si="212"/>
        <v>-2.4414280812217548</v>
      </c>
      <c r="CE229" s="136">
        <f t="shared" si="213"/>
        <v>94.891040314200922</v>
      </c>
      <c r="CF229" s="136"/>
      <c r="CG229" s="136">
        <f t="shared" si="214"/>
        <v>3.4414280812217548</v>
      </c>
      <c r="CH229" s="136">
        <f t="shared" si="215"/>
        <v>-94.891040314200922</v>
      </c>
      <c r="CI229" s="77"/>
      <c r="CJ229" s="189"/>
      <c r="CK229" s="189"/>
      <c r="CL229" s="189"/>
      <c r="CM229" s="77"/>
      <c r="CN229" s="189">
        <v>208929.61308540299</v>
      </c>
      <c r="CO229" s="189">
        <v>-6.3211816806236696</v>
      </c>
      <c r="CP229" s="189">
        <v>42.215315567792402</v>
      </c>
      <c r="CQ229" s="74"/>
      <c r="CR229" s="75"/>
      <c r="CS229" s="75"/>
      <c r="CT229" s="75"/>
      <c r="CU229" s="74"/>
      <c r="CV229" s="75"/>
      <c r="CW229" s="75"/>
      <c r="CX229" s="75"/>
      <c r="CY229" s="74"/>
      <c r="CZ229" s="75"/>
      <c r="DA229" s="75"/>
      <c r="DB229" s="75"/>
      <c r="DC229" s="74"/>
      <c r="DD229" s="75"/>
      <c r="DE229" s="75"/>
      <c r="DF229" s="75"/>
      <c r="DG229" s="74"/>
      <c r="DH229" s="75"/>
      <c r="DI229" s="75"/>
      <c r="DJ229" s="75"/>
      <c r="DK229" s="74"/>
      <c r="DL229" s="75"/>
      <c r="DM229" s="75"/>
      <c r="DN229" s="75"/>
      <c r="DO229" s="76"/>
    </row>
    <row r="230" spans="1:119" x14ac:dyDescent="0.25">
      <c r="A230" s="136">
        <v>181</v>
      </c>
      <c r="B230" s="136">
        <f t="shared" si="144"/>
        <v>269153.48039269145</v>
      </c>
      <c r="C230" s="136" t="str">
        <f t="shared" si="151"/>
        <v>1691141.19337961j</v>
      </c>
      <c r="D230" s="136">
        <f t="shared" si="145"/>
        <v>-0.81108990018747762</v>
      </c>
      <c r="E230" s="136" t="str">
        <f t="shared" si="146"/>
        <v>-2.11392649172451j</v>
      </c>
      <c r="F230" s="136" t="str">
        <f t="shared" si="152"/>
        <v>-0.811089900187478-2.11392649172451j</v>
      </c>
      <c r="G230" s="136">
        <f t="shared" si="153"/>
        <v>7.0982537016843796</v>
      </c>
      <c r="H230" s="136">
        <f t="shared" si="154"/>
        <v>-110.99124825924865</v>
      </c>
      <c r="I230" s="136"/>
      <c r="J230" s="136">
        <f t="shared" si="147"/>
        <v>7.0726915520628681</v>
      </c>
      <c r="K230" s="136" t="str">
        <f t="shared" si="148"/>
        <v>1+124.128636166601j</v>
      </c>
      <c r="L230" s="136">
        <f t="shared" si="149"/>
        <v>-840.32585814285449</v>
      </c>
      <c r="M230" s="136" t="str">
        <f t="shared" si="150"/>
        <v>9.08427889438941j</v>
      </c>
      <c r="N230" s="136" t="str">
        <f t="shared" si="155"/>
        <v>-840.325858142854+9.08427889438941j</v>
      </c>
      <c r="O230" s="136" t="str">
        <f t="shared" si="156"/>
        <v>0.0033620031625121-0.419682343167487j</v>
      </c>
      <c r="P230" s="136" t="str">
        <f t="shared" si="157"/>
        <v>0.023778411365508-2.96828376307063j</v>
      </c>
      <c r="Q230" s="136"/>
      <c r="R230" s="136">
        <f t="shared" si="158"/>
        <v>11.787819253438114</v>
      </c>
      <c r="S230" s="136" t="str">
        <f t="shared" si="159"/>
        <v>1+0.0396026095407052j</v>
      </c>
      <c r="T230" s="136" t="str">
        <f t="shared" si="160"/>
        <v>-104.916650241557+3.22322378326134j</v>
      </c>
      <c r="U230" s="136" t="str">
        <f t="shared" si="183"/>
        <v>-0.00951080259285946-0.000669655907752996j</v>
      </c>
      <c r="V230" s="136" t="str">
        <f t="shared" si="184"/>
        <v>-0.112111621919758-0.00789378280258934j</v>
      </c>
      <c r="W230" s="136"/>
      <c r="X230" s="136" t="str">
        <f t="shared" si="161"/>
        <v>-0.520731261990172-0.544630946902155j</v>
      </c>
      <c r="Y230" s="136">
        <f t="shared" si="185"/>
        <v>-2.458169145440237</v>
      </c>
      <c r="Z230" s="136">
        <f t="shared" si="186"/>
        <v>46.285122959352208</v>
      </c>
      <c r="AA230" s="136"/>
      <c r="AB230" s="136" t="str">
        <f t="shared" si="162"/>
        <v>-0.0881339917981913-0.00620551711648642j</v>
      </c>
      <c r="AC230" s="136">
        <f t="shared" si="187"/>
        <v>-21.075653913916916</v>
      </c>
      <c r="AD230" s="136">
        <f t="shared" si="188"/>
        <v>4.0275507769689511</v>
      </c>
      <c r="AE230" s="136"/>
      <c r="AF230" s="136" t="str">
        <f t="shared" si="189"/>
        <v>-0.0738334998065614-0.096850727677302j</v>
      </c>
      <c r="AG230" s="136">
        <f t="shared" si="190"/>
        <v>-18.288164130266754</v>
      </c>
      <c r="AH230" s="136">
        <f t="shared" si="191"/>
        <v>52.680158652532086</v>
      </c>
      <c r="AI230" s="136"/>
      <c r="AJ230" s="136" t="str">
        <f t="shared" si="163"/>
        <v>2702.35616015964-16215.2054319275j</v>
      </c>
      <c r="AK230" s="136" t="str">
        <f t="shared" si="164"/>
        <v>19043.4149512253-282.949380844302j</v>
      </c>
      <c r="AL230" s="136" t="str">
        <f t="shared" si="165"/>
        <v>10000-37034.5965499866j</v>
      </c>
      <c r="AM230" s="136" t="str">
        <f t="shared" si="166"/>
        <v>930.859178149239-11666.8393018906j</v>
      </c>
      <c r="AN230" s="136" t="str">
        <f t="shared" si="192"/>
        <v>10930.8591781492-11666.8393018906j</v>
      </c>
      <c r="AO230" s="136" t="str">
        <f t="shared" si="193"/>
        <v>8482.50182691594-4133.71936762718j</v>
      </c>
      <c r="AP230" s="136" t="str">
        <f t="shared" si="194"/>
        <v>0.56207227922787+0.413423191653012j</v>
      </c>
      <c r="AQ230" s="136" t="str">
        <f t="shared" si="167"/>
        <v>1+9.60063261592853j</v>
      </c>
      <c r="AR230" s="136" t="str">
        <f t="shared" si="168"/>
        <v>1+0.0191629393531508j</v>
      </c>
      <c r="AS230" s="136" t="str">
        <f t="shared" si="169"/>
        <v>0.0000300619808786262j</v>
      </c>
      <c r="AT230" s="136" t="str">
        <f t="shared" si="195"/>
        <v>-5.76075916412693E-07+0.0000300619808786262j</v>
      </c>
      <c r="AU230" s="179" t="str">
        <f t="shared" si="196"/>
        <v>318606.831544125-39370.0510700083j</v>
      </c>
      <c r="AV230" s="136" t="str">
        <f t="shared" si="170"/>
        <v>6470.08133910041-3146.21966464962j</v>
      </c>
      <c r="AW230" s="136"/>
      <c r="AX230" s="136" t="str">
        <f t="shared" si="171"/>
        <v>0.404380083693776-0.196638729040601j</v>
      </c>
      <c r="AY230" s="136"/>
      <c r="AZ230" s="136" t="str">
        <f t="shared" si="172"/>
        <v>12.584601152563+7.83586142166031j</v>
      </c>
      <c r="BA230" s="136" t="str">
        <f t="shared" si="173"/>
        <v>6.62979589821978+0.694046321380956j</v>
      </c>
      <c r="BB230" s="136">
        <f t="shared" si="197"/>
        <v>16.477339216011124</v>
      </c>
      <c r="BC230" s="136">
        <f t="shared" si="198"/>
        <v>-174.02370652498317</v>
      </c>
      <c r="BD230" s="136" t="str">
        <f t="shared" si="174"/>
        <v>-0.58000346099042-0.102310384721368j</v>
      </c>
      <c r="BE230" s="136">
        <f t="shared" si="199"/>
        <v>-4.5983146979058001</v>
      </c>
      <c r="BF230" s="136">
        <f t="shared" si="200"/>
        <v>10.003844251985782</v>
      </c>
      <c r="BG230" s="136"/>
      <c r="BH230" s="136" t="str">
        <f t="shared" si="175"/>
        <v>-0.422282142901252-0.693344426030002j</v>
      </c>
      <c r="BI230" s="136">
        <f t="shared" si="201"/>
        <v>-1.8108249142556379</v>
      </c>
      <c r="BJ230" s="136">
        <f t="shared" si="202"/>
        <v>58.656452127548818</v>
      </c>
      <c r="BK230" s="136"/>
      <c r="BL230" s="136">
        <f t="shared" si="203"/>
        <v>2.8108249142556376</v>
      </c>
      <c r="BM230" s="136">
        <f t="shared" si="204"/>
        <v>-58.656452127548818</v>
      </c>
      <c r="BN230" s="136"/>
      <c r="BO230" s="189"/>
      <c r="BP230" s="189" t="str">
        <f t="shared" si="176"/>
        <v>0.00001+0.0000600039538495533j</v>
      </c>
      <c r="BQ230" s="189" t="str">
        <f t="shared" si="177"/>
        <v>0.0000030914599334333+3.22005857020736E-07j</v>
      </c>
      <c r="BR230" s="189" t="str">
        <f t="shared" si="178"/>
        <v>-0.0840645596284453-0.00945784192383083j</v>
      </c>
      <c r="BS230" s="189" t="str">
        <f t="shared" si="179"/>
        <v>0.0000655914599334333+0.000060325959706574j</v>
      </c>
      <c r="BT230" s="189" t="str">
        <f t="shared" si="205"/>
        <v>-4.94336380388272E-06-5.69162889650017E-06j</v>
      </c>
      <c r="BU230" s="189" t="str">
        <f t="shared" si="206"/>
        <v>-0.0000030914599334333-3.22005857020736E-07j</v>
      </c>
      <c r="BV230" s="189" t="str">
        <f t="shared" si="207"/>
        <v>-8.03482373731602E-06-6.01363475352091E-06j</v>
      </c>
      <c r="BW230" s="189" t="str">
        <f t="shared" si="180"/>
        <v>0.990962315386057-0.0946361710487141j</v>
      </c>
      <c r="BX230" s="189" t="str">
        <f t="shared" si="208"/>
        <v>-0.00001-0.0000600039538495533j</v>
      </c>
      <c r="BY230" s="189" t="str">
        <f t="shared" si="209"/>
        <v>4.73716632693088+3.7371955195839j</v>
      </c>
      <c r="BZ230" s="136">
        <f t="shared" si="210"/>
        <v>15.611893690092787</v>
      </c>
      <c r="CA230" s="136">
        <f t="shared" si="211"/>
        <v>-141.72975601810188</v>
      </c>
      <c r="CB230" s="189" t="str">
        <f t="shared" si="181"/>
        <v>-0.39431414743996-0.358770525996657j</v>
      </c>
      <c r="CC230" s="136" t="str">
        <f t="shared" si="182"/>
        <v>0.0121885364609525-0.734728230563947j</v>
      </c>
      <c r="CD230" s="136">
        <f t="shared" si="212"/>
        <v>-2.6762704401739743</v>
      </c>
      <c r="CE230" s="136">
        <f t="shared" si="213"/>
        <v>90.950402634430134</v>
      </c>
      <c r="CF230" s="136"/>
      <c r="CG230" s="136">
        <f t="shared" si="214"/>
        <v>3.6762704401739743</v>
      </c>
      <c r="CH230" s="136">
        <f t="shared" si="215"/>
        <v>-90.950402634430134</v>
      </c>
      <c r="CI230" s="77"/>
      <c r="CJ230" s="189"/>
      <c r="CK230" s="189"/>
      <c r="CL230" s="189"/>
      <c r="CM230" s="77"/>
      <c r="CN230" s="189">
        <v>218776.162394955</v>
      </c>
      <c r="CO230" s="189">
        <v>-6.70003263326437</v>
      </c>
      <c r="CP230" s="189">
        <v>36.5898854716161</v>
      </c>
      <c r="CQ230" s="74"/>
      <c r="CR230" s="75"/>
      <c r="CS230" s="75"/>
      <c r="CT230" s="75"/>
      <c r="CU230" s="74"/>
      <c r="CV230" s="75"/>
      <c r="CW230" s="75"/>
      <c r="CX230" s="75"/>
      <c r="CY230" s="74"/>
      <c r="CZ230" s="75"/>
      <c r="DA230" s="75"/>
      <c r="DB230" s="75"/>
      <c r="DC230" s="74"/>
      <c r="DD230" s="75"/>
      <c r="DE230" s="75"/>
      <c r="DF230" s="75"/>
      <c r="DG230" s="74"/>
      <c r="DH230" s="75"/>
      <c r="DI230" s="75"/>
      <c r="DJ230" s="75"/>
      <c r="DK230" s="74"/>
      <c r="DL230" s="75"/>
      <c r="DM230" s="75"/>
      <c r="DN230" s="75"/>
      <c r="DO230" s="76"/>
    </row>
    <row r="231" spans="1:119" x14ac:dyDescent="0.25">
      <c r="A231" s="136">
        <v>182</v>
      </c>
      <c r="B231" s="136">
        <f t="shared" si="144"/>
        <v>288403.1503126609</v>
      </c>
      <c r="C231" s="136" t="str">
        <f t="shared" si="151"/>
        <v>1812090.43658882j</v>
      </c>
      <c r="D231" s="136">
        <f t="shared" si="145"/>
        <v>-1.0794094277566897</v>
      </c>
      <c r="E231" s="136" t="str">
        <f t="shared" si="146"/>
        <v>-2.26511304573603j</v>
      </c>
      <c r="F231" s="136" t="str">
        <f t="shared" si="152"/>
        <v>-1.07940942775669-2.26511304573603j</v>
      </c>
      <c r="G231" s="136">
        <f t="shared" si="153"/>
        <v>7.9905518785478442</v>
      </c>
      <c r="H231" s="136">
        <f t="shared" si="154"/>
        <v>-115.47951188761039</v>
      </c>
      <c r="I231" s="136"/>
      <c r="J231" s="136">
        <f t="shared" si="147"/>
        <v>7.0726915520628681</v>
      </c>
      <c r="K231" s="136" t="str">
        <f t="shared" si="148"/>
        <v>1+133.006229985328j</v>
      </c>
      <c r="L231" s="136">
        <f t="shared" si="149"/>
        <v>-964.97133088569535</v>
      </c>
      <c r="M231" s="136" t="str">
        <f t="shared" si="150"/>
        <v>9.73398020950081j</v>
      </c>
      <c r="N231" s="136" t="str">
        <f t="shared" si="155"/>
        <v>-964.971330885695+9.73398020950081j</v>
      </c>
      <c r="O231" s="136" t="str">
        <f t="shared" si="156"/>
        <v>0.00291117770740096-0.391202140084964j</v>
      </c>
      <c r="P231" s="136" t="str">
        <f t="shared" si="157"/>
        <v>0.0205898619776885-2.76685207132784j</v>
      </c>
      <c r="Q231" s="136"/>
      <c r="R231" s="136">
        <f t="shared" si="158"/>
        <v>11.787819253438114</v>
      </c>
      <c r="S231" s="136" t="str">
        <f t="shared" si="159"/>
        <v>1+0.0424349606606526j</v>
      </c>
      <c r="T231" s="136" t="str">
        <f t="shared" si="160"/>
        <v>-120.608585551663+3.45374650886552j</v>
      </c>
      <c r="U231" s="136" t="str">
        <f t="shared" si="183"/>
        <v>-0.00827442321552516-0.00058878661605504j</v>
      </c>
      <c r="V231" s="136" t="str">
        <f t="shared" si="184"/>
        <v>-0.0975374052910628-0.00694051020890028j</v>
      </c>
      <c r="W231" s="136"/>
      <c r="X231" s="136" t="str">
        <f t="shared" si="161"/>
        <v>-0.520848149138928-0.485611396632533j</v>
      </c>
      <c r="Y231" s="136">
        <f t="shared" si="185"/>
        <v>-2.9490534204159946</v>
      </c>
      <c r="Z231" s="136">
        <f t="shared" si="186"/>
        <v>42.994859379729121</v>
      </c>
      <c r="AA231" s="136"/>
      <c r="AB231" s="136" t="str">
        <f t="shared" si="162"/>
        <v>-0.0766768041594482-0.00545612363243028j</v>
      </c>
      <c r="AC231" s="136">
        <f t="shared" si="187"/>
        <v>-22.284785441589555</v>
      </c>
      <c r="AD231" s="136">
        <f t="shared" si="188"/>
        <v>4.0701595675835733</v>
      </c>
      <c r="AE231" s="136"/>
      <c r="AF231" s="136" t="str">
        <f t="shared" si="189"/>
        <v>-0.0732486379125831-0.0856231629218645j</v>
      </c>
      <c r="AG231" s="136">
        <f t="shared" si="190"/>
        <v>-18.963095186590941</v>
      </c>
      <c r="AH231" s="136">
        <f t="shared" si="191"/>
        <v>49.453776150064783</v>
      </c>
      <c r="AI231" s="136"/>
      <c r="AJ231" s="136" t="str">
        <f t="shared" si="163"/>
        <v>2361.88978749232-15185.8636692475j</v>
      </c>
      <c r="AK231" s="136" t="str">
        <f t="shared" si="164"/>
        <v>19042.7922569543-303.175810210876j</v>
      </c>
      <c r="AL231" s="136" t="str">
        <f t="shared" si="165"/>
        <v>10000-34562.6965085565j</v>
      </c>
      <c r="AM231" s="136" t="str">
        <f t="shared" si="166"/>
        <v>926.259908624432-10911.1776129251j</v>
      </c>
      <c r="AN231" s="136" t="str">
        <f t="shared" si="192"/>
        <v>10926.2599086244-10911.1776129251j</v>
      </c>
      <c r="AO231" s="136" t="str">
        <f t="shared" si="193"/>
        <v>8305.13573501295-3935.89821429061j</v>
      </c>
      <c r="AP231" s="136" t="str">
        <f t="shared" si="194"/>
        <v>0.590628974512423+0.413232005752634j</v>
      </c>
      <c r="AQ231" s="136" t="str">
        <f t="shared" si="167"/>
        <v>1+10.2872631904612j</v>
      </c>
      <c r="AR231" s="136" t="str">
        <f t="shared" si="168"/>
        <v>1+0.0205334594619985j</v>
      </c>
      <c r="AS231" s="136" t="str">
        <f t="shared" si="169"/>
        <v>0.0000322119928651317j</v>
      </c>
      <c r="AT231" s="136" t="str">
        <f t="shared" si="195"/>
        <v>-6.61423649686367E-07+0.0000322119928651317j</v>
      </c>
      <c r="AU231" s="179" t="str">
        <f t="shared" si="196"/>
        <v>318589.505136161-37586.0828700697j</v>
      </c>
      <c r="AV231" s="136" t="str">
        <f t="shared" si="170"/>
        <v>6291.81610750472-3278.35003155275j</v>
      </c>
      <c r="AW231" s="136"/>
      <c r="AX231" s="136" t="str">
        <f t="shared" si="171"/>
        <v>0.393238506719045-0.204896876972047j</v>
      </c>
      <c r="AY231" s="136"/>
      <c r="AZ231" s="136" t="str">
        <f t="shared" si="172"/>
        <v>13.2012064406135+7.87292729283882j</v>
      </c>
      <c r="BA231" s="136" t="str">
        <f t="shared" si="173"/>
        <v>6.80436092252736+0.391052200198572j</v>
      </c>
      <c r="BB231" s="136">
        <f t="shared" si="197"/>
        <v>16.670067489612677</v>
      </c>
      <c r="BC231" s="136">
        <f t="shared" si="198"/>
        <v>-176.7107827114784</v>
      </c>
      <c r="BD231" s="136" t="str">
        <f t="shared" si="174"/>
        <v>-0.519603020735815-0.0671100674037339j</v>
      </c>
      <c r="BE231" s="136">
        <f t="shared" si="199"/>
        <v>-5.6147179519768837</v>
      </c>
      <c r="BF231" s="136">
        <f t="shared" si="200"/>
        <v>7.3593768561051434</v>
      </c>
      <c r="BG231" s="136"/>
      <c r="BH231" s="136" t="str">
        <f t="shared" si="175"/>
        <v>-0.46492704319218-0.611254944865992j</v>
      </c>
      <c r="BI231" s="136">
        <f t="shared" si="201"/>
        <v>-2.2930276969782746</v>
      </c>
      <c r="BJ231" s="136">
        <f t="shared" si="202"/>
        <v>52.742993438586382</v>
      </c>
      <c r="BK231" s="136"/>
      <c r="BL231" s="136">
        <f t="shared" si="203"/>
        <v>3.2930276969782746</v>
      </c>
      <c r="BM231" s="136">
        <f t="shared" si="204"/>
        <v>-52.742993438586382</v>
      </c>
      <c r="BN231" s="136"/>
      <c r="BO231" s="189"/>
      <c r="BP231" s="189" t="str">
        <f t="shared" si="176"/>
        <v>0.00001+0.0000642953949403827j</v>
      </c>
      <c r="BQ231" s="189" t="str">
        <f t="shared" si="177"/>
        <v>3.09574731044251E-06+3.00930116506888E-07j</v>
      </c>
      <c r="BR231" s="189" t="str">
        <f t="shared" si="178"/>
        <v>-0.0842009332166201-0.00884095163487962j</v>
      </c>
      <c r="BS231" s="189" t="str">
        <f t="shared" si="179"/>
        <v>0.0000655957473104425+0.0000645963250568896j</v>
      </c>
      <c r="BT231" s="189" t="str">
        <f t="shared" si="205"/>
        <v>-4.95213015296193E-06-6.01899968157965E-06j</v>
      </c>
      <c r="BU231" s="189" t="str">
        <f t="shared" si="206"/>
        <v>-3.09574731044251E-06-3.00930116506888E-07j</v>
      </c>
      <c r="BV231" s="189" t="str">
        <f t="shared" si="207"/>
        <v>-8.04787746340444E-06-6.31992979808654E-06j</v>
      </c>
      <c r="BW231" s="189" t="str">
        <f t="shared" si="180"/>
        <v>0.989637225080786-0.101268888683484j</v>
      </c>
      <c r="BX231" s="189" t="str">
        <f t="shared" si="208"/>
        <v>-0.00001-0.0000642953949403827j</v>
      </c>
      <c r="BY231" s="189" t="str">
        <f t="shared" si="209"/>
        <v>5.04037553766308+3.8223255676165j</v>
      </c>
      <c r="BZ231" s="136">
        <f t="shared" si="210"/>
        <v>16.022288806406525</v>
      </c>
      <c r="CA231" s="136">
        <f t="shared" si="211"/>
        <v>-142.82545082076027</v>
      </c>
      <c r="CB231" s="189" t="str">
        <f t="shared" si="181"/>
        <v>-0.365624807131151-0.320584621069149j</v>
      </c>
      <c r="CC231" s="136" t="str">
        <f t="shared" si="182"/>
        <v>-0.0419210378852892-0.711553037335056j</v>
      </c>
      <c r="CD231" s="136">
        <f t="shared" si="212"/>
        <v>-2.940806380184414</v>
      </c>
      <c r="CE231" s="136">
        <f t="shared" si="213"/>
        <v>86.628325329304474</v>
      </c>
      <c r="CF231" s="136"/>
      <c r="CG231" s="136">
        <f t="shared" si="214"/>
        <v>3.940806380184414</v>
      </c>
      <c r="CH231" s="136">
        <f t="shared" si="215"/>
        <v>-86.628325329304474</v>
      </c>
      <c r="CI231" s="77"/>
      <c r="CJ231" s="189"/>
      <c r="CK231" s="189"/>
      <c r="CL231" s="189"/>
      <c r="CM231" s="77"/>
      <c r="CN231" s="189">
        <v>229086.76527677701</v>
      </c>
      <c r="CO231" s="189">
        <v>-7.1245517016511197</v>
      </c>
      <c r="CP231" s="189">
        <v>30.5616025114271</v>
      </c>
      <c r="CQ231" s="74"/>
      <c r="CR231" s="75"/>
      <c r="CS231" s="75"/>
      <c r="CT231" s="75"/>
      <c r="CU231" s="74"/>
      <c r="CV231" s="75"/>
      <c r="CW231" s="75"/>
      <c r="CX231" s="75"/>
      <c r="CY231" s="74"/>
      <c r="CZ231" s="75"/>
      <c r="DA231" s="75"/>
      <c r="DB231" s="75"/>
      <c r="DC231" s="74"/>
      <c r="DD231" s="75"/>
      <c r="DE231" s="75"/>
      <c r="DF231" s="75"/>
      <c r="DG231" s="74"/>
      <c r="DH231" s="75"/>
      <c r="DI231" s="75"/>
      <c r="DJ231" s="75"/>
      <c r="DK231" s="74"/>
      <c r="DL231" s="75"/>
      <c r="DM231" s="75"/>
      <c r="DN231" s="75"/>
      <c r="DO231" s="76"/>
    </row>
    <row r="232" spans="1:119" x14ac:dyDescent="0.25">
      <c r="A232" s="136">
        <v>183</v>
      </c>
      <c r="B232" s="136">
        <f t="shared" si="144"/>
        <v>309029.54325135931</v>
      </c>
      <c r="C232" s="136" t="str">
        <f t="shared" si="151"/>
        <v>1941689.88564136j</v>
      </c>
      <c r="D232" s="136">
        <f t="shared" si="145"/>
        <v>-1.3874814650535972</v>
      </c>
      <c r="E232" s="136" t="str">
        <f t="shared" si="146"/>
        <v>-2.4271123570517j</v>
      </c>
      <c r="F232" s="136" t="str">
        <f t="shared" si="152"/>
        <v>-1.3874814650536-2.4271123570517j</v>
      </c>
      <c r="G232" s="136">
        <f t="shared" si="153"/>
        <v>8.9298339549587897</v>
      </c>
      <c r="H232" s="136">
        <f t="shared" si="154"/>
        <v>-119.75484801005284</v>
      </c>
      <c r="I232" s="136"/>
      <c r="J232" s="136">
        <f t="shared" si="147"/>
        <v>7.0726915520628681</v>
      </c>
      <c r="K232" s="136" t="str">
        <f t="shared" si="148"/>
        <v>1+142.518743146152j</v>
      </c>
      <c r="L232" s="136">
        <f t="shared" si="149"/>
        <v>-1108.0834818185717</v>
      </c>
      <c r="M232" s="136" t="str">
        <f t="shared" si="150"/>
        <v>10.4301477112809j</v>
      </c>
      <c r="N232" s="136" t="str">
        <f t="shared" si="155"/>
        <v>-1108.08348181857+10.4301477112809j</v>
      </c>
      <c r="O232" s="136" t="str">
        <f t="shared" si="156"/>
        <v>0.00252268042929457-0.364711265802648j</v>
      </c>
      <c r="P232" s="136" t="str">
        <f t="shared" si="157"/>
        <v>0.017842140560826-2.57949028858454j</v>
      </c>
      <c r="Q232" s="136"/>
      <c r="R232" s="136">
        <f t="shared" si="158"/>
        <v>11.787819253438114</v>
      </c>
      <c r="S232" s="136" t="str">
        <f t="shared" si="159"/>
        <v>1+0.0454698795648877j</v>
      </c>
      <c r="T232" s="136" t="str">
        <f t="shared" si="160"/>
        <v>-138.625337906256+3.7007560596464j</v>
      </c>
      <c r="U232" s="136" t="str">
        <f t="shared" si="183"/>
        <v>-0.00719980082127319-0.000520212157255323j</v>
      </c>
      <c r="V232" s="136" t="str">
        <f t="shared" si="184"/>
        <v>-0.0848699507419237-0.00613216688316687j</v>
      </c>
      <c r="W232" s="136"/>
      <c r="X232" s="136" t="str">
        <f t="shared" si="161"/>
        <v>-0.520944143317154-0.429118853883158j</v>
      </c>
      <c r="Y232" s="136">
        <f t="shared" si="185"/>
        <v>-3.4148702886658215</v>
      </c>
      <c r="Z232" s="136">
        <f t="shared" si="186"/>
        <v>39.479408057107378</v>
      </c>
      <c r="AA232" s="136"/>
      <c r="AB232" s="136" t="str">
        <f t="shared" si="162"/>
        <v>-0.066718573993651-0.00482066298329881j</v>
      </c>
      <c r="AC232" s="136">
        <f t="shared" si="187"/>
        <v>-23.492451112909865</v>
      </c>
      <c r="AD232" s="136">
        <f t="shared" si="188"/>
        <v>4.1326496913314088</v>
      </c>
      <c r="AE232" s="136"/>
      <c r="AF232" s="136" t="str">
        <f t="shared" si="189"/>
        <v>-0.0722692838918943-0.0747987416458365j</v>
      </c>
      <c r="AG232" s="136">
        <f t="shared" si="190"/>
        <v>-19.658650207138045</v>
      </c>
      <c r="AH232" s="136">
        <f t="shared" si="191"/>
        <v>45.985346510723332</v>
      </c>
      <c r="AI232" s="136"/>
      <c r="AJ232" s="136" t="str">
        <f t="shared" si="163"/>
        <v>2063.40865439277-14215.5974255131j</v>
      </c>
      <c r="AK232" s="136" t="str">
        <f t="shared" si="164"/>
        <v>19042.0773584892-324.846537778503j</v>
      </c>
      <c r="AL232" s="136" t="str">
        <f t="shared" si="165"/>
        <v>10000-32255.7851637514j</v>
      </c>
      <c r="AM232" s="136" t="str">
        <f t="shared" si="166"/>
        <v>921.034972367854-10207.3409251232j</v>
      </c>
      <c r="AN232" s="136" t="str">
        <f t="shared" si="192"/>
        <v>10921.0349723679-10207.3409251232j</v>
      </c>
      <c r="AO232" s="136" t="str">
        <f t="shared" si="193"/>
        <v>8145.26095078725-3742.24210803966j</v>
      </c>
      <c r="AP232" s="136" t="str">
        <f t="shared" si="194"/>
        <v>0.619023787151104+0.411079571725623j</v>
      </c>
      <c r="AQ232" s="136" t="str">
        <f t="shared" si="167"/>
        <v>1+11.0230011066394j</v>
      </c>
      <c r="AR232" s="136" t="str">
        <f t="shared" si="168"/>
        <v>1+0.0220019982168452j</v>
      </c>
      <c r="AS232" s="136" t="str">
        <f t="shared" si="169"/>
        <v>0.0000345157722151647j</v>
      </c>
      <c r="AT232" s="136" t="str">
        <f t="shared" si="195"/>
        <v>-7.59415958731089E-07+0.0000345157722151647j</v>
      </c>
      <c r="AU232" s="179" t="str">
        <f t="shared" si="196"/>
        <v>318569.614081919-35981.4302041015j</v>
      </c>
      <c r="AV232" s="136" t="str">
        <f t="shared" si="170"/>
        <v>6098.88280627361-3405.09779089074j</v>
      </c>
      <c r="AW232" s="136"/>
      <c r="AX232" s="136" t="str">
        <f t="shared" si="171"/>
        <v>0.381180175392101-0.212818611930671j</v>
      </c>
      <c r="AY232" s="136"/>
      <c r="AZ232" s="136" t="str">
        <f t="shared" si="172"/>
        <v>13.8246110091436+7.86168980623265j</v>
      </c>
      <c r="BA232" s="136" t="str">
        <f t="shared" si="173"/>
        <v>6.94278156118487+0.0545857737706399j</v>
      </c>
      <c r="BB232" s="136">
        <f t="shared" si="197"/>
        <v>16.83093847732907</v>
      </c>
      <c r="BC232" s="136">
        <f t="shared" si="198"/>
        <v>-179.54953645152429</v>
      </c>
      <c r="BD232" s="136" t="str">
        <f t="shared" si="174"/>
        <v>-0.462949345692638-0.0371106950594506j</v>
      </c>
      <c r="BE232" s="136">
        <f t="shared" si="199"/>
        <v>-6.6615126355807828</v>
      </c>
      <c r="BF232" s="136">
        <f t="shared" si="200"/>
        <v>4.583113239807119</v>
      </c>
      <c r="BG232" s="136"/>
      <c r="BH232" s="136" t="str">
        <f t="shared" si="175"/>
        <v>-0.49766690445487-0.523256199079634j</v>
      </c>
      <c r="BI232" s="136">
        <f t="shared" si="201"/>
        <v>-2.8277117298089682</v>
      </c>
      <c r="BJ232" s="136">
        <f t="shared" si="202"/>
        <v>46.435810059199099</v>
      </c>
      <c r="BK232" s="136"/>
      <c r="BL232" s="136">
        <f t="shared" si="203"/>
        <v>3.8277117298089682</v>
      </c>
      <c r="BM232" s="136">
        <f t="shared" si="204"/>
        <v>-46.435810059199099</v>
      </c>
      <c r="BN232" s="136"/>
      <c r="BO232" s="189"/>
      <c r="BP232" s="189" t="str">
        <f t="shared" si="176"/>
        <v>0.00001+0.0000688937569164965j</v>
      </c>
      <c r="BQ232" s="189" t="str">
        <f t="shared" si="177"/>
        <v>3.09949116056778E-06+2.81183965290622E-07j</v>
      </c>
      <c r="BR232" s="189" t="str">
        <f t="shared" si="178"/>
        <v>-0.0843200722054849-0.00826258030407267j</v>
      </c>
      <c r="BS232" s="189" t="str">
        <f t="shared" si="179"/>
        <v>0.0000655994911605678+0.0000691749408817871j</v>
      </c>
      <c r="BT232" s="189" t="str">
        <f t="shared" si="205"/>
        <v>-0.0000049597903272369-6.37485707358293E-06j</v>
      </c>
      <c r="BU232" s="189" t="str">
        <f t="shared" si="206"/>
        <v>-3.09949116056778E-06-2.81183965290622E-07j</v>
      </c>
      <c r="BV232" s="189" t="str">
        <f t="shared" si="207"/>
        <v>-8.05928148780468E-06-6.65604103887355E-06j</v>
      </c>
      <c r="BW232" s="189" t="str">
        <f t="shared" si="180"/>
        <v>0.988120181327039-0.108345228696322j</v>
      </c>
      <c r="BX232" s="189" t="str">
        <f t="shared" si="208"/>
        <v>-0.00001-0.0000688937569164965j</v>
      </c>
      <c r="BY232" s="189" t="str">
        <f t="shared" si="209"/>
        <v>5.36079318671468+3.88498650721635j</v>
      </c>
      <c r="BZ232" s="136">
        <f t="shared" si="210"/>
        <v>16.417835961687363</v>
      </c>
      <c r="CA232" s="136">
        <f t="shared" si="211"/>
        <v>-144.06901847523648</v>
      </c>
      <c r="CB232" s="189" t="str">
        <f t="shared" si="181"/>
        <v>-0.33893626624653-0.285043337022366j</v>
      </c>
      <c r="CC232" s="136" t="str">
        <f t="shared" si="182"/>
        <v>-0.0968285826455788-0.681745777396029j</v>
      </c>
      <c r="CD232" s="136">
        <f t="shared" si="212"/>
        <v>-3.240814245450681</v>
      </c>
      <c r="CE232" s="136">
        <f t="shared" si="213"/>
        <v>81.916328035486913</v>
      </c>
      <c r="CF232" s="136"/>
      <c r="CG232" s="136">
        <f t="shared" si="214"/>
        <v>4.2408142454506805</v>
      </c>
      <c r="CH232" s="136">
        <f t="shared" si="215"/>
        <v>-81.916328035486913</v>
      </c>
      <c r="CI232" s="77"/>
      <c r="CJ232" s="189"/>
      <c r="CK232" s="189"/>
      <c r="CL232" s="189"/>
      <c r="CM232" s="77"/>
      <c r="CN232" s="189">
        <v>239883.29190194901</v>
      </c>
      <c r="CO232" s="189">
        <v>-7.6051980159973498</v>
      </c>
      <c r="CP232" s="189">
        <v>24.105997369582699</v>
      </c>
      <c r="CQ232" s="74"/>
      <c r="CR232" s="75"/>
      <c r="CS232" s="75"/>
      <c r="CT232" s="75"/>
      <c r="CU232" s="74"/>
      <c r="CV232" s="75"/>
      <c r="CW232" s="75"/>
      <c r="CX232" s="75"/>
      <c r="CY232" s="74"/>
      <c r="CZ232" s="75"/>
      <c r="DA232" s="75"/>
      <c r="DB232" s="75"/>
      <c r="DC232" s="74"/>
      <c r="DD232" s="75"/>
      <c r="DE232" s="75"/>
      <c r="DF232" s="75"/>
      <c r="DG232" s="74"/>
      <c r="DH232" s="75"/>
      <c r="DI232" s="75"/>
      <c r="DJ232" s="75"/>
      <c r="DK232" s="74"/>
      <c r="DL232" s="75"/>
      <c r="DM232" s="75"/>
      <c r="DN232" s="75"/>
      <c r="DO232" s="76"/>
    </row>
    <row r="233" spans="1:119" x14ac:dyDescent="0.25">
      <c r="A233" s="136">
        <v>184</v>
      </c>
      <c r="B233" s="136">
        <f t="shared" si="144"/>
        <v>331131.12148259126</v>
      </c>
      <c r="C233" s="136" t="str">
        <f t="shared" si="151"/>
        <v>2080558.19724932j</v>
      </c>
      <c r="D233" s="136">
        <f t="shared" si="145"/>
        <v>-1.7411954903579754</v>
      </c>
      <c r="E233" s="136" t="str">
        <f t="shared" si="146"/>
        <v>-2.60069774656165j</v>
      </c>
      <c r="F233" s="136" t="str">
        <f t="shared" si="152"/>
        <v>-1.74119549035798-2.60069774656165j</v>
      </c>
      <c r="G233" s="136">
        <f t="shared" si="153"/>
        <v>9.9102175432956656</v>
      </c>
      <c r="H233" s="136">
        <f t="shared" si="154"/>
        <v>-123.80273973288392</v>
      </c>
      <c r="I233" s="136"/>
      <c r="J233" s="136">
        <f t="shared" si="147"/>
        <v>7.0726915520628681</v>
      </c>
      <c r="K233" s="136" t="str">
        <f t="shared" si="148"/>
        <v>1+152.711584639302j</v>
      </c>
      <c r="L233" s="136">
        <f t="shared" si="149"/>
        <v>-1272.3982161923673</v>
      </c>
      <c r="M233" s="136" t="str">
        <f t="shared" si="150"/>
        <v>11.1761046291173j</v>
      </c>
      <c r="N233" s="136" t="str">
        <f t="shared" si="155"/>
        <v>-1272.39821619237+11.1761046291173j</v>
      </c>
      <c r="O233" s="136" t="str">
        <f t="shared" si="156"/>
        <v>0.00218744844942524-0.340060171726682j</v>
      </c>
      <c r="P233" s="136" t="str">
        <f t="shared" si="157"/>
        <v>0.0154711481688229-2.40514070376435j</v>
      </c>
      <c r="Q233" s="136"/>
      <c r="R233" s="136">
        <f t="shared" si="158"/>
        <v>11.787819253438114</v>
      </c>
      <c r="S233" s="136" t="str">
        <f t="shared" si="159"/>
        <v>1+0.048721853760606j</v>
      </c>
      <c r="T233" s="136" t="str">
        <f t="shared" si="160"/>
        <v>-159.311337369793+3.96543156188616j</v>
      </c>
      <c r="U233" s="136" t="str">
        <f t="shared" si="183"/>
        <v>-0.0062655228773463-0.000461783556303909j</v>
      </c>
      <c r="V233" s="136" t="str">
        <f t="shared" si="184"/>
        <v>-0.0738568512064397-0.00544342109592034j</v>
      </c>
      <c r="W233" s="136"/>
      <c r="X233" s="136" t="str">
        <f t="shared" si="161"/>
        <v>-0.52102336962243-0.374844057324394j</v>
      </c>
      <c r="Y233" s="136">
        <f t="shared" si="185"/>
        <v>-3.8513080423929109</v>
      </c>
      <c r="Z233" s="136">
        <f t="shared" si="186"/>
        <v>35.732678276265602</v>
      </c>
      <c r="AA233" s="136"/>
      <c r="AB233" s="136" t="str">
        <f t="shared" si="162"/>
        <v>-0.0580608772489931-0.00427922120835356j</v>
      </c>
      <c r="AC233" s="136">
        <f t="shared" si="187"/>
        <v>-24.698800961881172</v>
      </c>
      <c r="AD233" s="136">
        <f t="shared" si="188"/>
        <v>4.2152103712815574</v>
      </c>
      <c r="AE233" s="136"/>
      <c r="AF233" s="136" t="str">
        <f t="shared" si="189"/>
        <v>-0.0708404236174973-0.0643733557426583j</v>
      </c>
      <c r="AG233" s="136">
        <f t="shared" si="190"/>
        <v>-20.37995750710823</v>
      </c>
      <c r="AH233" s="136">
        <f t="shared" si="191"/>
        <v>42.261717387043973</v>
      </c>
      <c r="AI233" s="136"/>
      <c r="AJ233" s="136" t="str">
        <f t="shared" si="163"/>
        <v>1801.95159260014-13302.1851482356j</v>
      </c>
      <c r="AK233" s="136" t="str">
        <f t="shared" si="164"/>
        <v>19041.2566114195-348.064333636847j</v>
      </c>
      <c r="AL233" s="136" t="str">
        <f t="shared" si="165"/>
        <v>10000-30102.8502296548j</v>
      </c>
      <c r="AM233" s="136" t="str">
        <f t="shared" si="166"/>
        <v>915.1081684187-9551.9148033576j</v>
      </c>
      <c r="AN233" s="136" t="str">
        <f t="shared" si="192"/>
        <v>10915.1081684187-9551.9148033576j</v>
      </c>
      <c r="AO233" s="136" t="str">
        <f t="shared" si="193"/>
        <v>8001.54133507513-3553.9869157614j</v>
      </c>
      <c r="AP233" s="136" t="str">
        <f t="shared" si="194"/>
        <v>0.646991512901755+0.407016575715544j</v>
      </c>
      <c r="AQ233" s="136" t="str">
        <f t="shared" si="167"/>
        <v>1+11.8113584874196j</v>
      </c>
      <c r="AR233" s="136" t="str">
        <f t="shared" si="168"/>
        <v>1+0.023575565843153j</v>
      </c>
      <c r="AS233" s="136" t="str">
        <f t="shared" si="169"/>
        <v>0.0000369843162637327j</v>
      </c>
      <c r="AT233" s="136" t="str">
        <f t="shared" si="195"/>
        <v>-8.71926183239625E-07+0.0000369843162637327j</v>
      </c>
      <c r="AU233" s="179" t="str">
        <f t="shared" si="196"/>
        <v>318546.779158753-34548.4087964104j</v>
      </c>
      <c r="AV233" s="136" t="str">
        <f t="shared" si="170"/>
        <v>5891.46110620747-3524.53896044637j</v>
      </c>
      <c r="AW233" s="136"/>
      <c r="AX233" s="136" t="str">
        <f t="shared" si="171"/>
        <v>0.368216319137967-0.220283685027898j</v>
      </c>
      <c r="AY233" s="136"/>
      <c r="AZ233" s="136" t="str">
        <f t="shared" si="172"/>
        <v>14.4488268596798+7.80120200523771j</v>
      </c>
      <c r="BA233" s="136" t="str">
        <f t="shared" si="173"/>
        <v>7.03877136749388-0.310310937759981j</v>
      </c>
      <c r="BB233" s="136">
        <f t="shared" si="197"/>
        <v>16.958369804967617</v>
      </c>
      <c r="BC233" s="136">
        <f t="shared" si="198"/>
        <v>177.47569554724117</v>
      </c>
      <c r="BD233" s="136" t="str">
        <f t="shared" si="174"/>
        <v>-0.410005129497836-0.0121035344502294j</v>
      </c>
      <c r="BE233" s="136">
        <f t="shared" si="199"/>
        <v>-7.7404311569135578</v>
      </c>
      <c r="BF233" s="136">
        <f t="shared" si="200"/>
        <v>1.6909059185227306</v>
      </c>
      <c r="BG233" s="136"/>
      <c r="BH233" s="136" t="str">
        <f t="shared" si="175"/>
        <v>-0.518605301807238-0.431126774946861j</v>
      </c>
      <c r="BI233" s="136">
        <f t="shared" si="201"/>
        <v>-3.4215877021406143</v>
      </c>
      <c r="BJ233" s="136">
        <f t="shared" si="202"/>
        <v>39.737412934285146</v>
      </c>
      <c r="BK233" s="136"/>
      <c r="BL233" s="136">
        <f t="shared" si="203"/>
        <v>4.4215877021406147</v>
      </c>
      <c r="BM233" s="136">
        <f t="shared" si="204"/>
        <v>-39.737412934285146</v>
      </c>
      <c r="BN233" s="136"/>
      <c r="BO233" s="189"/>
      <c r="BP233" s="189" t="str">
        <f t="shared" si="176"/>
        <v>0.00001+0.0000738209905463727j</v>
      </c>
      <c r="BQ233" s="189" t="str">
        <f t="shared" si="177"/>
        <v>3.10275930346011E-06+2.62692839842673E-07j</v>
      </c>
      <c r="BR233" s="189" t="str">
        <f t="shared" si="178"/>
        <v>-0.0844241141373584-0.00772064373267164j</v>
      </c>
      <c r="BS233" s="189" t="str">
        <f t="shared" si="179"/>
        <v>0.0000656027593034601+0.0000740836833862154j</v>
      </c>
      <c r="BT233" s="189" t="str">
        <f t="shared" si="205"/>
        <v>-4.96648111333195E-06-0.000006760944874376j</v>
      </c>
      <c r="BU233" s="189" t="str">
        <f t="shared" si="206"/>
        <v>-3.10275930346011E-06-2.62692839842673E-07j</v>
      </c>
      <c r="BV233" s="189" t="str">
        <f t="shared" si="207"/>
        <v>-8.06924041679206E-06-7.02363771421867E-06j</v>
      </c>
      <c r="BW233" s="189" t="str">
        <f t="shared" si="180"/>
        <v>0.986384107658007-0.115890033297625j</v>
      </c>
      <c r="BX233" s="189" t="str">
        <f t="shared" si="208"/>
        <v>-0.00001-0.0000738209905463727j</v>
      </c>
      <c r="BY233" s="189" t="str">
        <f t="shared" si="209"/>
        <v>5.69639947636445+3.92199311477082j</v>
      </c>
      <c r="BZ233" s="136">
        <f t="shared" si="210"/>
        <v>16.797094333762807</v>
      </c>
      <c r="CA233" s="136">
        <f t="shared" si="211"/>
        <v>-145.45243812184285</v>
      </c>
      <c r="CB233" s="189" t="str">
        <f t="shared" si="181"/>
        <v>-0.313954874642681-0.252090514258617j</v>
      </c>
      <c r="CC233" s="136" t="str">
        <f t="shared" si="182"/>
        <v>-0.15106349400275-0.644532003619573j</v>
      </c>
      <c r="CD233" s="136">
        <f t="shared" si="212"/>
        <v>-3.5828631733454293</v>
      </c>
      <c r="CE233" s="136">
        <f t="shared" si="213"/>
        <v>76.809279265201013</v>
      </c>
      <c r="CF233" s="136"/>
      <c r="CG233" s="136">
        <f t="shared" si="214"/>
        <v>4.5828631733454293</v>
      </c>
      <c r="CH233" s="136">
        <f t="shared" si="215"/>
        <v>-76.809279265201013</v>
      </c>
      <c r="CI233" s="77"/>
      <c r="CJ233" s="189"/>
      <c r="CK233" s="189"/>
      <c r="CL233" s="189"/>
      <c r="CM233" s="77"/>
      <c r="CN233" s="189">
        <v>251188.64315095701</v>
      </c>
      <c r="CO233" s="189">
        <v>-8.1554159204585304</v>
      </c>
      <c r="CP233" s="189">
        <v>17.202576591905199</v>
      </c>
      <c r="CQ233" s="74"/>
      <c r="CR233" s="75"/>
      <c r="CS233" s="75"/>
      <c r="CT233" s="75"/>
      <c r="CU233" s="74"/>
      <c r="CV233" s="75"/>
      <c r="CW233" s="75"/>
      <c r="CX233" s="75"/>
      <c r="CY233" s="74"/>
      <c r="CZ233" s="75"/>
      <c r="DA233" s="75"/>
      <c r="DB233" s="75"/>
      <c r="DC233" s="74"/>
      <c r="DD233" s="75"/>
      <c r="DE233" s="75"/>
      <c r="DF233" s="75"/>
      <c r="DG233" s="74"/>
      <c r="DH233" s="75"/>
      <c r="DI233" s="75"/>
      <c r="DJ233" s="75"/>
      <c r="DK233" s="74"/>
      <c r="DL233" s="75"/>
      <c r="DM233" s="75"/>
      <c r="DN233" s="75"/>
      <c r="DO233" s="76"/>
    </row>
    <row r="234" spans="1:119" x14ac:dyDescent="0.25">
      <c r="A234" s="136">
        <v>185</v>
      </c>
      <c r="B234" s="136">
        <f t="shared" si="144"/>
        <v>354813.38923357555</v>
      </c>
      <c r="C234" s="136" t="str">
        <f t="shared" si="151"/>
        <v>2229358.27402299j</v>
      </c>
      <c r="D234" s="136">
        <f t="shared" si="145"/>
        <v>-2.1473135294854067</v>
      </c>
      <c r="E234" s="136" t="str">
        <f t="shared" si="146"/>
        <v>-2.78669784252874j</v>
      </c>
      <c r="F234" s="136" t="str">
        <f t="shared" si="152"/>
        <v>-2.14731352948541-2.78669784252874j</v>
      </c>
      <c r="G234" s="136">
        <f t="shared" si="153"/>
        <v>10.926027678826866</v>
      </c>
      <c r="H234" s="136">
        <f t="shared" si="154"/>
        <v>-127.61635235488505</v>
      </c>
      <c r="I234" s="136"/>
      <c r="J234" s="136">
        <f t="shared" si="147"/>
        <v>7.0726915520628681</v>
      </c>
      <c r="K234" s="136" t="str">
        <f t="shared" si="148"/>
        <v>1+163.633411074438j</v>
      </c>
      <c r="L234" s="136">
        <f t="shared" si="149"/>
        <v>-1461.0567735289246</v>
      </c>
      <c r="M234" s="136" t="str">
        <f t="shared" si="150"/>
        <v>11.9754118674546j</v>
      </c>
      <c r="N234" s="136" t="str">
        <f t="shared" si="155"/>
        <v>-1461.05677352892+11.9754118674546j</v>
      </c>
      <c r="O234" s="136" t="str">
        <f t="shared" si="156"/>
        <v>0.00189784050814066-0.317112495672216j</v>
      </c>
      <c r="P234" s="136" t="str">
        <f t="shared" si="157"/>
        <v>0.0134228405290891-2.24283886919445j</v>
      </c>
      <c r="Q234" s="136"/>
      <c r="R234" s="136">
        <f t="shared" si="158"/>
        <v>11.787819253438114</v>
      </c>
      <c r="S234" s="136" t="str">
        <f t="shared" si="159"/>
        <v>1+0.0522064068914529j</v>
      </c>
      <c r="T234" s="136" t="str">
        <f t="shared" si="160"/>
        <v>-183.062042568136+4.24903647215954j</v>
      </c>
      <c r="U234" s="136" t="str">
        <f t="shared" si="183"/>
        <v>-0.00545307166945636-0.000411754977945346j</v>
      </c>
      <c r="V234" s="136" t="str">
        <f t="shared" si="184"/>
        <v>-0.0642798232155956-0.00485369325672314j</v>
      </c>
      <c r="W234" s="136"/>
      <c r="X234" s="136" t="str">
        <f t="shared" si="161"/>
        <v>-0.521089066779095-0.322495886279917j</v>
      </c>
      <c r="Y234" s="136">
        <f t="shared" si="185"/>
        <v>-4.2534679076158568</v>
      </c>
      <c r="Z234" s="136">
        <f t="shared" si="186"/>
        <v>31.752877083265332</v>
      </c>
      <c r="AA234" s="136"/>
      <c r="AB234" s="136" t="str">
        <f t="shared" si="162"/>
        <v>-0.050532115360237-0.00381562013245287j</v>
      </c>
      <c r="AC234" s="136">
        <f t="shared" si="187"/>
        <v>-25.903959092576976</v>
      </c>
      <c r="AD234" s="136">
        <f t="shared" si="188"/>
        <v>4.3181420901289869</v>
      </c>
      <c r="AE234" s="136"/>
      <c r="AF234" s="136" t="str">
        <f t="shared" si="189"/>
        <v>-0.0689042189650455-0.0543669928788215j</v>
      </c>
      <c r="AG234" s="136">
        <f t="shared" si="190"/>
        <v>-21.133084569148263</v>
      </c>
      <c r="AH234" s="136">
        <f t="shared" si="191"/>
        <v>38.274241509875168</v>
      </c>
      <c r="AI234" s="136"/>
      <c r="AJ234" s="136" t="str">
        <f t="shared" si="163"/>
        <v>1573.09193993929-12443.2542263841j</v>
      </c>
      <c r="AK234" s="136" t="str">
        <f t="shared" si="164"/>
        <v>19040.3143549455-372.939197149233j</v>
      </c>
      <c r="AL234" s="136" t="str">
        <f t="shared" si="165"/>
        <v>10000-28093.614443073j</v>
      </c>
      <c r="AM234" s="136" t="str">
        <f t="shared" si="166"/>
        <v>908.396662607176-8941.70538728712j</v>
      </c>
      <c r="AN234" s="136" t="str">
        <f t="shared" si="192"/>
        <v>10908.3966626072-8941.70538728712j</v>
      </c>
      <c r="AO234" s="136" t="str">
        <f t="shared" si="193"/>
        <v>7872.61354388947-3372.11350984872j</v>
      </c>
      <c r="AP234" s="136" t="str">
        <f t="shared" si="194"/>
        <v>0.674282796161338+0.401136979610558j</v>
      </c>
      <c r="AQ234" s="136" t="str">
        <f t="shared" si="167"/>
        <v>1+12.6560986403522j</v>
      </c>
      <c r="AR234" s="136" t="str">
        <f t="shared" si="168"/>
        <v>1+0.0252616739328387j</v>
      </c>
      <c r="AS234" s="136" t="str">
        <f t="shared" si="169"/>
        <v>0.0000396294088676028j</v>
      </c>
      <c r="AT234" s="136" t="str">
        <f t="shared" si="195"/>
        <v>-1.00110520496453E-06+0.0000396294088676028j</v>
      </c>
      <c r="AU234" s="179" t="str">
        <f t="shared" si="196"/>
        <v>318520.565195705-33280.1480867873j</v>
      </c>
      <c r="AV234" s="136" t="str">
        <f t="shared" si="170"/>
        <v>5670.05422542032-3634.68277627577j</v>
      </c>
      <c r="AW234" s="136"/>
      <c r="AX234" s="136" t="str">
        <f t="shared" si="171"/>
        <v>0.35437838908877-0.227167673517236j</v>
      </c>
      <c r="AY234" s="136"/>
      <c r="AZ234" s="136" t="str">
        <f t="shared" si="172"/>
        <v>15.0678031174123+7.69151534347374j</v>
      </c>
      <c r="BA234" s="136" t="str">
        <f t="shared" si="173"/>
        <v>7.08696744225437-0.697210962126527j</v>
      </c>
      <c r="BB234" s="136">
        <f t="shared" si="197"/>
        <v>17.051039787940589</v>
      </c>
      <c r="BC234" s="136">
        <f t="shared" si="198"/>
        <v>174.38136088147499</v>
      </c>
      <c r="BD234" s="136" t="str">
        <f t="shared" si="174"/>
        <v>-0.360779748529898+0.00819036911789568j</v>
      </c>
      <c r="BE234" s="136">
        <f t="shared" si="199"/>
        <v>-8.8529193046363943</v>
      </c>
      <c r="BF234" s="136">
        <f t="shared" si="200"/>
        <v>-1.3004970283959949</v>
      </c>
      <c r="BG234" s="136"/>
      <c r="BH234" s="136" t="str">
        <f t="shared" si="175"/>
        <v>-0.526227219852212-0.337256331666286j</v>
      </c>
      <c r="BI234" s="136">
        <f t="shared" si="201"/>
        <v>-4.0820447812076885</v>
      </c>
      <c r="BJ234" s="136">
        <f t="shared" si="202"/>
        <v>32.655602391350129</v>
      </c>
      <c r="BK234" s="136"/>
      <c r="BL234" s="136">
        <f t="shared" si="203"/>
        <v>5.0820447812076885</v>
      </c>
      <c r="BM234" s="136">
        <f t="shared" si="204"/>
        <v>-32.655602391350129</v>
      </c>
      <c r="BN234" s="136"/>
      <c r="BO234" s="189"/>
      <c r="BP234" s="189" t="str">
        <f t="shared" si="176"/>
        <v>0.00001+0.0000791006165022013j</v>
      </c>
      <c r="BQ234" s="189" t="str">
        <f t="shared" si="177"/>
        <v>3.10561135744001E-06+2.4538457274173E-07j</v>
      </c>
      <c r="BR234" s="189" t="str">
        <f t="shared" si="178"/>
        <v>-0.0845149411835969-0.00721310869391584j</v>
      </c>
      <c r="BS234" s="189" t="str">
        <f t="shared" si="179"/>
        <v>0.00006560561135744+0.000079346001074943j</v>
      </c>
      <c r="BT234" s="189" t="str">
        <f t="shared" si="205"/>
        <v>-4.97232305500683E-06-7.17914301965444E-06j</v>
      </c>
      <c r="BU234" s="189" t="str">
        <f t="shared" si="206"/>
        <v>-3.10561135744001E-06-2.4538457274173E-07j</v>
      </c>
      <c r="BV234" s="189" t="str">
        <f t="shared" si="207"/>
        <v>-8.07793441244684E-06-7.42452759239617E-06j</v>
      </c>
      <c r="BW234" s="189" t="str">
        <f t="shared" si="180"/>
        <v>0.984398336256467-0.123928414142871j</v>
      </c>
      <c r="BX234" s="189" t="str">
        <f t="shared" si="208"/>
        <v>-0.00001-0.0000791006165022013j</v>
      </c>
      <c r="BY234" s="189" t="str">
        <f t="shared" si="209"/>
        <v>6.04458278884021+3.93034380063938j</v>
      </c>
      <c r="BZ234" s="136">
        <f t="shared" si="210"/>
        <v>17.158745686113733</v>
      </c>
      <c r="CA234" s="136">
        <f t="shared" si="211"/>
        <v>-146.9670377518695</v>
      </c>
      <c r="CB234" s="189" t="str">
        <f t="shared" si="181"/>
        <v>-0.290448855856996-0.221672418120678j</v>
      </c>
      <c r="CC234" s="136" t="str">
        <f t="shared" si="182"/>
        <v>-0.202816282613911-0.599443059283488j</v>
      </c>
      <c r="CD234" s="136">
        <f t="shared" si="212"/>
        <v>-3.9743388830345214</v>
      </c>
      <c r="CE234" s="136">
        <f t="shared" si="213"/>
        <v>71.307203758005571</v>
      </c>
      <c r="CF234" s="136"/>
      <c r="CG234" s="136">
        <f t="shared" si="214"/>
        <v>4.9743388830345214</v>
      </c>
      <c r="CH234" s="136">
        <f t="shared" si="215"/>
        <v>-71.307203758005571</v>
      </c>
      <c r="CI234" s="77"/>
      <c r="CJ234" s="189"/>
      <c r="CK234" s="189"/>
      <c r="CL234" s="189"/>
      <c r="CM234" s="77"/>
      <c r="CN234" s="189">
        <v>263026.799189538</v>
      </c>
      <c r="CO234" s="189">
        <v>-8.7912916357014392</v>
      </c>
      <c r="CP234" s="189">
        <v>9.8442023759375203</v>
      </c>
      <c r="CQ234" s="74"/>
      <c r="CR234" s="75"/>
      <c r="CS234" s="75"/>
      <c r="CT234" s="75"/>
      <c r="CU234" s="74"/>
      <c r="CV234" s="75"/>
      <c r="CW234" s="75"/>
      <c r="CX234" s="75"/>
      <c r="CY234" s="74"/>
      <c r="CZ234" s="75"/>
      <c r="DA234" s="75"/>
      <c r="DB234" s="75"/>
      <c r="DC234" s="74"/>
      <c r="DD234" s="75"/>
      <c r="DE234" s="75"/>
      <c r="DF234" s="75"/>
      <c r="DG234" s="74"/>
      <c r="DH234" s="75"/>
      <c r="DI234" s="75"/>
      <c r="DJ234" s="75"/>
      <c r="DK234" s="74"/>
      <c r="DL234" s="75"/>
      <c r="DM234" s="75"/>
      <c r="DN234" s="75"/>
      <c r="DO234" s="76"/>
    </row>
    <row r="235" spans="1:119" x14ac:dyDescent="0.25">
      <c r="A235" s="136">
        <v>186</v>
      </c>
      <c r="B235" s="136">
        <f t="shared" si="144"/>
        <v>380189.39632056188</v>
      </c>
      <c r="C235" s="136" t="str">
        <f t="shared" si="151"/>
        <v>2388800.42890683j</v>
      </c>
      <c r="D235" s="136">
        <f t="shared" si="145"/>
        <v>-2.6135994268648322</v>
      </c>
      <c r="E235" s="136" t="str">
        <f t="shared" si="146"/>
        <v>-2.98600053613354j</v>
      </c>
      <c r="F235" s="136" t="str">
        <f t="shared" si="152"/>
        <v>-2.61359942686483-2.98600053613354j</v>
      </c>
      <c r="G235" s="136">
        <f t="shared" si="153"/>
        <v>11.972006175843362</v>
      </c>
      <c r="H235" s="136">
        <f t="shared" si="154"/>
        <v>-131.19515001260689</v>
      </c>
      <c r="I235" s="136"/>
      <c r="J235" s="136">
        <f t="shared" si="147"/>
        <v>7.0726915520628681</v>
      </c>
      <c r="K235" s="136" t="str">
        <f t="shared" si="148"/>
        <v>1+175.336358948142j</v>
      </c>
      <c r="L235" s="136">
        <f t="shared" si="149"/>
        <v>-1677.6657793612949</v>
      </c>
      <c r="M235" s="136" t="str">
        <f t="shared" si="150"/>
        <v>12.8318850041491j</v>
      </c>
      <c r="N235" s="136" t="str">
        <f t="shared" si="155"/>
        <v>-1677.66577936129+12.8318850041491j</v>
      </c>
      <c r="O235" s="136" t="str">
        <f t="shared" si="156"/>
        <v>0.00164739062893414-0.295743562451308j</v>
      </c>
      <c r="P235" s="136" t="str">
        <f t="shared" si="157"/>
        <v>0.01165148578421-2.09170299572634j</v>
      </c>
      <c r="Q235" s="136"/>
      <c r="R235" s="136">
        <f t="shared" si="158"/>
        <v>11.787819253438114</v>
      </c>
      <c r="S235" s="136" t="str">
        <f t="shared" si="159"/>
        <v>1+0.0559401728412813j</v>
      </c>
      <c r="T235" s="136" t="str">
        <f t="shared" si="160"/>
        <v>-210.331500754719+4.55292460857764j</v>
      </c>
      <c r="U235" s="136" t="str">
        <f t="shared" si="183"/>
        <v>-0.0047464184429606-0.000368704915310235j</v>
      </c>
      <c r="V235" s="136" t="str">
        <f t="shared" si="184"/>
        <v>-0.0559499227068047-0.00434622689953126j</v>
      </c>
      <c r="W235" s="136"/>
      <c r="X235" s="136" t="str">
        <f t="shared" si="161"/>
        <v>-0.521143790111302-0.27179851458353j</v>
      </c>
      <c r="Y235" s="136">
        <f t="shared" si="185"/>
        <v>-4.6159559047693168</v>
      </c>
      <c r="Z235" s="136">
        <f t="shared" si="186"/>
        <v>27.543944923249825</v>
      </c>
      <c r="AA235" s="136"/>
      <c r="AB235" s="136" t="str">
        <f t="shared" si="162"/>
        <v>-0.043983754266621-0.00341668704240608j</v>
      </c>
      <c r="AC235" s="136">
        <f t="shared" si="187"/>
        <v>-27.108026263245755</v>
      </c>
      <c r="AD235" s="136">
        <f t="shared" si="188"/>
        <v>4.4418538051114353</v>
      </c>
      <c r="AE235" s="136"/>
      <c r="AF235" s="136" t="str">
        <f t="shared" si="189"/>
        <v>-0.0664074015026145-0.0448279038360142j</v>
      </c>
      <c r="AG235" s="136">
        <f t="shared" si="190"/>
        <v>-21.92499883530699</v>
      </c>
      <c r="AH235" s="136">
        <f t="shared" si="191"/>
        <v>34.021073506947261</v>
      </c>
      <c r="AI235" s="136"/>
      <c r="AJ235" s="136" t="str">
        <f t="shared" si="163"/>
        <v>1372.89258495836-11636.3406810733j</v>
      </c>
      <c r="AK235" s="136" t="str">
        <f t="shared" si="164"/>
        <v>19039.2326147587-399.588846235339j</v>
      </c>
      <c r="AL235" s="136" t="str">
        <f t="shared" si="165"/>
        <v>9999.99999999997-26218.4865039303j</v>
      </c>
      <c r="AM235" s="136" t="str">
        <f t="shared" si="166"/>
        <v>900.811213093665-8373.72246497128j</v>
      </c>
      <c r="AN235" s="136" t="str">
        <f t="shared" si="192"/>
        <v>10900.8112130937-8373.72246497128j</v>
      </c>
      <c r="AO235" s="136" t="str">
        <f t="shared" si="193"/>
        <v>7757.12194356148-3197.37163039075j</v>
      </c>
      <c r="AP235" s="136" t="str">
        <f t="shared" si="194"/>
        <v>0.70067264877992+0.393572824857245j</v>
      </c>
      <c r="AQ235" s="136" t="str">
        <f t="shared" si="167"/>
        <v>1+13.5612540221288j</v>
      </c>
      <c r="AR235" s="136" t="str">
        <f t="shared" si="168"/>
        <v>1+0.0270683713016543j</v>
      </c>
      <c r="AS235" s="136" t="str">
        <f t="shared" si="169"/>
        <v>0.0000424636766567908j</v>
      </c>
      <c r="AT235" s="136" t="str">
        <f t="shared" si="195"/>
        <v>-0.0000011494225665794+0.0000424636766567908j</v>
      </c>
      <c r="AU235" s="179" t="str">
        <f t="shared" si="196"/>
        <v>318490.472859155-32170.5571513764j</v>
      </c>
      <c r="AV235" s="136" t="str">
        <f t="shared" si="170"/>
        <v>5435.51846309353-3733.53542130212j</v>
      </c>
      <c r="AW235" s="136"/>
      <c r="AX235" s="136" t="str">
        <f t="shared" si="171"/>
        <v>0.339719903943346-0.233345963831383j</v>
      </c>
      <c r="AY235" s="136"/>
      <c r="AZ235" s="136" t="str">
        <f t="shared" si="172"/>
        <v>15.6756491636668+7.53366304153477j</v>
      </c>
      <c r="BA235" s="136" t="str">
        <f t="shared" si="173"/>
        <v>7.08327989173828-1.09851417796671j</v>
      </c>
      <c r="BB235" s="136">
        <f t="shared" si="197"/>
        <v>17.107906125764153</v>
      </c>
      <c r="BC235" s="136">
        <f t="shared" si="198"/>
        <v>171.18448184204348</v>
      </c>
      <c r="BD235" s="136" t="str">
        <f t="shared" si="174"/>
        <v>-0.315302521317673+0.0241154270382493j</v>
      </c>
      <c r="BE235" s="136">
        <f t="shared" si="199"/>
        <v>-10.000120137481584</v>
      </c>
      <c r="BF235" s="136">
        <f t="shared" si="200"/>
        <v>-4.3736643528450543</v>
      </c>
      <c r="BG235" s="136"/>
      <c r="BH235" s="136" t="str">
        <f t="shared" si="175"/>
        <v>-0.519626299658451-0.244579117757867j</v>
      </c>
      <c r="BI235" s="136">
        <f t="shared" si="201"/>
        <v>-4.8170927095428153</v>
      </c>
      <c r="BJ235" s="136">
        <f t="shared" si="202"/>
        <v>25.205555348990686</v>
      </c>
      <c r="BK235" s="136"/>
      <c r="BL235" s="136">
        <f t="shared" si="203"/>
        <v>5.8170927095428153</v>
      </c>
      <c r="BM235" s="136">
        <f t="shared" si="204"/>
        <v>-25.205555348990686</v>
      </c>
      <c r="BN235" s="136"/>
      <c r="BO235" s="189"/>
      <c r="BP235" s="189" t="str">
        <f t="shared" si="176"/>
        <v>0.00001+0.000084757837638305j</v>
      </c>
      <c r="BQ235" s="189" t="str">
        <f t="shared" si="177"/>
        <v>3.10809966805061E-06+2.29189694624031E-07j</v>
      </c>
      <c r="BR235" s="189" t="str">
        <f t="shared" si="178"/>
        <v>-0.0845942082925157-0.00673800517601093j</v>
      </c>
      <c r="BS235" s="189" t="str">
        <f t="shared" si="179"/>
        <v>0.0000656080996680506+0.000084987027332929j</v>
      </c>
      <c r="BT235" s="189" t="str">
        <f t="shared" si="205"/>
        <v>-4.97742221893214E-06-7.63147800751509E-06j</v>
      </c>
      <c r="BU235" s="189" t="str">
        <f t="shared" si="206"/>
        <v>-3.10809966805061E-06-2.29189694624031E-07j</v>
      </c>
      <c r="BV235" s="189" t="str">
        <f t="shared" si="207"/>
        <v>-8.08552188698275E-06-7.86066770213912E-06j</v>
      </c>
      <c r="BW235" s="189" t="str">
        <f t="shared" si="180"/>
        <v>0.982128202911495-0.132485455644507j</v>
      </c>
      <c r="BX235" s="189" t="str">
        <f t="shared" si="208"/>
        <v>-0.00001-0.000084757837638305j</v>
      </c>
      <c r="BY235" s="189" t="str">
        <f t="shared" si="209"/>
        <v>6.40216191126058+3.90734714317939j</v>
      </c>
      <c r="BZ235" s="136">
        <f t="shared" si="210"/>
        <v>17.501614288342509</v>
      </c>
      <c r="CA235" s="136">
        <f t="shared" si="211"/>
        <v>-148.60358083407189</v>
      </c>
      <c r="CB235" s="189" t="str">
        <f t="shared" si="181"/>
        <v>-0.268240933925723-0.193733980225576j</v>
      </c>
      <c r="CC235" s="136" t="str">
        <f t="shared" si="182"/>
        <v>-0.249992754537457-0.546472269047791j</v>
      </c>
      <c r="CD235" s="136">
        <f t="shared" si="212"/>
        <v>-4.4233845469644599</v>
      </c>
      <c r="CE235" s="136">
        <f t="shared" si="213"/>
        <v>65.417492672875383</v>
      </c>
      <c r="CF235" s="136"/>
      <c r="CG235" s="136">
        <f t="shared" si="214"/>
        <v>5.4233845469644599</v>
      </c>
      <c r="CH235" s="136">
        <f t="shared" si="215"/>
        <v>-65.417492672875383</v>
      </c>
      <c r="CI235" s="77"/>
      <c r="CJ235" s="189"/>
      <c r="CK235" s="189"/>
      <c r="CL235" s="189"/>
      <c r="CM235" s="77"/>
      <c r="CN235" s="189">
        <v>275422.87033381598</v>
      </c>
      <c r="CO235" s="189">
        <v>-9.5314257180201096</v>
      </c>
      <c r="CP235" s="189">
        <v>2.0432924866119899</v>
      </c>
      <c r="CQ235" s="74"/>
      <c r="CR235" s="75"/>
      <c r="CS235" s="75"/>
      <c r="CT235" s="75"/>
      <c r="CU235" s="74"/>
      <c r="CV235" s="75"/>
      <c r="CW235" s="75"/>
      <c r="CX235" s="75"/>
      <c r="CY235" s="74"/>
      <c r="CZ235" s="75"/>
      <c r="DA235" s="75"/>
      <c r="DB235" s="75"/>
      <c r="DC235" s="74"/>
      <c r="DD235" s="75"/>
      <c r="DE235" s="75"/>
      <c r="DF235" s="75"/>
      <c r="DG235" s="74"/>
      <c r="DH235" s="75"/>
      <c r="DI235" s="75"/>
      <c r="DJ235" s="75"/>
      <c r="DK235" s="74"/>
      <c r="DL235" s="75"/>
      <c r="DM235" s="75"/>
      <c r="DN235" s="75"/>
      <c r="DO235" s="76"/>
    </row>
    <row r="236" spans="1:119" x14ac:dyDescent="0.25">
      <c r="A236" s="136">
        <v>187</v>
      </c>
      <c r="B236" s="136">
        <f t="shared" si="144"/>
        <v>407380.27780411259</v>
      </c>
      <c r="C236" s="136" t="str">
        <f t="shared" si="151"/>
        <v>2559645.77593354j</v>
      </c>
      <c r="D236" s="136">
        <f t="shared" si="145"/>
        <v>-3.1489672685939016</v>
      </c>
      <c r="E236" s="136" t="str">
        <f t="shared" si="146"/>
        <v>-3.19955721991693j</v>
      </c>
      <c r="F236" s="136" t="str">
        <f t="shared" si="152"/>
        <v>-3.1489672685939-3.19955721991693j</v>
      </c>
      <c r="G236" s="136">
        <f t="shared" si="153"/>
        <v>13.043431800574579</v>
      </c>
      <c r="H236" s="136">
        <f t="shared" si="154"/>
        <v>-134.54343259613123</v>
      </c>
      <c r="I236" s="136"/>
      <c r="J236" s="136">
        <f t="shared" si="147"/>
        <v>7.0726915520628681</v>
      </c>
      <c r="K236" s="136" t="str">
        <f t="shared" si="148"/>
        <v>1+187.876293523005j</v>
      </c>
      <c r="L236" s="136">
        <f t="shared" si="149"/>
        <v>-1926.3661938565508</v>
      </c>
      <c r="M236" s="136" t="str">
        <f t="shared" si="150"/>
        <v>13.7496125045347j</v>
      </c>
      <c r="N236" s="136" t="str">
        <f t="shared" si="155"/>
        <v>-1926.36619385655+13.7496125045347j</v>
      </c>
      <c r="O236" s="136" t="str">
        <f t="shared" si="156"/>
        <v>0.00143060944737232-0.275839106207379j</v>
      </c>
      <c r="P236" s="136" t="str">
        <f t="shared" si="157"/>
        <v>0.0101182593527315-1.9509249162015j</v>
      </c>
      <c r="Q236" s="136"/>
      <c r="R236" s="136">
        <f t="shared" si="158"/>
        <v>11.787819253438114</v>
      </c>
      <c r="S236" s="136" t="str">
        <f t="shared" si="159"/>
        <v>1+0.0599409751377615j</v>
      </c>
      <c r="T236" s="136" t="str">
        <f t="shared" si="160"/>
        <v>-241.641027927902+4.87854661338232j</v>
      </c>
      <c r="U236" s="136" t="str">
        <f t="shared" si="183"/>
        <v>-0.00413167788776222-0.000331473338743572j</v>
      </c>
      <c r="V236" s="136" t="str">
        <f t="shared" si="184"/>
        <v>-0.048703472154368-0.00390734780444289j</v>
      </c>
      <c r="W236" s="136"/>
      <c r="X236" s="136" t="str">
        <f t="shared" si="161"/>
        <v>-0.521189565861168-0.222488922643849j</v>
      </c>
      <c r="Y236" s="136">
        <f t="shared" si="185"/>
        <v>-4.9330575348323968</v>
      </c>
      <c r="Z236" s="136">
        <f t="shared" si="186"/>
        <v>23.116994092917849</v>
      </c>
      <c r="AA236" s="136"/>
      <c r="AB236" s="136" t="str">
        <f t="shared" si="162"/>
        <v>-0.0382871226184627-0.00307167226245221j</v>
      </c>
      <c r="AC236" s="136">
        <f t="shared" si="187"/>
        <v>-28.311081979654826</v>
      </c>
      <c r="AD236" s="136">
        <f t="shared" si="188"/>
        <v>4.5868612250371825</v>
      </c>
      <c r="AE236" s="136"/>
      <c r="AF236" s="136" t="str">
        <f t="shared" si="189"/>
        <v>-0.0633118564565074-0.0358343464818221j</v>
      </c>
      <c r="AG236" s="136">
        <f t="shared" si="190"/>
        <v>-22.76339826231494</v>
      </c>
      <c r="AH236" s="136">
        <f t="shared" si="191"/>
        <v>29.50974847379328</v>
      </c>
      <c r="AI236" s="136"/>
      <c r="AJ236" s="136" t="str">
        <f t="shared" si="163"/>
        <v>1197.86150357251-10878.9373642608j</v>
      </c>
      <c r="AK236" s="136" t="str">
        <f t="shared" si="164"/>
        <v>19037.9907624142-428.13923528186j</v>
      </c>
      <c r="AL236" s="136" t="str">
        <f t="shared" si="165"/>
        <v>10000-24468.5152901808j</v>
      </c>
      <c r="AM236" s="136" t="str">
        <f t="shared" si="166"/>
        <v>892.256693862333-7845.16337988356j</v>
      </c>
      <c r="AN236" s="136" t="str">
        <f t="shared" si="192"/>
        <v>10892.2566938623-7845.16337988356j</v>
      </c>
      <c r="AO236" s="136" t="str">
        <f t="shared" si="193"/>
        <v>7653.74546534248-3030.30565201722j</v>
      </c>
      <c r="AP236" s="136" t="str">
        <f t="shared" si="194"/>
        <v>0.725967154436404+0.384487240093183j</v>
      </c>
      <c r="AQ236" s="136" t="str">
        <f t="shared" si="167"/>
        <v>1+14.5311454879422j</v>
      </c>
      <c r="AR236" s="136" t="str">
        <f t="shared" si="168"/>
        <v>1+0.0290042824110622j</v>
      </c>
      <c r="AS236" s="136" t="str">
        <f t="shared" si="169"/>
        <v>0.0000455006493091189j</v>
      </c>
      <c r="AT236" s="136" t="str">
        <f t="shared" si="195"/>
        <v>-1.31971368244839E-06+0.0000455006493091189j</v>
      </c>
      <c r="AU236" s="179" t="str">
        <f t="shared" si="196"/>
        <v>318455.929245171-31214.294051778j</v>
      </c>
      <c r="AV236" s="136" t="str">
        <f t="shared" si="170"/>
        <v>5189.07797601141-3819.17446144643j</v>
      </c>
      <c r="AW236" s="136"/>
      <c r="AX236" s="136" t="str">
        <f t="shared" si="171"/>
        <v>0.324317373500713-0.238698403840402j</v>
      </c>
      <c r="AY236" s="136"/>
      <c r="AZ236" s="136" t="str">
        <f t="shared" si="172"/>
        <v>16.2668439091218+7.32958646638228j</v>
      </c>
      <c r="BA236" s="136" t="str">
        <f t="shared" si="173"/>
        <v>7.02518068208812-1.50575744500487j</v>
      </c>
      <c r="BB236" s="136">
        <f t="shared" si="197"/>
        <v>17.12821946861396</v>
      </c>
      <c r="BC236" s="136">
        <f t="shared" si="198"/>
        <v>167.90242341948414</v>
      </c>
      <c r="BD236" s="136" t="str">
        <f t="shared" si="174"/>
        <v>-0.273599147569766+0.0360720672906794j</v>
      </c>
      <c r="BE236" s="136">
        <f t="shared" si="199"/>
        <v>-11.182862511040854</v>
      </c>
      <c r="BF236" s="136">
        <f t="shared" si="200"/>
        <v>-7.5107153554786521</v>
      </c>
      <c r="BG236" s="136"/>
      <c r="BH236" s="136" t="str">
        <f t="shared" si="175"/>
        <v>-0.49873506492728-0.156410459442883j</v>
      </c>
      <c r="BI236" s="136">
        <f t="shared" si="201"/>
        <v>-5.635178793700975</v>
      </c>
      <c r="BJ236" s="136">
        <f t="shared" si="202"/>
        <v>17.41217189327736</v>
      </c>
      <c r="BK236" s="136"/>
      <c r="BL236" s="136">
        <f t="shared" si="203"/>
        <v>6.635178793700975</v>
      </c>
      <c r="BM236" s="136">
        <f t="shared" si="204"/>
        <v>-17.41217189327736</v>
      </c>
      <c r="BN236" s="136"/>
      <c r="BO236" s="189"/>
      <c r="BP236" s="189" t="str">
        <f t="shared" si="176"/>
        <v>0.00001+0.0000908196592996386j</v>
      </c>
      <c r="BQ236" s="189" t="str">
        <f t="shared" si="177"/>
        <v>3.11027014709487E-06+2.14041635580329E-07j</v>
      </c>
      <c r="BR236" s="189" t="str">
        <f t="shared" si="178"/>
        <v>-0.0846633688207284-0.00629343512251758j</v>
      </c>
      <c r="BS236" s="189" t="str">
        <f t="shared" si="179"/>
        <v>0.0000656102701470949+0.0000910337009352189j</v>
      </c>
      <c r="BT236" s="189" t="str">
        <f t="shared" si="205"/>
        <v>-4.98187180909265E-06-8.12013377593592E-06j</v>
      </c>
      <c r="BU236" s="189" t="str">
        <f t="shared" si="206"/>
        <v>-3.11027014709487E-06-2.14041635580329E-07j</v>
      </c>
      <c r="BV236" s="189" t="str">
        <f t="shared" si="207"/>
        <v>-8.09214195618752E-06-8.33417541151625E-06j</v>
      </c>
      <c r="BW236" s="189" t="str">
        <f t="shared" si="180"/>
        <v>0.979534619101663-0.141585836449213j</v>
      </c>
      <c r="BX236" s="189" t="str">
        <f t="shared" si="208"/>
        <v>-0.00001-0.0000908196592996386j</v>
      </c>
      <c r="BY236" s="189" t="str">
        <f t="shared" si="209"/>
        <v>6.76544061606514+3.85074475370667j</v>
      </c>
      <c r="BZ236" s="136">
        <f t="shared" si="210"/>
        <v>17.824684810610389</v>
      </c>
      <c r="CA236" s="136">
        <f t="shared" si="211"/>
        <v>-150.35238940900584</v>
      </c>
      <c r="CB236" s="189" t="str">
        <f t="shared" si="181"/>
        <v>-0.24720102858547-0.168215152841204j</v>
      </c>
      <c r="CC236" s="136" t="str">
        <f t="shared" si="182"/>
        <v>-0.290343683431958-0.486232942235596j</v>
      </c>
      <c r="CD236" s="136">
        <f t="shared" si="212"/>
        <v>-4.9387134517045457</v>
      </c>
      <c r="CE236" s="136">
        <f t="shared" si="213"/>
        <v>59.157359064787386</v>
      </c>
      <c r="CF236" s="136"/>
      <c r="CG236" s="136">
        <f t="shared" si="214"/>
        <v>5.9387134517045457</v>
      </c>
      <c r="CH236" s="136">
        <f t="shared" si="215"/>
        <v>-59.157359064787386</v>
      </c>
      <c r="CI236" s="77"/>
      <c r="CJ236" s="189"/>
      <c r="CK236" s="189"/>
      <c r="CL236" s="189"/>
      <c r="CM236" s="77"/>
      <c r="CN236" s="189">
        <v>288403.15031265997</v>
      </c>
      <c r="CO236" s="189">
        <v>-10.396541349611599</v>
      </c>
      <c r="CP236" s="189">
        <v>-6.1637256330810599</v>
      </c>
      <c r="CQ236" s="74"/>
      <c r="CR236" s="75"/>
      <c r="CS236" s="75"/>
      <c r="CT236" s="75"/>
      <c r="CU236" s="74"/>
      <c r="CV236" s="75"/>
      <c r="CW236" s="75"/>
      <c r="CX236" s="75"/>
      <c r="CY236" s="74"/>
      <c r="CZ236" s="75"/>
      <c r="DA236" s="75"/>
      <c r="DB236" s="75"/>
      <c r="DC236" s="74"/>
      <c r="DD236" s="75"/>
      <c r="DE236" s="75"/>
      <c r="DF236" s="75"/>
      <c r="DG236" s="74"/>
      <c r="DH236" s="75"/>
      <c r="DI236" s="75"/>
      <c r="DJ236" s="75"/>
      <c r="DK236" s="74"/>
      <c r="DL236" s="75"/>
      <c r="DM236" s="75"/>
      <c r="DN236" s="75"/>
      <c r="DO236" s="76"/>
    </row>
    <row r="237" spans="1:119" x14ac:dyDescent="0.25">
      <c r="A237" s="136">
        <v>188</v>
      </c>
      <c r="B237" s="136">
        <f t="shared" si="144"/>
        <v>436515.83224016649</v>
      </c>
      <c r="C237" s="136" t="str">
        <f t="shared" si="151"/>
        <v>2742709.86348268j</v>
      </c>
      <c r="D237" s="136">
        <f t="shared" si="145"/>
        <v>-3.7636517949081174</v>
      </c>
      <c r="E237" s="136" t="str">
        <f t="shared" si="146"/>
        <v>-3.42838732935335j</v>
      </c>
      <c r="F237" s="136" t="str">
        <f t="shared" si="152"/>
        <v>-3.76365179490812-3.42838732935335j</v>
      </c>
      <c r="G237" s="136">
        <f t="shared" si="153"/>
        <v>14.136168092850447</v>
      </c>
      <c r="H237" s="136">
        <f t="shared" si="154"/>
        <v>-137.66897084775249</v>
      </c>
      <c r="I237" s="136"/>
      <c r="J237" s="136">
        <f t="shared" si="147"/>
        <v>7.0726915520628681</v>
      </c>
      <c r="K237" s="136" t="str">
        <f t="shared" si="148"/>
        <v>1+201.313075506386j</v>
      </c>
      <c r="L237" s="136">
        <f t="shared" si="149"/>
        <v>-2211.9124754270615</v>
      </c>
      <c r="M237" s="136" t="str">
        <f t="shared" si="150"/>
        <v>14.7329752381453j</v>
      </c>
      <c r="N237" s="136" t="str">
        <f t="shared" si="155"/>
        <v>-2211.91247542706+14.7329752381453j</v>
      </c>
      <c r="O237" s="136" t="str">
        <f t="shared" si="156"/>
        <v>0.00124282298073555-0.257294175212613j</v>
      </c>
      <c r="P237" s="136" t="str">
        <f t="shared" si="157"/>
        <v>0.00879010359655792-1.81976233942123j</v>
      </c>
      <c r="Q237" s="136"/>
      <c r="R237" s="136">
        <f t="shared" si="158"/>
        <v>11.787819253438114</v>
      </c>
      <c r="S237" s="136" t="str">
        <f t="shared" si="159"/>
        <v>1+0.0642279120348787j</v>
      </c>
      <c r="T237" s="136" t="str">
        <f t="shared" si="160"/>
        <v>-277.589174939146+5.22745687774069j</v>
      </c>
      <c r="U237" s="136" t="str">
        <f t="shared" si="183"/>
        <v>-0.00359681319728408-0.000299111440275623j</v>
      </c>
      <c r="V237" s="136" t="str">
        <f t="shared" si="184"/>
        <v>-0.0423985838579656-0.00352587159460459j</v>
      </c>
      <c r="W237" s="136"/>
      <c r="X237" s="136" t="str">
        <f t="shared" si="161"/>
        <v>-0.521228008925586-0.174314698718619j</v>
      </c>
      <c r="Y237" s="136">
        <f t="shared" si="185"/>
        <v>-5.1990066931309933</v>
      </c>
      <c r="Z237" s="136">
        <f t="shared" si="186"/>
        <v>18.491522238181091</v>
      </c>
      <c r="AA237" s="136"/>
      <c r="AB237" s="136" t="str">
        <f t="shared" si="162"/>
        <v>-0.033330678639788-0.00277178345009378j</v>
      </c>
      <c r="AC237" s="136">
        <f t="shared" si="187"/>
        <v>-29.513186150885002</v>
      </c>
      <c r="AD237" s="136">
        <f t="shared" si="188"/>
        <v>4.7537859672550837</v>
      </c>
      <c r="AE237" s="136"/>
      <c r="AF237" s="136" t="str">
        <f t="shared" si="189"/>
        <v>-0.0596076347927648-0.0274917300838475j</v>
      </c>
      <c r="AG237" s="136">
        <f t="shared" si="190"/>
        <v>-23.656370773383504</v>
      </c>
      <c r="AH237" s="136">
        <f t="shared" si="191"/>
        <v>24.759697638056082</v>
      </c>
      <c r="AI237" s="136"/>
      <c r="AJ237" s="136" t="str">
        <f t="shared" si="163"/>
        <v>1044.90884749751-10168.5323547783j</v>
      </c>
      <c r="AK237" s="136" t="str">
        <f t="shared" si="164"/>
        <v>19036.5651249143-458.725102273016j</v>
      </c>
      <c r="AL237" s="136" t="str">
        <f t="shared" si="165"/>
        <v>10000-22835.3471286783j</v>
      </c>
      <c r="AM237" s="136" t="str">
        <f t="shared" si="166"/>
        <v>882.63299594418-7353.39773471167j</v>
      </c>
      <c r="AN237" s="136" t="str">
        <f t="shared" si="192"/>
        <v>10882.6329959442-7353.39773471167j</v>
      </c>
      <c r="AO237" s="136" t="str">
        <f t="shared" si="193"/>
        <v>7561.21736344074-2871.28059425058j</v>
      </c>
      <c r="AP237" s="136" t="str">
        <f t="shared" si="194"/>
        <v>0.750007997555316+0.374066315695483j</v>
      </c>
      <c r="AQ237" s="136" t="str">
        <f t="shared" si="167"/>
        <v>1+15.5704029175464j</v>
      </c>
      <c r="AR237" s="136" t="str">
        <f t="shared" si="168"/>
        <v>1+0.0310786485380167j</v>
      </c>
      <c r="AS237" s="136" t="str">
        <f t="shared" si="169"/>
        <v>0.000048754824135567j</v>
      </c>
      <c r="AT237" s="136" t="str">
        <f t="shared" si="195"/>
        <v>-0.0000015152340438421+0.000048754824135567j</v>
      </c>
      <c r="AU237" s="179" t="str">
        <f t="shared" si="196"/>
        <v>318416.277109215-30406.7383992032j</v>
      </c>
      <c r="AV237" s="136" t="str">
        <f t="shared" si="170"/>
        <v>4932.32090768967-3889.83003807168j</v>
      </c>
      <c r="AW237" s="136"/>
      <c r="AX237" s="136" t="str">
        <f t="shared" si="171"/>
        <v>0.308270056730604-0.24311437737948j</v>
      </c>
      <c r="AY237" s="136"/>
      <c r="AZ237" s="136" t="str">
        <f t="shared" si="172"/>
        <v>16.8364152260322+7.08201208602281j</v>
      </c>
      <c r="BA237" s="136" t="str">
        <f t="shared" si="173"/>
        <v>6.91190163575634-1.91000233745414j</v>
      </c>
      <c r="BB237" s="136">
        <f t="shared" si="197"/>
        <v>17.111531290098629</v>
      </c>
      <c r="BC237" s="136">
        <f t="shared" si="198"/>
        <v>164.55264563711677</v>
      </c>
      <c r="BD237" s="136" t="str">
        <f t="shared" si="174"/>
        <v>-0.235672485079815+0.0445033795482623j</v>
      </c>
      <c r="BE237" s="136">
        <f t="shared" si="199"/>
        <v>-12.401654860786389</v>
      </c>
      <c r="BF237" s="136">
        <f t="shared" si="200"/>
        <v>-10.693568395628176</v>
      </c>
      <c r="BG237" s="136"/>
      <c r="BH237" s="136" t="str">
        <f t="shared" si="175"/>
        <v>-0.464511377148484-0.0761694123520238j</v>
      </c>
      <c r="BI237" s="136">
        <f t="shared" si="201"/>
        <v>-6.544839483284882</v>
      </c>
      <c r="BJ237" s="136">
        <f t="shared" si="202"/>
        <v>9.3123432751728785</v>
      </c>
      <c r="BK237" s="136"/>
      <c r="BL237" s="136">
        <f t="shared" si="203"/>
        <v>7.544839483284882</v>
      </c>
      <c r="BM237" s="136">
        <f t="shared" si="204"/>
        <v>-9.3123432751728785</v>
      </c>
      <c r="BN237" s="136"/>
      <c r="BO237" s="189"/>
      <c r="BP237" s="189" t="str">
        <f t="shared" si="176"/>
        <v>0.00001+0.0000973150182346647j</v>
      </c>
      <c r="BQ237" s="189" t="str">
        <f t="shared" si="177"/>
        <v>3.11216302673099E-06+1.99876846039988E-07j</v>
      </c>
      <c r="BR237" s="189" t="str">
        <f t="shared" si="178"/>
        <v>-0.0847236977180561-0.00587757833786329j</v>
      </c>
      <c r="BS237" s="189" t="str">
        <f t="shared" si="179"/>
        <v>0.000065612163026731+0.0000975148950807047j</v>
      </c>
      <c r="BT237" s="189" t="str">
        <f t="shared" si="205"/>
        <v>-4.98575363195921E-06-8.64746312193185E-06j</v>
      </c>
      <c r="BU237" s="189" t="str">
        <f t="shared" si="206"/>
        <v>-3.11216302673099E-06-1.99876846039988E-07j</v>
      </c>
      <c r="BV237" s="189" t="str">
        <f t="shared" si="207"/>
        <v>-0.0000080979166586902-8.84733996797184E-06j</v>
      </c>
      <c r="BW237" s="189" t="str">
        <f t="shared" si="180"/>
        <v>0.976573628041487-0.151253353864879j</v>
      </c>
      <c r="BX237" s="189" t="str">
        <f t="shared" si="208"/>
        <v>-0.00001-0.0000973150182346647j</v>
      </c>
      <c r="BY237" s="189" t="str">
        <f t="shared" si="209"/>
        <v>7.13029353759882+3.75882059127726j</v>
      </c>
      <c r="BZ237" s="136">
        <f t="shared" si="210"/>
        <v>18.127116513122068</v>
      </c>
      <c r="CA237" s="136">
        <f t="shared" si="211"/>
        <v>-152.20350058574371</v>
      </c>
      <c r="CB237" s="189" t="str">
        <f t="shared" si="181"/>
        <v>-0.227238885802289-0.145047670814307j</v>
      </c>
      <c r="CC237" s="136" t="str">
        <f t="shared" si="182"/>
        <v>-0.321683452025398-0.420078510410648j</v>
      </c>
      <c r="CD237" s="136">
        <f t="shared" si="212"/>
        <v>-5.5292542602614434</v>
      </c>
      <c r="CE237" s="136">
        <f t="shared" si="213"/>
        <v>52.556197052312427</v>
      </c>
      <c r="CF237" s="136"/>
      <c r="CG237" s="136">
        <f t="shared" si="214"/>
        <v>6.5292542602614434</v>
      </c>
      <c r="CH237" s="136">
        <f t="shared" si="215"/>
        <v>-52.556197052312427</v>
      </c>
      <c r="CI237" s="77"/>
      <c r="CJ237" s="189"/>
      <c r="CK237" s="189"/>
      <c r="CL237" s="189"/>
      <c r="CM237" s="77"/>
      <c r="CN237" s="189">
        <v>300000</v>
      </c>
      <c r="CO237" s="189">
        <v>-11.252514780889999</v>
      </c>
      <c r="CP237" s="189">
        <v>-13.462723866849601</v>
      </c>
      <c r="CQ237" s="74"/>
      <c r="CR237" s="75"/>
      <c r="CS237" s="75"/>
      <c r="CT237" s="75"/>
      <c r="CU237" s="74"/>
      <c r="CV237" s="75"/>
      <c r="CW237" s="75"/>
      <c r="CX237" s="75"/>
      <c r="CY237" s="74"/>
      <c r="CZ237" s="75"/>
      <c r="DA237" s="75"/>
      <c r="DB237" s="75"/>
      <c r="DC237" s="74"/>
      <c r="DD237" s="75"/>
      <c r="DE237" s="75"/>
      <c r="DF237" s="75"/>
      <c r="DG237" s="74"/>
      <c r="DH237" s="75"/>
      <c r="DI237" s="75"/>
      <c r="DJ237" s="75"/>
      <c r="DK237" s="74"/>
      <c r="DL237" s="75"/>
      <c r="DM237" s="75"/>
      <c r="DN237" s="75"/>
      <c r="DO237" s="76"/>
    </row>
    <row r="238" spans="1:119" x14ac:dyDescent="0.25">
      <c r="A238" s="136">
        <v>189</v>
      </c>
      <c r="B238" s="136">
        <f t="shared" si="144"/>
        <v>467735.14128719864</v>
      </c>
      <c r="C238" s="136" t="str">
        <f t="shared" si="151"/>
        <v>2938866.56738729j</v>
      </c>
      <c r="D238" s="136">
        <f t="shared" si="145"/>
        <v>-4.4694040598738747</v>
      </c>
      <c r="E238" s="136" t="str">
        <f t="shared" si="146"/>
        <v>-3.67358320923411j</v>
      </c>
      <c r="F238" s="136" t="str">
        <f t="shared" si="152"/>
        <v>-4.46940405987387-3.67358320923411j</v>
      </c>
      <c r="G238" s="136">
        <f t="shared" si="153"/>
        <v>15.246659142731605</v>
      </c>
      <c r="H238" s="136">
        <f t="shared" si="154"/>
        <v>-140.58183745336291</v>
      </c>
      <c r="I238" s="136"/>
      <c r="J238" s="136">
        <f t="shared" si="147"/>
        <v>7.0726915520628681</v>
      </c>
      <c r="K238" s="136" t="str">
        <f t="shared" si="148"/>
        <v>1+215.710846801849j</v>
      </c>
      <c r="L238" s="136">
        <f t="shared" si="149"/>
        <v>-2539.763472717209</v>
      </c>
      <c r="M238" s="136" t="str">
        <f t="shared" si="150"/>
        <v>15.7866673912603j</v>
      </c>
      <c r="N238" s="136" t="str">
        <f t="shared" si="155"/>
        <v>-2539.76347271721+15.7866673912603j</v>
      </c>
      <c r="O238" s="136" t="str">
        <f t="shared" si="156"/>
        <v>0.0010800410004736-0.240012187560016j</v>
      </c>
      <c r="P238" s="136" t="str">
        <f t="shared" si="157"/>
        <v>0.00763879685993116-1.69753217134785j</v>
      </c>
      <c r="Q238" s="136"/>
      <c r="R238" s="136">
        <f t="shared" si="158"/>
        <v>11.787819253438114</v>
      </c>
      <c r="S238" s="136" t="str">
        <f t="shared" si="159"/>
        <v>1+0.0688214476804754j</v>
      </c>
      <c r="T238" s="136" t="str">
        <f t="shared" si="160"/>
        <v>-318.86317011621+5.60132096179626j</v>
      </c>
      <c r="U238" s="136" t="str">
        <f t="shared" si="183"/>
        <v>-0.00313138369126061-0.000270841354171716j</v>
      </c>
      <c r="V238" s="136" t="str">
        <f t="shared" si="184"/>
        <v>-0.0369121849657439-0.00319262892933261j</v>
      </c>
      <c r="W238" s="136"/>
      <c r="X238" s="136" t="str">
        <f t="shared" si="161"/>
        <v>-0.521260412998828-0.127032073589482j</v>
      </c>
      <c r="Y238" s="136">
        <f t="shared" si="185"/>
        <v>-5.4083442118885934</v>
      </c>
      <c r="Z238" s="136">
        <f t="shared" si="186"/>
        <v>13.69610736549771</v>
      </c>
      <c r="AA238" s="136"/>
      <c r="AB238" s="136" t="str">
        <f t="shared" si="162"/>
        <v>-0.0290176714181571-0.00250981233751003j</v>
      </c>
      <c r="AC238" s="136">
        <f t="shared" si="187"/>
        <v>-30.71438034987959</v>
      </c>
      <c r="AD238" s="136">
        <f t="shared" si="188"/>
        <v>4.9433554381683109</v>
      </c>
      <c r="AE238" s="136"/>
      <c r="AF238" s="136" t="str">
        <f t="shared" si="189"/>
        <v>-0.0553260957986859-0.0199231508515382j</v>
      </c>
      <c r="AG238" s="136">
        <f t="shared" si="190"/>
        <v>-24.611864631016076</v>
      </c>
      <c r="AH238" s="136">
        <f t="shared" si="191"/>
        <v>19.804153532874835</v>
      </c>
      <c r="AI238" s="136"/>
      <c r="AJ238" s="136" t="str">
        <f t="shared" si="163"/>
        <v>911.306286984035-9502.63908341819j</v>
      </c>
      <c r="AK238" s="136" t="str">
        <f t="shared" si="164"/>
        <v>19034.9285373402-491.490545444267j</v>
      </c>
      <c r="AL238" s="136" t="str">
        <f t="shared" si="165"/>
        <v>10000-21311.1859180312j</v>
      </c>
      <c r="AM238" s="136" t="str">
        <f t="shared" si="166"/>
        <v>871.836392232633-6895.95288359263j</v>
      </c>
      <c r="AN238" s="136" t="str">
        <f t="shared" si="192"/>
        <v>10871.8363922326-6895.95288359263j</v>
      </c>
      <c r="AO238" s="136" t="str">
        <f t="shared" si="193"/>
        <v>7478.33898525373-2720.50718723087j</v>
      </c>
      <c r="AP238" s="136" t="str">
        <f t="shared" si="194"/>
        <v>0.772674703784302+0.362510552432742j</v>
      </c>
      <c r="AQ238" s="136" t="str">
        <f t="shared" si="167"/>
        <v>1+16.6839873164789j</v>
      </c>
      <c r="AR238" s="136" t="str">
        <f t="shared" si="168"/>
        <v>1+0.0333013718891794j</v>
      </c>
      <c r="AS238" s="136" t="str">
        <f t="shared" si="169"/>
        <v>0.0000522417352847245j</v>
      </c>
      <c r="AT238" s="136" t="str">
        <f t="shared" si="195"/>
        <v>-1.73972145485268E-06+0.0000522417352847245j</v>
      </c>
      <c r="AU238" s="179" t="str">
        <f t="shared" si="196"/>
        <v>318370.762541223-29743.9669207376j</v>
      </c>
      <c r="AV238" s="136" t="str">
        <f t="shared" si="170"/>
        <v>4667.17420953547-3943.96736473956j</v>
      </c>
      <c r="AW238" s="136"/>
      <c r="AX238" s="136" t="str">
        <f t="shared" si="171"/>
        <v>0.291698388095967-0.246497960296222j</v>
      </c>
      <c r="AY238" s="136"/>
      <c r="AZ238" s="136" t="str">
        <f t="shared" si="172"/>
        <v>17.3800773836991+6.79429119400673j</v>
      </c>
      <c r="BA238" s="136" t="str">
        <f t="shared" si="173"/>
        <v>6.74451947878944-2.30226983532594j</v>
      </c>
      <c r="BB238" s="136">
        <f t="shared" si="197"/>
        <v>17.057695712693818</v>
      </c>
      <c r="BC238" s="136">
        <f t="shared" si="198"/>
        <v>161.15244717754061</v>
      </c>
      <c r="BD238" s="136" t="str">
        <f t="shared" si="174"/>
        <v>-0.20148851534585+0.0498790313989802j</v>
      </c>
      <c r="BE238" s="136">
        <f t="shared" si="199"/>
        <v>-13.656684637185792</v>
      </c>
      <c r="BF238" s="136">
        <f t="shared" si="200"/>
        <v>-13.904197384291081</v>
      </c>
      <c r="BG238" s="136"/>
      <c r="BH238" s="136" t="str">
        <f t="shared" si="175"/>
        <v>-0.419016400029751-0.00699647753339186j</v>
      </c>
      <c r="BI238" s="136">
        <f t="shared" si="201"/>
        <v>-7.5541689183222882</v>
      </c>
      <c r="BJ238" s="136">
        <f t="shared" si="202"/>
        <v>0.95660071041541528</v>
      </c>
      <c r="BK238" s="136"/>
      <c r="BL238" s="136">
        <f t="shared" si="203"/>
        <v>8.5541689183222882</v>
      </c>
      <c r="BM238" s="136">
        <f t="shared" si="204"/>
        <v>-0.95660071041541528</v>
      </c>
      <c r="BN238" s="136"/>
      <c r="BO238" s="189"/>
      <c r="BP238" s="189" t="str">
        <f t="shared" si="176"/>
        <v>0.00001+0.000104274920727993j</v>
      </c>
      <c r="BQ238" s="189" t="str">
        <f t="shared" si="177"/>
        <v>3.11381353418137E-06+1.86634853834121E-07j</v>
      </c>
      <c r="BR238" s="189" t="str">
        <f t="shared" si="178"/>
        <v>-0.0847763123836865-0.00548869611913005j</v>
      </c>
      <c r="BS238" s="189" t="str">
        <f t="shared" si="179"/>
        <v>0.0000656138135341814+0.000104461555581827j</v>
      </c>
      <c r="BT238" s="189" t="str">
        <f t="shared" si="205"/>
        <v>-4.98913941813846E-06-9.21599975179718E-06j</v>
      </c>
      <c r="BU238" s="189" t="str">
        <f t="shared" si="206"/>
        <v>-3.11381353418137E-06-1.86634853834121E-07j</v>
      </c>
      <c r="BV238" s="189" t="str">
        <f t="shared" si="207"/>
        <v>-8.10295295231983E-06-0.0000094026346056313j</v>
      </c>
      <c r="BW238" s="189" t="str">
        <f t="shared" si="180"/>
        <v>0.973195955045555-0.161510334432583j</v>
      </c>
      <c r="BX238" s="189" t="str">
        <f t="shared" si="208"/>
        <v>-0.00001-0.000104274920727993j</v>
      </c>
      <c r="BY238" s="189" t="str">
        <f t="shared" si="209"/>
        <v>7.49227878884172+3.6304873148042j</v>
      </c>
      <c r="BZ238" s="136">
        <f t="shared" si="210"/>
        <v>18.408252200514561</v>
      </c>
      <c r="CA238" s="136">
        <f t="shared" si="211"/>
        <v>-154.14684987855304</v>
      </c>
      <c r="CB238" s="189" t="str">
        <f t="shared" si="181"/>
        <v>-0.208296642213967-0.124152501729075j</v>
      </c>
      <c r="CC238" s="136" t="str">
        <f t="shared" si="182"/>
        <v>-0.342187787584478-0.350130489506643j</v>
      </c>
      <c r="CD238" s="136">
        <f t="shared" si="212"/>
        <v>-6.2036124305015541</v>
      </c>
      <c r="CE238" s="136">
        <f t="shared" si="213"/>
        <v>45.657303654321794</v>
      </c>
      <c r="CF238" s="136"/>
      <c r="CG238" s="136">
        <f t="shared" si="214"/>
        <v>7.2036124305015541</v>
      </c>
      <c r="CH238" s="136">
        <f t="shared" si="215"/>
        <v>-45.657303654321794</v>
      </c>
      <c r="CI238" s="77"/>
      <c r="CJ238" s="189"/>
      <c r="CK238" s="189"/>
      <c r="CL238" s="189"/>
      <c r="CM238" s="77"/>
      <c r="CN238" s="189"/>
      <c r="CO238" s="189"/>
      <c r="CP238" s="189"/>
      <c r="CQ238" s="74"/>
      <c r="CR238" s="75"/>
      <c r="CS238" s="75"/>
      <c r="CT238" s="75"/>
      <c r="CU238" s="74"/>
      <c r="CV238" s="75"/>
      <c r="CW238" s="75"/>
      <c r="CX238" s="75"/>
      <c r="CY238" s="74"/>
      <c r="CZ238" s="75"/>
      <c r="DA238" s="75"/>
      <c r="DB238" s="75"/>
      <c r="DC238" s="74"/>
      <c r="DD238" s="75"/>
      <c r="DE238" s="75"/>
      <c r="DF238" s="75"/>
      <c r="DG238" s="74"/>
      <c r="DH238" s="75"/>
      <c r="DI238" s="75"/>
      <c r="DJ238" s="75"/>
      <c r="DK238" s="74"/>
      <c r="DL238" s="75"/>
      <c r="DM238" s="75"/>
      <c r="DN238" s="75"/>
      <c r="DO238" s="76"/>
    </row>
    <row r="239" spans="1:119" x14ac:dyDescent="0.25">
      <c r="A239" s="136">
        <v>190</v>
      </c>
      <c r="B239" s="136">
        <f t="shared" si="144"/>
        <v>501187.23362727347</v>
      </c>
      <c r="C239" s="136" t="str">
        <f t="shared" si="151"/>
        <v>3149052.26247287j</v>
      </c>
      <c r="D239" s="136">
        <f t="shared" si="145"/>
        <v>-5.2797160787739905</v>
      </c>
      <c r="E239" s="136" t="str">
        <f t="shared" si="146"/>
        <v>-3.93631532809109j</v>
      </c>
      <c r="F239" s="136" t="str">
        <f t="shared" si="152"/>
        <v>-5.27971607877399-3.93631532809109j</v>
      </c>
      <c r="G239" s="136">
        <f t="shared" si="153"/>
        <v>16.371892242240833</v>
      </c>
      <c r="H239" s="136">
        <f t="shared" si="154"/>
        <v>-143.2934691212636</v>
      </c>
      <c r="I239" s="136"/>
      <c r="J239" s="136">
        <f t="shared" si="147"/>
        <v>7.0726915520628681</v>
      </c>
      <c r="K239" s="136" t="str">
        <f t="shared" si="148"/>
        <v>1+231.138336697334j</v>
      </c>
      <c r="L239" s="136">
        <f t="shared" si="149"/>
        <v>-2916.1867825672825</v>
      </c>
      <c r="M239" s="136" t="str">
        <f t="shared" si="150"/>
        <v>16.9157188751005j</v>
      </c>
      <c r="N239" s="136" t="str">
        <f t="shared" si="155"/>
        <v>-2916.18678256728+16.9157188751005j</v>
      </c>
      <c r="O239" s="136" t="str">
        <f t="shared" si="156"/>
        <v>0.00093884896114899-0.223904112275288j</v>
      </c>
      <c r="P239" s="136" t="str">
        <f t="shared" si="157"/>
        <v>0.00664018911618146-1.58360472336157j</v>
      </c>
      <c r="Q239" s="136"/>
      <c r="R239" s="136">
        <f t="shared" si="158"/>
        <v>11.787819253438114</v>
      </c>
      <c r="S239" s="136" t="str">
        <f t="shared" si="159"/>
        <v>1+0.0737435098040296j</v>
      </c>
      <c r="T239" s="136" t="str">
        <f t="shared" si="160"/>
        <v>-366.252057152404+6.00192354539679j</v>
      </c>
      <c r="U239" s="136" t="str">
        <f t="shared" si="183"/>
        <v>-0.00272632839717056-0.000246023804218515j</v>
      </c>
      <c r="V239" s="136" t="str">
        <f t="shared" si="184"/>
        <v>-0.0321374663713622-0.0029000841361711j</v>
      </c>
      <c r="W239" s="136"/>
      <c r="X239" s="136" t="str">
        <f t="shared" si="161"/>
        <v>-0.521287819834148-0.0804041432048929j</v>
      </c>
      <c r="Y239" s="136">
        <f t="shared" si="185"/>
        <v>-5.5563379304477181</v>
      </c>
      <c r="Z239" s="136">
        <f t="shared" si="186"/>
        <v>8.7682811388934567</v>
      </c>
      <c r="AA239" s="136"/>
      <c r="AB239" s="136" t="str">
        <f t="shared" si="162"/>
        <v>-0.0252641354133252-0.00227983492785705j</v>
      </c>
      <c r="AC239" s="136">
        <f t="shared" si="187"/>
        <v>-31.914688711807045</v>
      </c>
      <c r="AD239" s="136">
        <f t="shared" si="188"/>
        <v>5.1564032980554657</v>
      </c>
      <c r="AE239" s="136"/>
      <c r="AF239" s="136" t="str">
        <f t="shared" si="189"/>
        <v>-0.050549302669059-0.0132526569438228j</v>
      </c>
      <c r="AG239" s="136">
        <f t="shared" si="190"/>
        <v>-25.636997819230825</v>
      </c>
      <c r="AH239" s="136">
        <f t="shared" si="191"/>
        <v>14.690768845994853</v>
      </c>
      <c r="AI239" s="136"/>
      <c r="AJ239" s="136" t="str">
        <f t="shared" si="163"/>
        <v>794.649036506442-8878.81954763265j</v>
      </c>
      <c r="AK239" s="136" t="str">
        <f t="shared" si="164"/>
        <v>19033.0498303764-526.589629378652j</v>
      </c>
      <c r="AL239" s="136" t="str">
        <f t="shared" si="165"/>
        <v>10000-19888.7559130868j</v>
      </c>
      <c r="AM239" s="136" t="str">
        <f t="shared" si="166"/>
        <v>859.761452505424-6470.50023839666j</v>
      </c>
      <c r="AN239" s="136" t="str">
        <f t="shared" si="192"/>
        <v>10859.7614525054-6470.50023839666j</v>
      </c>
      <c r="AO239" s="136" t="str">
        <f t="shared" si="193"/>
        <v>7403.98868683697-2578.06521682432j</v>
      </c>
      <c r="AP239" s="136" t="str">
        <f t="shared" si="194"/>
        <v>0.793884709894245+0.350026543833664j</v>
      </c>
      <c r="AQ239" s="136" t="str">
        <f t="shared" si="167"/>
        <v>1+17.8772144979466j</v>
      </c>
      <c r="AR239" s="136" t="str">
        <f t="shared" si="168"/>
        <v>1+0.0356830628701528j</v>
      </c>
      <c r="AS239" s="136" t="str">
        <f t="shared" si="169"/>
        <v>0.0000559780278966952j</v>
      </c>
      <c r="AT239" s="136" t="str">
        <f t="shared" si="195"/>
        <v>-1.99746748878494E-06+0.0000559780278966952j</v>
      </c>
      <c r="AU239" s="179" t="str">
        <f t="shared" si="196"/>
        <v>318318.520868674-29222.7318106335j</v>
      </c>
      <c r="AV239" s="136" t="str">
        <f t="shared" si="170"/>
        <v>4395.8563453195-3980.36402278363j</v>
      </c>
      <c r="AW239" s="136"/>
      <c r="AX239" s="136" t="str">
        <f t="shared" si="171"/>
        <v>0.274741021582469-0.248772751423977j</v>
      </c>
      <c r="AY239" s="136"/>
      <c r="AZ239" s="136" t="str">
        <f t="shared" si="172"/>
        <v>17.8943194290457+6.47021734656743j</v>
      </c>
      <c r="BA239" s="136" t="str">
        <f t="shared" si="173"/>
        <v>6.52591737207576-2.67398495556668j</v>
      </c>
      <c r="BB239" s="136">
        <f t="shared" si="197"/>
        <v>16.966865113278892</v>
      </c>
      <c r="BC239" s="136">
        <f t="shared" si="198"/>
        <v>157.71870734532436</v>
      </c>
      <c r="BD239" s="136" t="str">
        <f t="shared" si="174"/>
        <v>-0.170967904482558+0.0526779036494636j</v>
      </c>
      <c r="BE239" s="136">
        <f t="shared" si="199"/>
        <v>-14.947823598528178</v>
      </c>
      <c r="BF239" s="136">
        <f t="shared" si="200"/>
        <v>-17.124889356620258</v>
      </c>
      <c r="BG239" s="136"/>
      <c r="BH239" s="136" t="str">
        <f t="shared" si="175"/>
        <v>-0.365317977723395+0.0486823306755968j</v>
      </c>
      <c r="BI239" s="136">
        <f t="shared" si="201"/>
        <v>-8.6701327059519624</v>
      </c>
      <c r="BJ239" s="136">
        <f t="shared" si="202"/>
        <v>-7.590523808680814</v>
      </c>
      <c r="BK239" s="136"/>
      <c r="BL239" s="136">
        <f t="shared" si="203"/>
        <v>9.6701327059519624</v>
      </c>
      <c r="BM239" s="136">
        <f t="shared" si="204"/>
        <v>7.590523808680814</v>
      </c>
      <c r="BN239" s="136"/>
      <c r="BO239" s="189"/>
      <c r="BP239" s="189" t="str">
        <f t="shared" si="176"/>
        <v>0.00001+0.000111732590612166j</v>
      </c>
      <c r="BQ239" s="189" t="str">
        <f t="shared" si="177"/>
        <v>3.11525249312374E-06+1.74258271246987E-07j</v>
      </c>
      <c r="BR239" s="189" t="str">
        <f t="shared" si="178"/>
        <v>-0.0848221913406181-0.00512513308212676j</v>
      </c>
      <c r="BS239" s="189" t="str">
        <f t="shared" si="179"/>
        <v>0.0000656152524931237+0.000111906848883413j</v>
      </c>
      <c r="BT239" s="189" t="str">
        <f t="shared" si="205"/>
        <v>-4.99209200850577E-06-0.0000098284710495591j</v>
      </c>
      <c r="BU239" s="189" t="str">
        <f t="shared" si="206"/>
        <v>-3.11525249312374E-06-1.74258271246987E-07j</v>
      </c>
      <c r="BV239" s="189" t="str">
        <f t="shared" si="207"/>
        <v>-8.10734450162951E-06-0.0000100027293208061j</v>
      </c>
      <c r="BW239" s="189" t="str">
        <f t="shared" si="180"/>
        <v>0.96934656706292-0.172376912567352j</v>
      </c>
      <c r="BX239" s="189" t="str">
        <f t="shared" si="208"/>
        <v>-0.00001-0.000111732590612166j</v>
      </c>
      <c r="BY239" s="189" t="str">
        <f t="shared" si="209"/>
        <v>7.84676953359228+3.46534211298877j</v>
      </c>
      <c r="BZ239" s="136">
        <f t="shared" si="210"/>
        <v>18.667620740316227</v>
      </c>
      <c r="CA239" s="136">
        <f t="shared" si="211"/>
        <v>-156.17247171240555</v>
      </c>
      <c r="CB239" s="189" t="str">
        <f t="shared" si="181"/>
        <v>-0.190341440067664-0.105438211649575j</v>
      </c>
      <c r="CC239" s="136" t="str">
        <f t="shared" si="182"/>
        <v>-0.350723737911484-0.279161172067245j</v>
      </c>
      <c r="CD239" s="136">
        <f t="shared" si="212"/>
        <v>-6.969377078914607</v>
      </c>
      <c r="CE239" s="136">
        <f t="shared" si="213"/>
        <v>38.518297133589414</v>
      </c>
      <c r="CF239" s="136"/>
      <c r="CG239" s="136">
        <f t="shared" si="214"/>
        <v>7.969377078914607</v>
      </c>
      <c r="CH239" s="136">
        <f t="shared" si="215"/>
        <v>-38.518297133589414</v>
      </c>
      <c r="CI239" s="77"/>
      <c r="CJ239" s="189"/>
      <c r="CK239" s="189"/>
      <c r="CL239" s="189"/>
      <c r="CM239" s="77"/>
      <c r="CN239" s="189"/>
      <c r="CO239" s="189"/>
      <c r="CP239" s="189"/>
      <c r="CQ239" s="74"/>
      <c r="CR239" s="75"/>
      <c r="CS239" s="75"/>
      <c r="CT239" s="75"/>
      <c r="CU239" s="74"/>
      <c r="CV239" s="75"/>
      <c r="CW239" s="75"/>
      <c r="CX239" s="75"/>
      <c r="CY239" s="74"/>
      <c r="CZ239" s="75"/>
      <c r="DA239" s="75"/>
      <c r="DB239" s="75"/>
      <c r="DC239" s="74"/>
      <c r="DD239" s="75"/>
      <c r="DE239" s="75"/>
      <c r="DF239" s="75"/>
      <c r="DG239" s="74"/>
      <c r="DH239" s="75"/>
      <c r="DI239" s="75"/>
      <c r="DJ239" s="75"/>
      <c r="DK239" s="74"/>
      <c r="DL239" s="75"/>
      <c r="DM239" s="75"/>
      <c r="DN239" s="75"/>
      <c r="DO239" s="76"/>
    </row>
    <row r="240" spans="1:119" x14ac:dyDescent="0.25">
      <c r="A240" s="136">
        <v>191</v>
      </c>
      <c r="B240" s="136">
        <f t="shared" si="144"/>
        <v>537031.79637025285</v>
      </c>
      <c r="C240" s="136" t="str">
        <f t="shared" si="151"/>
        <v>3374270.29244183j</v>
      </c>
      <c r="D240" s="136">
        <f t="shared" si="145"/>
        <v>-6.2100787578165262</v>
      </c>
      <c r="E240" s="136" t="str">
        <f t="shared" si="146"/>
        <v>-4.21783786555229j</v>
      </c>
      <c r="F240" s="136" t="str">
        <f t="shared" si="152"/>
        <v>-6.21007875781653-4.21783786555229j</v>
      </c>
      <c r="G240" s="136">
        <f t="shared" si="153"/>
        <v>17.509342607924577</v>
      </c>
      <c r="H240" s="136">
        <f t="shared" si="154"/>
        <v>-145.81595365353851</v>
      </c>
      <c r="I240" s="136"/>
      <c r="J240" s="136">
        <f t="shared" si="147"/>
        <v>7.0726915520628681</v>
      </c>
      <c r="K240" s="136" t="str">
        <f t="shared" si="148"/>
        <v>1+247.669189951702j</v>
      </c>
      <c r="L240" s="136">
        <f t="shared" si="149"/>
        <v>-3348.3785689874489</v>
      </c>
      <c r="M240" s="136" t="str">
        <f t="shared" si="150"/>
        <v>18.1255193366423j</v>
      </c>
      <c r="N240" s="136" t="str">
        <f t="shared" si="155"/>
        <v>-3348.37856898745+18.1255193366423j</v>
      </c>
      <c r="O240" s="136" t="str">
        <f t="shared" si="156"/>
        <v>0.000816318792656257-0.208887755207272j</v>
      </c>
      <c r="P240" s="136" t="str">
        <f t="shared" si="157"/>
        <v>0.00577357102861007-1.47739866158385j</v>
      </c>
      <c r="Q240" s="136"/>
      <c r="R240" s="136">
        <f t="shared" si="158"/>
        <v>11.787819253438114</v>
      </c>
      <c r="S240" s="136" t="str">
        <f t="shared" si="159"/>
        <v>1+0.0790175943909957j</v>
      </c>
      <c r="T240" s="136" t="str">
        <f t="shared" si="160"/>
        <v>-420.661779421704+6.43117694745275j</v>
      </c>
      <c r="U240" s="136" t="str">
        <f t="shared" si="183"/>
        <v>-0.00237378011472069-0.000224132067507354j</v>
      </c>
      <c r="V240" s="136" t="str">
        <f t="shared" si="184"/>
        <v>-0.0279816909397331-0.00264202830067608j</v>
      </c>
      <c r="W240" s="136"/>
      <c r="X240" s="136" t="str">
        <f t="shared" si="161"/>
        <v>-0.521311072655299-0.0341992420510886j</v>
      </c>
      <c r="Y240" s="136">
        <f t="shared" si="185"/>
        <v>-5.6394105095082097</v>
      </c>
      <c r="Z240" s="136">
        <f t="shared" si="186"/>
        <v>3.7533607022226079</v>
      </c>
      <c r="AA240" s="136"/>
      <c r="AB240" s="136" t="str">
        <f t="shared" si="162"/>
        <v>-0.021997167443952-0.00207697022480894j</v>
      </c>
      <c r="AC240" s="136">
        <f t="shared" si="187"/>
        <v>-33.11411849539175</v>
      </c>
      <c r="AD240" s="136">
        <f t="shared" si="188"/>
        <v>5.3938703807391164</v>
      </c>
      <c r="AE240" s="136"/>
      <c r="AF240" s="136" t="str">
        <f t="shared" si="189"/>
        <v>-0.0454111766779417-0.00758320871965496j</v>
      </c>
      <c r="AG240" s="136">
        <f t="shared" si="190"/>
        <v>-26.737296934447102</v>
      </c>
      <c r="AH240" s="136">
        <f t="shared" si="191"/>
        <v>9.480341695400881</v>
      </c>
      <c r="AI240" s="136"/>
      <c r="AJ240" s="136" t="str">
        <f t="shared" si="163"/>
        <v>692.820786734209-8294.70180482035j</v>
      </c>
      <c r="AK240" s="136" t="str">
        <f t="shared" si="164"/>
        <v>19030.8932434529-564.187019963164j</v>
      </c>
      <c r="AL240" s="136" t="str">
        <f t="shared" si="165"/>
        <v>10000-18561.26699339j</v>
      </c>
      <c r="AM240" s="136" t="str">
        <f t="shared" si="166"/>
        <v>846.303587729865-6074.84245387441j</v>
      </c>
      <c r="AN240" s="136" t="str">
        <f t="shared" si="192"/>
        <v>10846.3035877299-6074.84245387441j</v>
      </c>
      <c r="AO240" s="136" t="str">
        <f t="shared" si="193"/>
        <v>7337.12696838121-2443.92471373607j</v>
      </c>
      <c r="AP240" s="136" t="str">
        <f t="shared" si="194"/>
        <v>0.81359156310091+0.336819433508417j</v>
      </c>
      <c r="AQ240" s="136" t="str">
        <f t="shared" si="167"/>
        <v>1+19.1557804584232j</v>
      </c>
      <c r="AR240" s="136" t="str">
        <f t="shared" si="168"/>
        <v>1+0.0382350907353756j</v>
      </c>
      <c r="AS240" s="136" t="str">
        <f t="shared" si="169"/>
        <v>0.0000599815375604377j</v>
      </c>
      <c r="AT240" s="136" t="str">
        <f t="shared" si="195"/>
        <v>-2.29339953107068E-06+0.0000599815375604377j</v>
      </c>
      <c r="AU240" s="179" t="str">
        <f t="shared" si="196"/>
        <v>318258.560542145-28840.4416402886j</v>
      </c>
      <c r="AV240" s="136" t="str">
        <f t="shared" si="170"/>
        <v>4120.80935291698-3998.17522130381j</v>
      </c>
      <c r="AW240" s="136"/>
      <c r="AX240" s="136" t="str">
        <f t="shared" si="171"/>
        <v>0.257550584557311-0.249885951331488j</v>
      </c>
      <c r="AY240" s="136"/>
      <c r="AZ240" s="136" t="str">
        <f t="shared" si="172"/>
        <v>18.3764429063127+6.11383706413958j</v>
      </c>
      <c r="BA240" s="136" t="str">
        <f t="shared" si="173"/>
        <v>6.26062560366312-3.01739260797542j</v>
      </c>
      <c r="BB240" s="136">
        <f t="shared" si="197"/>
        <v>16.839479498850434</v>
      </c>
      <c r="BC240" s="136">
        <f t="shared" si="198"/>
        <v>154.26763346384212</v>
      </c>
      <c r="BD240" s="136" t="str">
        <f t="shared" si="174"/>
        <v>-0.143983064310994+0.0533709574742936j</v>
      </c>
      <c r="BE240" s="136">
        <f t="shared" si="199"/>
        <v>-16.274638996541331</v>
      </c>
      <c r="BF240" s="136">
        <f t="shared" si="200"/>
        <v>-20.338496155418795</v>
      </c>
      <c r="BG240" s="136"/>
      <c r="BH240" s="136" t="str">
        <f t="shared" si="175"/>
        <v>-0.307183893337812+0.0895477181592939j</v>
      </c>
      <c r="BI240" s="136">
        <f t="shared" si="201"/>
        <v>-9.8978174355966946</v>
      </c>
      <c r="BJ240" s="136">
        <f t="shared" si="202"/>
        <v>-16.252024840757059</v>
      </c>
      <c r="BK240" s="136"/>
      <c r="BL240" s="136">
        <f t="shared" si="203"/>
        <v>10.897817435596695</v>
      </c>
      <c r="BM240" s="136">
        <f t="shared" si="204"/>
        <v>16.252024840757059</v>
      </c>
      <c r="BN240" s="136"/>
      <c r="BO240" s="189"/>
      <c r="BP240" s="189" t="str">
        <f t="shared" si="176"/>
        <v>0.00001+0.000119723627865145j</v>
      </c>
      <c r="BQ240" s="189" t="str">
        <f t="shared" si="177"/>
        <v>3.11650685800766E-06+1.62692763407469E-07j</v>
      </c>
      <c r="BR240" s="189" t="str">
        <f t="shared" si="178"/>
        <v>-0.0848621908913141-0.00478531756937747j</v>
      </c>
      <c r="BS240" s="189" t="str">
        <f t="shared" si="179"/>
        <v>0.0000656165068580077+0.000119886320628552j</v>
      </c>
      <c r="BT240" s="189" t="str">
        <f t="shared" si="205"/>
        <v>-4.99466641417364E-06-0.0000104878116495463j</v>
      </c>
      <c r="BU240" s="189" t="str">
        <f t="shared" si="206"/>
        <v>-3.11650685800766E-06-1.62692763407469E-07j</v>
      </c>
      <c r="BV240" s="189" t="str">
        <f t="shared" si="207"/>
        <v>-0.0000081111732721813-0.0000106505044129538j</v>
      </c>
      <c r="BW240" s="189" t="str">
        <f t="shared" si="180"/>
        <v>0.964964261862302-0.183870158510957j</v>
      </c>
      <c r="BX240" s="189" t="str">
        <f t="shared" si="208"/>
        <v>-0.00001-0.000119723627865145j</v>
      </c>
      <c r="BY240" s="189" t="str">
        <f t="shared" si="209"/>
        <v>8.18909436435949+3.26368751489291j</v>
      </c>
      <c r="BZ240" s="136">
        <f t="shared" si="210"/>
        <v>18.904932426369893</v>
      </c>
      <c r="CA240" s="136">
        <f t="shared" si="211"/>
        <v>-158.27070515136353</v>
      </c>
      <c r="CB240" s="189" t="str">
        <f t="shared" si="181"/>
        <v>-0.173358298155626-0.0888003859127604j</v>
      </c>
      <c r="CC240" s="136" t="str">
        <f t="shared" si="182"/>
        <v>-0.3471271873911-0.210307502150283j</v>
      </c>
      <c r="CD240" s="136">
        <f t="shared" si="212"/>
        <v>-7.832364508077216</v>
      </c>
      <c r="CE240" s="136">
        <f t="shared" si="213"/>
        <v>31.209636544037409</v>
      </c>
      <c r="CF240" s="136"/>
      <c r="CG240" s="136">
        <f t="shared" si="214"/>
        <v>8.832364508077216</v>
      </c>
      <c r="CH240" s="136">
        <f t="shared" si="215"/>
        <v>-31.209636544037409</v>
      </c>
      <c r="CI240" s="77"/>
      <c r="CJ240" s="189"/>
      <c r="CK240" s="189"/>
      <c r="CL240" s="189"/>
      <c r="CM240" s="77"/>
      <c r="CN240" s="189"/>
      <c r="CO240" s="189"/>
      <c r="CP240" s="189"/>
      <c r="CQ240" s="74"/>
      <c r="CR240" s="75"/>
      <c r="CS240" s="75"/>
      <c r="CT240" s="75"/>
      <c r="CU240" s="74"/>
      <c r="CV240" s="75"/>
      <c r="CW240" s="75"/>
      <c r="CX240" s="75"/>
      <c r="CY240" s="74"/>
      <c r="CZ240" s="75"/>
      <c r="DA240" s="75"/>
      <c r="DB240" s="75"/>
      <c r="DC240" s="74"/>
      <c r="DD240" s="75"/>
      <c r="DE240" s="75"/>
      <c r="DF240" s="75"/>
      <c r="DG240" s="74"/>
      <c r="DH240" s="75"/>
      <c r="DI240" s="75"/>
      <c r="DJ240" s="75"/>
      <c r="DK240" s="74"/>
      <c r="DL240" s="75"/>
      <c r="DM240" s="75"/>
      <c r="DN240" s="75"/>
      <c r="DO240" s="76"/>
    </row>
    <row r="241" spans="1:119" x14ac:dyDescent="0.25">
      <c r="A241" s="136">
        <v>192</v>
      </c>
      <c r="B241" s="136">
        <f t="shared" ref="B241:B249" si="216">Fstart*10^(Step*A241)</f>
        <v>575439.93733715697</v>
      </c>
      <c r="C241" s="136" t="str">
        <f t="shared" si="151"/>
        <v>3615595.75944117j</v>
      </c>
      <c r="D241" s="136">
        <f t="shared" ref="D241:D249" si="217">(IMPRODUCT(C241,C241))/Wn^2 + 1</f>
        <v>-7.2782780370648137</v>
      </c>
      <c r="E241" s="136" t="str">
        <f t="shared" ref="E241:E249" si="218">IMDIV(C241,Wn*Qn)</f>
        <v>-4.51949469930146j</v>
      </c>
      <c r="F241" s="136" t="str">
        <f t="shared" si="152"/>
        <v>-7.27827803706481-4.51949469930146j</v>
      </c>
      <c r="G241" s="136">
        <f t="shared" si="153"/>
        <v>18.656911105983355</v>
      </c>
      <c r="H241" s="136">
        <f t="shared" si="154"/>
        <v>-148.16151407619179</v>
      </c>
      <c r="I241" s="136"/>
      <c r="J241" s="136">
        <f t="shared" ref="J241:J249" si="219">Vin/(Rout+DCR/1000)</f>
        <v>7.0726915520628681</v>
      </c>
      <c r="K241" s="136" t="str">
        <f t="shared" ref="K241:K249" si="220">IMSUM(1,IMPRODUCT(C241,ncap*(cap*10^-6)*(Rout+(esr/(ncap*1000)))))</f>
        <v>1+265.382318345809j</v>
      </c>
      <c r="L241" s="136">
        <f t="shared" ref="L241:L249" si="221">(IMPRODUCT(C241,C241))/Gdo^2 + 1</f>
        <v>-3844.6011337469968</v>
      </c>
      <c r="M241" s="136" t="str">
        <f t="shared" ref="M241:M249" si="222">IMDIV(C241,Q*Gdo)</f>
        <v>19.4218438866698j</v>
      </c>
      <c r="N241" s="136" t="str">
        <f t="shared" si="155"/>
        <v>-3844.601133747+19.4218438866698j</v>
      </c>
      <c r="O241" s="136" t="str">
        <f t="shared" si="156"/>
        <v>0.0007099348904144-0.194887132905599j</v>
      </c>
      <c r="P241" s="136" t="str">
        <f t="shared" si="157"/>
        <v>0.00502115050194861-1.37837657850718j</v>
      </c>
      <c r="Q241" s="136"/>
      <c r="R241" s="136">
        <f t="shared" si="158"/>
        <v>11.787819253438114</v>
      </c>
      <c r="S241" s="136" t="str">
        <f t="shared" si="159"/>
        <v>1+0.0846688778433868j</v>
      </c>
      <c r="T241" s="136" t="str">
        <f t="shared" si="160"/>
        <v>-483.13249908985+6.89113025459469j</v>
      </c>
      <c r="U241" s="136" t="str">
        <f t="shared" si="183"/>
        <v>-0.00206690540172673-0.00020473098451656j</v>
      </c>
      <c r="V241" s="136" t="str">
        <f t="shared" si="184"/>
        <v>-0.0243643072895096-0.00241333184105965j</v>
      </c>
      <c r="W241" s="136"/>
      <c r="X241" s="136" t="str">
        <f t="shared" si="161"/>
        <v>-0.521330857500098+0.0118105635032692j</v>
      </c>
      <c r="Y241" s="136">
        <f t="shared" si="185"/>
        <v>-5.6555029998627937</v>
      </c>
      <c r="Z241" s="136">
        <f t="shared" si="186"/>
        <v>-1.2977933319824047</v>
      </c>
      <c r="AA241" s="136"/>
      <c r="AB241" s="136" t="str">
        <f t="shared" si="162"/>
        <v>-0.0191534438807705-0.00189718572476366j</v>
      </c>
      <c r="AC241" s="136">
        <f t="shared" si="187"/>
        <v>-34.312660325563073</v>
      </c>
      <c r="AD241" s="136">
        <f t="shared" si="188"/>
        <v>5.6568059418257519</v>
      </c>
      <c r="AE241" s="136"/>
      <c r="AF241" s="136" t="str">
        <f t="shared" si="189"/>
        <v>-0.0400873400394488-0.00297435435698865j</v>
      </c>
      <c r="AG241" s="136">
        <f t="shared" si="190"/>
        <v>-27.916012110003404</v>
      </c>
      <c r="AH241" s="136">
        <f t="shared" si="191"/>
        <v>4.2433908921275929</v>
      </c>
      <c r="AI241" s="136"/>
      <c r="AJ241" s="136" t="str">
        <f t="shared" si="163"/>
        <v>603.96161590221-7747.99276953314j</v>
      </c>
      <c r="AK241" s="136" t="str">
        <f t="shared" si="164"/>
        <v>19028.4177529741-604.45864697355j</v>
      </c>
      <c r="AL241" s="136" t="str">
        <f t="shared" si="165"/>
        <v>10000-17322.3822498224j</v>
      </c>
      <c r="AM241" s="136" t="str">
        <f t="shared" si="166"/>
        <v>831.362283508129-5706.9015992832j</v>
      </c>
      <c r="AN241" s="136" t="str">
        <f t="shared" si="192"/>
        <v>10831.3622835081-5706.9015992832j</v>
      </c>
      <c r="AO241" s="136" t="str">
        <f t="shared" si="193"/>
        <v>7276.79879419937-2317.96482032897j</v>
      </c>
      <c r="AP241" s="136" t="str">
        <f t="shared" si="194"/>
        <v>0.831781665857874+0.323086528997142j</v>
      </c>
      <c r="AQ241" s="136" t="str">
        <f t="shared" si="167"/>
        <v>1+20.5257885680938j</v>
      </c>
      <c r="AR241" s="136" t="str">
        <f t="shared" si="168"/>
        <v>1+0.0409696378604666j</v>
      </c>
      <c r="AS241" s="136" t="str">
        <f t="shared" si="169"/>
        <v>0.0000642713754538436j</v>
      </c>
      <c r="AT241" s="136" t="str">
        <f t="shared" si="195"/>
        <v>-2.63317497713805E-06+0.0000642713754538436j</v>
      </c>
      <c r="AU241" s="179" t="str">
        <f t="shared" si="196"/>
        <v>318189.744726884-28595.1445852691j</v>
      </c>
      <c r="AV241" s="136" t="str">
        <f t="shared" si="170"/>
        <v>3844.61412764722-3996.98076436117j</v>
      </c>
      <c r="AW241" s="136"/>
      <c r="AX241" s="136" t="str">
        <f t="shared" si="171"/>
        <v>0.240288382977951-0.249811297772573j</v>
      </c>
      <c r="AY241" s="136"/>
      <c r="AZ241" s="136" t="str">
        <f t="shared" si="172"/>
        <v>18.8245522447303+5.729267998896j</v>
      </c>
      <c r="BA241" s="136" t="str">
        <f t="shared" si="173"/>
        <v>5.95455709326128-3.32590928314164j</v>
      </c>
      <c r="BB241" s="136">
        <f t="shared" si="197"/>
        <v>16.676249810261965</v>
      </c>
      <c r="BC241" s="136">
        <f t="shared" si="198"/>
        <v>150.81452088195394</v>
      </c>
      <c r="BD241" s="136" t="str">
        <f t="shared" si="174"/>
        <v>-0.120360142734459+0.0524057160925618j</v>
      </c>
      <c r="BE241" s="136">
        <f t="shared" si="199"/>
        <v>-17.636410515301112</v>
      </c>
      <c r="BF241" s="136">
        <f t="shared" si="200"/>
        <v>-23.528673176220451</v>
      </c>
      <c r="BG241" s="136"/>
      <c r="BH241" s="136" t="str">
        <f t="shared" si="175"/>
        <v>-0.248594787749138+0.115615893539379j</v>
      </c>
      <c r="BI241" s="136">
        <f t="shared" si="201"/>
        <v>-11.239762299741438</v>
      </c>
      <c r="BJ241" s="136">
        <f t="shared" si="202"/>
        <v>-24.942088225918468</v>
      </c>
      <c r="BK241" s="136"/>
      <c r="BL241" s="136">
        <f t="shared" si="203"/>
        <v>12.239762299741438</v>
      </c>
      <c r="BM241" s="136">
        <f t="shared" si="204"/>
        <v>24.942088225918468</v>
      </c>
      <c r="BN241" s="136"/>
      <c r="BO241" s="189"/>
      <c r="BP241" s="189" t="str">
        <f t="shared" si="176"/>
        <v>0.00001+0.000128286178550586j</v>
      </c>
      <c r="BQ241" s="189" t="str">
        <f t="shared" si="177"/>
        <v>3.11760018747675E-06+1.51886987295722E-07j</v>
      </c>
      <c r="BR241" s="189" t="str">
        <f t="shared" si="178"/>
        <v>-0.0848970599236128-0.00446776095903154j</v>
      </c>
      <c r="BS241" s="189" t="str">
        <f t="shared" si="179"/>
        <v>0.0000656176001874767+0.000128438065537882j</v>
      </c>
      <c r="BT241" s="189" t="str">
        <f t="shared" si="205"/>
        <v>-4.99691076029619E-06-0.0000111971778987854j</v>
      </c>
      <c r="BU241" s="189" t="str">
        <f t="shared" si="206"/>
        <v>-3.11760018747675E-06-1.51886987295722E-07j</v>
      </c>
      <c r="BV241" s="189" t="str">
        <f t="shared" si="207"/>
        <v>-8.11451094777294E-06-0.0000113490648860811j</v>
      </c>
      <c r="BW241" s="189" t="str">
        <f t="shared" si="180"/>
        <v>0.959981314226574-0.196003037125433j</v>
      </c>
      <c r="BX241" s="189" t="str">
        <f t="shared" si="208"/>
        <v>-0.00001-0.000128286178550586j</v>
      </c>
      <c r="BY241" s="189" t="str">
        <f t="shared" si="209"/>
        <v>8.51467530842015+3.02651650971146j</v>
      </c>
      <c r="BZ241" s="136">
        <f t="shared" si="210"/>
        <v>19.120067046696999</v>
      </c>
      <c r="CA241" s="136">
        <f t="shared" si="211"/>
        <v>-160.43239180566101</v>
      </c>
      <c r="CB241" s="189" t="str">
        <f t="shared" si="181"/>
        <v>-0.157343491764822-0.0741221345691163j</v>
      </c>
      <c r="CC241" s="136" t="str">
        <f t="shared" si="182"/>
        <v>-0.33232875184698-0.146650658061752j</v>
      </c>
      <c r="CD241" s="136">
        <f t="shared" si="212"/>
        <v>-8.7959450633063749</v>
      </c>
      <c r="CE241" s="136">
        <f t="shared" si="213"/>
        <v>23.810999086466467</v>
      </c>
      <c r="CF241" s="136"/>
      <c r="CG241" s="136">
        <f t="shared" si="214"/>
        <v>9.7959450633063749</v>
      </c>
      <c r="CH241" s="136">
        <f t="shared" si="215"/>
        <v>-23.810999086466467</v>
      </c>
      <c r="CI241" s="77"/>
      <c r="CJ241" s="189"/>
      <c r="CK241" s="189"/>
      <c r="CL241" s="189"/>
      <c r="CM241" s="77"/>
      <c r="CN241" s="189"/>
      <c r="CO241" s="189"/>
      <c r="CP241" s="189"/>
      <c r="CQ241" s="74"/>
      <c r="CR241" s="75"/>
      <c r="CS241" s="75"/>
      <c r="CT241" s="75"/>
      <c r="CU241" s="74"/>
      <c r="CV241" s="75"/>
      <c r="CW241" s="75"/>
      <c r="CX241" s="75"/>
      <c r="CY241" s="74"/>
      <c r="CZ241" s="75"/>
      <c r="DA241" s="75"/>
      <c r="DB241" s="75"/>
      <c r="DC241" s="74"/>
      <c r="DD241" s="75"/>
      <c r="DE241" s="75"/>
      <c r="DF241" s="75"/>
      <c r="DG241" s="74"/>
      <c r="DH241" s="75"/>
      <c r="DI241" s="75"/>
      <c r="DJ241" s="75"/>
      <c r="DK241" s="74"/>
      <c r="DL241" s="75"/>
      <c r="DM241" s="75"/>
      <c r="DN241" s="75"/>
      <c r="DO241" s="76"/>
    </row>
    <row r="242" spans="1:119" x14ac:dyDescent="0.25">
      <c r="A242" s="136">
        <v>193</v>
      </c>
      <c r="B242" s="136">
        <f t="shared" si="216"/>
        <v>616595.00186148309</v>
      </c>
      <c r="C242" s="136" t="str">
        <f t="shared" ref="C242:C249" si="223">COMPLEX(0,2*PI()*B242,"j")</f>
        <v>3874180.65617644j</v>
      </c>
      <c r="D242" s="136">
        <f t="shared" si="217"/>
        <v>-8.5047349080140506</v>
      </c>
      <c r="E242" s="136" t="str">
        <f t="shared" si="218"/>
        <v>-4.84272582022055j</v>
      </c>
      <c r="F242" s="136" t="str">
        <f t="shared" ref="F242:F249" si="224">IMSUM(D242,E242)</f>
        <v>-8.50473490801405-4.84272582022055j</v>
      </c>
      <c r="G242" s="136">
        <f t="shared" ref="G242:G249" si="225">20*LOG(IMABS(F242),10)</f>
        <v>19.812862101181683</v>
      </c>
      <c r="H242" s="136">
        <f t="shared" ref="H242:H249" si="226">(IMARGUMENT(F242)*(180/PI()))</f>
        <v>-150.34215356992414</v>
      </c>
      <c r="I242" s="136"/>
      <c r="J242" s="136">
        <f t="shared" si="219"/>
        <v>7.0726915520628681</v>
      </c>
      <c r="K242" s="136" t="str">
        <f t="shared" si="220"/>
        <v>1+284.362277376247j</v>
      </c>
      <c r="L242" s="136">
        <f t="shared" si="221"/>
        <v>-4414.3408685441227</v>
      </c>
      <c r="M242" s="136" t="str">
        <f t="shared" si="222"/>
        <v>20.8108806678777j</v>
      </c>
      <c r="N242" s="136" t="str">
        <f t="shared" ref="N242:N249" si="227">IMSUM(L242,M242)</f>
        <v>-4414.34086854412+20.8108806678777j</v>
      </c>
      <c r="O242" s="136" t="str">
        <f t="shared" si="156"/>
        <v>0.000617532423547172-0.18183192077208j</v>
      </c>
      <c r="P242" s="136" t="str">
        <f t="shared" si="157"/>
        <v>0.00436761635514699-1.28604108994005j</v>
      </c>
      <c r="Q242" s="136"/>
      <c r="R242" s="136">
        <f t="shared" si="158"/>
        <v>11.787819253438114</v>
      </c>
      <c r="S242" s="136" t="str">
        <f t="shared" si="159"/>
        <v>1+0.0907243371619939j</v>
      </c>
      <c r="T242" s="136" t="str">
        <f t="shared" si="160"/>
        <v>-554.858482114352+7.38397910270518j</v>
      </c>
      <c r="U242" s="136" t="str">
        <f t="shared" si="183"/>
        <v>-0.00179976666374162-0.000187460009983899j</v>
      </c>
      <c r="V242" s="136" t="str">
        <f t="shared" si="184"/>
        <v>-0.0212153241305495-0.00220974471493791j</v>
      </c>
      <c r="W242" s="136"/>
      <c r="X242" s="136" t="str">
        <f t="shared" si="161"/>
        <v>-0.521347735347242+0.0578508874976848j</v>
      </c>
      <c r="Y242" s="136">
        <f t="shared" si="185"/>
        <v>-5.6043018874177566</v>
      </c>
      <c r="Z242" s="136">
        <f t="shared" si="186"/>
        <v>-6.3318717872396633</v>
      </c>
      <c r="AA242" s="136"/>
      <c r="AB242" s="136" t="str">
        <f t="shared" si="162"/>
        <v>-0.0166779426691025-0.00173714035393963j</v>
      </c>
      <c r="AC242" s="136">
        <f t="shared" si="187"/>
        <v>-35.510288129886291</v>
      </c>
      <c r="AD242" s="136">
        <f t="shared" si="188"/>
        <v>5.9463691062883299</v>
      </c>
      <c r="AE242" s="136"/>
      <c r="AF242" s="136" t="str">
        <f t="shared" si="189"/>
        <v>-0.0347742144838453+0.000573649883772851j</v>
      </c>
      <c r="AG242" s="136">
        <f t="shared" si="190"/>
        <v>-29.173671738166274</v>
      </c>
      <c r="AH242" s="136">
        <f t="shared" si="191"/>
        <v>-0.94508925028009116</v>
      </c>
      <c r="AI242" s="136"/>
      <c r="AJ242" s="136" t="str">
        <f t="shared" si="163"/>
        <v>526.43884697231-7236.48718907382j</v>
      </c>
      <c r="AK242" s="136" t="str">
        <f t="shared" si="164"/>
        <v>19025.5763036951-647.592392225389j</v>
      </c>
      <c r="AL242" s="136" t="str">
        <f t="shared" si="165"/>
        <v>10000-16166.1877346962j</v>
      </c>
      <c r="AM242" s="136" t="str">
        <f t="shared" si="166"/>
        <v>814.845048148208-5364.70846727081j</v>
      </c>
      <c r="AN242" s="136" t="str">
        <f t="shared" si="192"/>
        <v>10814.8450481482-5364.70846727081j</v>
      </c>
      <c r="AO242" s="136" t="str">
        <f t="shared" si="193"/>
        <v>7222.1339220285-2199.99037233947j</v>
      </c>
      <c r="AP242" s="136" t="str">
        <f t="shared" si="194"/>
        <v>0.848470029488746+0.309012283186827j</v>
      </c>
      <c r="AQ242" s="136" t="str">
        <f t="shared" si="167"/>
        <v>1+21.9937787059379j</v>
      </c>
      <c r="AR242" s="136" t="str">
        <f t="shared" si="168"/>
        <v>1+0.0438997578960837j</v>
      </c>
      <c r="AS242" s="136" t="str">
        <f t="shared" si="169"/>
        <v>0.0000688680195729681j</v>
      </c>
      <c r="AT242" s="136" t="str">
        <f t="shared" si="195"/>
        <v>-3.02328938603605E-06+0.0000688680195729681j</v>
      </c>
      <c r="AU242" s="179" t="str">
        <f t="shared" si="196"/>
        <v>318110.770289902-28485.5137052791j</v>
      </c>
      <c r="AV242" s="136" t="str">
        <f t="shared" si="170"/>
        <v>3569.89488977379-3976.8089712931j</v>
      </c>
      <c r="AW242" s="136"/>
      <c r="AX242" s="136" t="str">
        <f t="shared" si="171"/>
        <v>0.223118430610862-0.248550560705819j</v>
      </c>
      <c r="AY242" s="136"/>
      <c r="AZ242" s="136" t="str">
        <f t="shared" si="172"/>
        <v>19.237504915377+5.32053596572313j</v>
      </c>
      <c r="BA242" s="136" t="str">
        <f t="shared" si="173"/>
        <v>5.61466410312362-3.59438299861711j</v>
      </c>
      <c r="BB242" s="136">
        <f t="shared" si="197"/>
        <v>16.478135506207717</v>
      </c>
      <c r="BC242" s="136">
        <f t="shared" si="198"/>
        <v>147.37353278241349</v>
      </c>
      <c r="BD242" s="136" t="str">
        <f t="shared" si="174"/>
        <v>-0.0998849937725758+0.0501934539943806j</v>
      </c>
      <c r="BE242" s="136">
        <f t="shared" si="199"/>
        <v>-19.032152623678584</v>
      </c>
      <c r="BF242" s="136">
        <f t="shared" si="200"/>
        <v>-26.680098111298207</v>
      </c>
      <c r="BG242" s="136"/>
      <c r="BH242" s="136" t="str">
        <f t="shared" si="175"/>
        <v>-0.193183616387376+0.128212696741179j</v>
      </c>
      <c r="BI242" s="136">
        <f t="shared" si="201"/>
        <v>-12.695536231958556</v>
      </c>
      <c r="BJ242" s="136">
        <f t="shared" si="202"/>
        <v>-33.571556467866628</v>
      </c>
      <c r="BK242" s="136"/>
      <c r="BL242" s="136">
        <f t="shared" si="203"/>
        <v>13.695536231958556</v>
      </c>
      <c r="BM242" s="136">
        <f t="shared" si="204"/>
        <v>33.571556467866628</v>
      </c>
      <c r="BN242" s="136"/>
      <c r="BO242" s="189"/>
      <c r="BP242" s="189" t="str">
        <f t="shared" si="176"/>
        <v>0.00001+0.000137461116912112j</v>
      </c>
      <c r="BQ242" s="189" t="str">
        <f t="shared" si="177"/>
        <v>3.11855306285503E-06+1.41792508897667E-07j</v>
      </c>
      <c r="BR242" s="189" t="str">
        <f t="shared" si="178"/>
        <v>-0.0849274530352519-0.00417105613562277j</v>
      </c>
      <c r="BS242" s="189" t="str">
        <f t="shared" si="179"/>
        <v>0.000065618553062855+0.00013760290942101j</v>
      </c>
      <c r="BT242" s="189" t="str">
        <f t="shared" si="205"/>
        <v>-4.99886712386675E-06-0.0000119599632957304j</v>
      </c>
      <c r="BU242" s="189" t="str">
        <f t="shared" si="206"/>
        <v>-3.11855306285503E-06-1.41792508897667E-07j</v>
      </c>
      <c r="BV242" s="189" t="str">
        <f t="shared" si="207"/>
        <v>-8.11742018672178E-06-0.0000121017558046281j</v>
      </c>
      <c r="BW242" s="189" t="str">
        <f t="shared" si="180"/>
        <v>0.954323214698141-0.208783180803309j</v>
      </c>
      <c r="BX242" s="189" t="str">
        <f t="shared" si="208"/>
        <v>-0.00001-0.000137461116912112j</v>
      </c>
      <c r="BY242" s="189" t="str">
        <f t="shared" si="209"/>
        <v>8.81915281925648+2.75546526392448j</v>
      </c>
      <c r="BZ242" s="136">
        <f t="shared" si="210"/>
        <v>19.313055117197493</v>
      </c>
      <c r="CA242" s="136">
        <f t="shared" si="211"/>
        <v>-162.64905311444329</v>
      </c>
      <c r="CB242" s="189" t="str">
        <f t="shared" si="181"/>
        <v>-0.142298695205771-0.0612755979483267j</v>
      </c>
      <c r="CC242" s="136" t="str">
        <f t="shared" si="182"/>
        <v>-0.308259784031024-0.0907600341007537j</v>
      </c>
      <c r="CD242" s="136">
        <f t="shared" si="212"/>
        <v>-9.8606166209687913</v>
      </c>
      <c r="CE242" s="136">
        <f t="shared" si="213"/>
        <v>16.405857635276618</v>
      </c>
      <c r="CF242" s="136"/>
      <c r="CG242" s="136">
        <f t="shared" si="214"/>
        <v>10.860616620968791</v>
      </c>
      <c r="CH242" s="136">
        <f t="shared" si="215"/>
        <v>-16.405857635276618</v>
      </c>
      <c r="CI242" s="77"/>
      <c r="CJ242" s="189"/>
      <c r="CK242" s="189"/>
      <c r="CL242" s="189"/>
      <c r="CM242" s="77"/>
      <c r="CN242" s="189"/>
      <c r="CO242" s="189"/>
      <c r="CP242" s="189"/>
      <c r="CQ242" s="74"/>
      <c r="CR242" s="75"/>
      <c r="CS242" s="75"/>
      <c r="CT242" s="75"/>
      <c r="CU242" s="74"/>
      <c r="CV242" s="75"/>
      <c r="CW242" s="75"/>
      <c r="CX242" s="75"/>
      <c r="CY242" s="74"/>
      <c r="CZ242" s="75"/>
      <c r="DA242" s="75"/>
      <c r="DB242" s="75"/>
      <c r="DC242" s="74"/>
      <c r="DD242" s="75"/>
      <c r="DE242" s="75"/>
      <c r="DF242" s="75"/>
      <c r="DG242" s="74"/>
      <c r="DH242" s="75"/>
      <c r="DI242" s="75"/>
      <c r="DJ242" s="75"/>
      <c r="DK242" s="74"/>
      <c r="DL242" s="75"/>
      <c r="DM242" s="75"/>
      <c r="DN242" s="75"/>
      <c r="DO242" s="76"/>
    </row>
    <row r="243" spans="1:119" x14ac:dyDescent="0.25">
      <c r="A243" s="136">
        <v>194</v>
      </c>
      <c r="B243" s="136">
        <f t="shared" si="216"/>
        <v>660693.44800759561</v>
      </c>
      <c r="C243" s="136" t="str">
        <f t="shared" si="223"/>
        <v>4151259.36507114j</v>
      </c>
      <c r="D243" s="136">
        <f t="shared" si="217"/>
        <v>-9.9128958060040855</v>
      </c>
      <c r="E243" s="136" t="str">
        <f t="shared" si="218"/>
        <v>-5.18907420633893j</v>
      </c>
      <c r="F243" s="136" t="str">
        <f t="shared" si="224"/>
        <v>-9.91289580600409-5.18907420633893j</v>
      </c>
      <c r="G243" s="136">
        <f t="shared" si="225"/>
        <v>20.975765580442769</v>
      </c>
      <c r="H243" s="136">
        <f t="shared" si="226"/>
        <v>-152.36942491283858</v>
      </c>
      <c r="I243" s="136"/>
      <c r="J243" s="136">
        <f t="shared" si="219"/>
        <v>7.0726915520628681</v>
      </c>
      <c r="K243" s="136" t="str">
        <f t="shared" si="220"/>
        <v>1+304.699669889978j</v>
      </c>
      <c r="L243" s="136">
        <f t="shared" si="221"/>
        <v>-5068.4896083620852</v>
      </c>
      <c r="M243" s="136" t="str">
        <f t="shared" si="222"/>
        <v>22.299260394627j</v>
      </c>
      <c r="N243" s="136" t="str">
        <f t="shared" si="227"/>
        <v>-5068.48960836209+22.299260394627j</v>
      </c>
      <c r="O243" s="136" t="str">
        <f t="shared" si="156"/>
        <v>0.000537245684418589-0.169656964241819j</v>
      </c>
      <c r="P243" s="136" t="str">
        <f t="shared" si="157"/>
        <v>0.00379977301356959-1.19993137774175j</v>
      </c>
      <c r="Q243" s="136"/>
      <c r="R243" s="136">
        <f t="shared" si="158"/>
        <v>11.787819253438114</v>
      </c>
      <c r="S243" s="136" t="str">
        <f t="shared" si="159"/>
        <v>1+0.0972128787239623j</v>
      </c>
      <c r="T243" s="136" t="str">
        <f t="shared" si="160"/>
        <v>-637.210929279358+7.91207615801968j</v>
      </c>
      <c r="U243" s="136" t="str">
        <f t="shared" si="183"/>
        <v>-0.00156720313899313-0.000172019506066426j</v>
      </c>
      <c r="V243" s="136" t="str">
        <f t="shared" si="184"/>
        <v>-0.0184739073358719-0.00202773484557673j</v>
      </c>
      <c r="W243" s="136"/>
      <c r="X243" s="136" t="str">
        <f t="shared" si="161"/>
        <v>-0.521362167182092+0.104146363827714j</v>
      </c>
      <c r="Y243" s="136">
        <f t="shared" si="185"/>
        <v>-5.4872800239819162</v>
      </c>
      <c r="Z243" s="136">
        <f t="shared" si="186"/>
        <v>-11.296610138326116</v>
      </c>
      <c r="AA243" s="136"/>
      <c r="AB243" s="136" t="str">
        <f t="shared" si="162"/>
        <v>-0.0145228404490091-0.00159405745085801j</v>
      </c>
      <c r="AC243" s="136">
        <f t="shared" si="187"/>
        <v>-36.706958776182475</v>
      </c>
      <c r="AD243" s="136">
        <f t="shared" si="188"/>
        <v>6.2638303772626784</v>
      </c>
      <c r="AE243" s="136"/>
      <c r="AF243" s="136" t="str">
        <f t="shared" si="189"/>
        <v>-0.0296623204933245+0.00312379270650516j</v>
      </c>
      <c r="AG243" s="136">
        <f t="shared" si="190"/>
        <v>-30.507996907288057</v>
      </c>
      <c r="AH243" s="136">
        <f t="shared" si="191"/>
        <v>-6.0117630441534402</v>
      </c>
      <c r="AI243" s="136"/>
      <c r="AJ243" s="136" t="str">
        <f t="shared" si="163"/>
        <v>458.820743968362-6758.07353627796j</v>
      </c>
      <c r="AK243" s="136" t="str">
        <f t="shared" si="164"/>
        <v>19022.3149297434-693.788800175589j</v>
      </c>
      <c r="AL243" s="136" t="str">
        <f t="shared" si="165"/>
        <v>10000-15087.1642308967j</v>
      </c>
      <c r="AM243" s="136" t="str">
        <f t="shared" si="166"/>
        <v>796.672048451079-5046.39320909731j</v>
      </c>
      <c r="AN243" s="136" t="str">
        <f t="shared" si="192"/>
        <v>10796.6720484511-5046.39320909731j</v>
      </c>
      <c r="AO243" s="136" t="str">
        <f t="shared" si="193"/>
        <v>7172.3459127838-2089.74637877123j</v>
      </c>
      <c r="AP243" s="136" t="str">
        <f t="shared" si="194"/>
        <v>0.863695487766148+0.294764698088042j</v>
      </c>
      <c r="AQ243" s="136" t="str">
        <f t="shared" si="167"/>
        <v>1+23.5667584785363j</v>
      </c>
      <c r="AR243" s="136" t="str">
        <f t="shared" si="168"/>
        <v>1+0.0470394380809108j</v>
      </c>
      <c r="AS243" s="136" t="str">
        <f t="shared" si="169"/>
        <v>0.0000737934124859168j</v>
      </c>
      <c r="AT243" s="136" t="str">
        <f t="shared" si="195"/>
        <v>-3.47120065741039E-06+0.0000737934124859168j</v>
      </c>
      <c r="AU243" s="179" t="str">
        <f t="shared" si="196"/>
        <v>318020.143835378-28510.8339819985j</v>
      </c>
      <c r="AV243" s="136" t="str">
        <f t="shared" si="170"/>
        <v>3299.2202170176-3938.13505301217j</v>
      </c>
      <c r="AW243" s="136"/>
      <c r="AX243" s="136" t="str">
        <f t="shared" si="171"/>
        <v>0.2062012635636-0.246133440813261j</v>
      </c>
      <c r="AY243" s="136"/>
      <c r="AZ243" s="136" t="str">
        <f t="shared" si="172"/>
        <v>19.6148307431889+4.89143864112084j</v>
      </c>
      <c r="BA243" s="136" t="str">
        <f t="shared" si="173"/>
        <v>5.24854950709771-3.81924495334788j</v>
      </c>
      <c r="BB243" s="136">
        <f t="shared" si="197"/>
        <v>16.246317008067635</v>
      </c>
      <c r="BC243" s="136">
        <f t="shared" si="198"/>
        <v>143.95750676150413</v>
      </c>
      <c r="BD243" s="136" t="str">
        <f t="shared" si="174"/>
        <v>-0.0823119429548416+0.0470997956451683j</v>
      </c>
      <c r="BE243" s="136">
        <f t="shared" si="199"/>
        <v>-20.460641768114826</v>
      </c>
      <c r="BF243" s="136">
        <f t="shared" si="200"/>
        <v>-29.778662861233187</v>
      </c>
      <c r="BG243" s="136"/>
      <c r="BH243" s="136" t="str">
        <f t="shared" si="175"/>
        <v>-0.143753628074988+0.12968304851872j</v>
      </c>
      <c r="BI243" s="136">
        <f t="shared" si="201"/>
        <v>-14.261679899220416</v>
      </c>
      <c r="BJ243" s="136">
        <f t="shared" si="202"/>
        <v>-42.054256282649249</v>
      </c>
      <c r="BK243" s="136"/>
      <c r="BL243" s="136">
        <f t="shared" si="203"/>
        <v>15.261679899220416</v>
      </c>
      <c r="BM243" s="136">
        <f t="shared" si="204"/>
        <v>42.054256282649249</v>
      </c>
      <c r="BN243" s="136"/>
      <c r="BO243" s="189"/>
      <c r="BP243" s="189" t="str">
        <f t="shared" si="176"/>
        <v>0.00001+0.000147292240490852j</v>
      </c>
      <c r="BQ243" s="189" t="str">
        <f t="shared" si="177"/>
        <v>3.11938345733005E-06+1.32363704587165E-07j</v>
      </c>
      <c r="BR243" s="189" t="str">
        <f t="shared" si="178"/>
        <v>-0.0849539421399385-0.00389387533481007j</v>
      </c>
      <c r="BS243" s="189" t="str">
        <f t="shared" si="179"/>
        <v>0.0000656193834573301+0.000147424604195439j</v>
      </c>
      <c r="BT243" s="189" t="str">
        <f t="shared" si="205"/>
        <v>-0.0000050005722754717-0.0000127798149935526j</v>
      </c>
      <c r="BU243" s="189" t="str">
        <f t="shared" si="206"/>
        <v>-3.11938345733005E-06-1.32363704587165E-07j</v>
      </c>
      <c r="BV243" s="189" t="str">
        <f t="shared" si="207"/>
        <v>-8.11995573280175E-06-0.0000129121786981398j</v>
      </c>
      <c r="BW243" s="189" t="str">
        <f t="shared" si="180"/>
        <v>0.947908545844534-0.222211463609407j</v>
      </c>
      <c r="BX243" s="189" t="str">
        <f t="shared" si="208"/>
        <v>-0.00001-0.000147292240490852j</v>
      </c>
      <c r="BY243" s="189" t="str">
        <f t="shared" si="209"/>
        <v>9.09848912187977+2.45274014937373j</v>
      </c>
      <c r="BZ243" s="136">
        <f t="shared" si="210"/>
        <v>19.484053290798045</v>
      </c>
      <c r="CA243" s="136">
        <f t="shared" si="211"/>
        <v>-164.9130357275186</v>
      </c>
      <c r="CB243" s="189" t="str">
        <f t="shared" si="181"/>
        <v>-0.128226097133977-0.0501242682285165j</v>
      </c>
      <c r="CC243" s="136" t="str">
        <f t="shared" si="182"/>
        <v>-0.27754415212779-0.0443321704384237j</v>
      </c>
      <c r="CD243" s="136">
        <f t="shared" si="212"/>
        <v>-11.023943616490019</v>
      </c>
      <c r="CE243" s="136">
        <f t="shared" si="213"/>
        <v>9.0752012283280123</v>
      </c>
      <c r="CF243" s="136"/>
      <c r="CG243" s="136">
        <f t="shared" si="214"/>
        <v>12.023943616490019</v>
      </c>
      <c r="CH243" s="136">
        <f t="shared" si="215"/>
        <v>-9.0752012283280123</v>
      </c>
      <c r="CI243" s="77"/>
      <c r="CJ243" s="189"/>
      <c r="CK243" s="189"/>
      <c r="CL243" s="189"/>
      <c r="CM243" s="77"/>
      <c r="CN243" s="189"/>
      <c r="CO243" s="189"/>
      <c r="CP243" s="189"/>
      <c r="CQ243" s="74"/>
      <c r="CR243" s="75"/>
      <c r="CS243" s="75"/>
      <c r="CT243" s="75"/>
      <c r="CU243" s="74"/>
      <c r="CV243" s="75"/>
      <c r="CW243" s="75"/>
      <c r="CX243" s="75"/>
      <c r="CY243" s="74"/>
      <c r="CZ243" s="75"/>
      <c r="DA243" s="75"/>
      <c r="DB243" s="75"/>
      <c r="DC243" s="74"/>
      <c r="DD243" s="75"/>
      <c r="DE243" s="75"/>
      <c r="DF243" s="75"/>
      <c r="DG243" s="74"/>
      <c r="DH243" s="75"/>
      <c r="DI243" s="75"/>
      <c r="DJ243" s="75"/>
      <c r="DK243" s="74"/>
      <c r="DL243" s="75"/>
      <c r="DM243" s="75"/>
      <c r="DN243" s="75"/>
      <c r="DO243" s="76"/>
    </row>
    <row r="244" spans="1:119" x14ac:dyDescent="0.25">
      <c r="A244" s="136">
        <v>195</v>
      </c>
      <c r="B244" s="136">
        <f t="shared" si="216"/>
        <v>707945.78438413853</v>
      </c>
      <c r="C244" s="136" t="str">
        <f t="shared" si="223"/>
        <v>4448154.55072215j</v>
      </c>
      <c r="D244" s="136">
        <f t="shared" si="217"/>
        <v>-11.529680840681866</v>
      </c>
      <c r="E244" s="136" t="str">
        <f t="shared" si="218"/>
        <v>-5.56019318840269j</v>
      </c>
      <c r="F244" s="136" t="str">
        <f t="shared" si="224"/>
        <v>-11.5296808406819-5.56019318840269j</v>
      </c>
      <c r="G244" s="136">
        <f t="shared" si="225"/>
        <v>22.144445600528442</v>
      </c>
      <c r="H244" s="136">
        <f t="shared" si="226"/>
        <v>-154.25429234175695</v>
      </c>
      <c r="I244" s="136"/>
      <c r="J244" s="136">
        <f t="shared" si="219"/>
        <v>7.0726915520628681</v>
      </c>
      <c r="K244" s="136" t="str">
        <f t="shared" si="220"/>
        <v>1+326.491578586639j</v>
      </c>
      <c r="L244" s="136">
        <f t="shared" si="221"/>
        <v>-5819.5528529818039</v>
      </c>
      <c r="M244" s="136" t="str">
        <f t="shared" si="222"/>
        <v>23.8940880053632j</v>
      </c>
      <c r="N244" s="136" t="str">
        <f t="shared" si="227"/>
        <v>-5819.5528529818+23.8940880053632j</v>
      </c>
      <c r="O244" s="136" t="str">
        <f t="shared" si="156"/>
        <v>0.000467464669039699-0.158301843738238j</v>
      </c>
      <c r="P244" s="136" t="str">
        <f t="shared" si="157"/>
        <v>0.00330623341560494-1.11962011288341j</v>
      </c>
      <c r="Q244" s="136"/>
      <c r="R244" s="136">
        <f t="shared" si="158"/>
        <v>11.787819253438114</v>
      </c>
      <c r="S244" s="136" t="str">
        <f t="shared" si="159"/>
        <v>1+0.104165476270448j</v>
      </c>
      <c r="T244" s="136" t="str">
        <f t="shared" si="160"/>
        <v>-731.764189730983+8.47794234782826j</v>
      </c>
      <c r="U244" s="136" t="str">
        <f t="shared" si="183"/>
        <v>-0.00136472807181447-0.000158159641873568j</v>
      </c>
      <c r="V244" s="136" t="str">
        <f t="shared" si="184"/>
        <v>-0.0160871678406421-0.00186435727159412j</v>
      </c>
      <c r="W244" s="136"/>
      <c r="X244" s="136" t="str">
        <f t="shared" si="161"/>
        <v>-0.521374533635568+0.150921931124417j</v>
      </c>
      <c r="Y244" s="136">
        <f t="shared" si="185"/>
        <v>-5.307542353139949</v>
      </c>
      <c r="Z244" s="136">
        <f t="shared" si="186"/>
        <v>-16.144108002108453</v>
      </c>
      <c r="AA244" s="136"/>
      <c r="AB244" s="136" t="str">
        <f t="shared" si="162"/>
        <v>-0.0126465596897533-0.00146562190136879j</v>
      </c>
      <c r="AC244" s="136">
        <f t="shared" si="187"/>
        <v>-37.902611414429657</v>
      </c>
      <c r="AD244" s="136">
        <f t="shared" si="188"/>
        <v>6.6105730530510129</v>
      </c>
      <c r="AE244" s="136"/>
      <c r="AF244" s="136" t="str">
        <f t="shared" si="189"/>
        <v>-0.0249113231067841+0.004792981673534j</v>
      </c>
      <c r="AG244" s="136">
        <f t="shared" si="190"/>
        <v>-31.914199375671217</v>
      </c>
      <c r="AH244" s="136">
        <f t="shared" si="191"/>
        <v>-10.890722799017396</v>
      </c>
      <c r="AI244" s="136"/>
      <c r="AJ244" s="136" t="str">
        <f t="shared" si="163"/>
        <v>399.852893545866-6310.7374385336j</v>
      </c>
      <c r="AK244" s="136" t="str">
        <f t="shared" si="164"/>
        <v>19018.5717500456-743.261806529678j</v>
      </c>
      <c r="AL244" s="136" t="str">
        <f t="shared" si="165"/>
        <v>10000-14080.1609053149j</v>
      </c>
      <c r="AM244" s="136" t="str">
        <f t="shared" si="166"/>
        <v>776.781334585283-4750.17751140684j</v>
      </c>
      <c r="AN244" s="136" t="str">
        <f t="shared" si="192"/>
        <v>10776.7813345853-4750.17751140684j</v>
      </c>
      <c r="AO244" s="136" t="str">
        <f t="shared" si="193"/>
        <v>7126.73033421974-1986.93067992763j</v>
      </c>
      <c r="AP244" s="136" t="str">
        <f t="shared" si="194"/>
        <v>0.877515765871732+0.280493080331219j</v>
      </c>
      <c r="AQ244" s="136" t="str">
        <f t="shared" si="167"/>
        <v>1+25.2522366716237j</v>
      </c>
      <c r="AR244" s="136" t="str">
        <f t="shared" si="168"/>
        <v>1+0.0504036660112249j</v>
      </c>
      <c r="AS244" s="136" t="str">
        <f t="shared" si="169"/>
        <v>0.0000790710660780217j</v>
      </c>
      <c r="AT244" s="136" t="str">
        <f t="shared" si="195"/>
        <v>-0.0000039854716057481+0.0000790710660780217j</v>
      </c>
      <c r="AU244" s="179" t="str">
        <f t="shared" si="196"/>
        <v>317916.154401695-28670.9907785943j</v>
      </c>
      <c r="AV244" s="136" t="str">
        <f t="shared" si="170"/>
        <v>3035.00848345212-3881.85411536686j</v>
      </c>
      <c r="AW244" s="136"/>
      <c r="AX244" s="136" t="str">
        <f t="shared" si="171"/>
        <v>0.189688030215758-0.242615882210429j</v>
      </c>
      <c r="AY244" s="136"/>
      <c r="AZ244" s="136" t="str">
        <f t="shared" si="172"/>
        <v>19.9566305502225+4.44544001111939j</v>
      </c>
      <c r="BA244" s="136" t="str">
        <f t="shared" si="173"/>
        <v>4.8640682889266-3.99854876773828j</v>
      </c>
      <c r="BB244" s="136">
        <f t="shared" si="197"/>
        <v>15.982163836003465</v>
      </c>
      <c r="BC244" s="136">
        <f t="shared" si="198"/>
        <v>140.57779449449882</v>
      </c>
      <c r="BD244" s="136" t="str">
        <f t="shared" si="174"/>
        <v>-0.067374090598635+0.0434390006495875j</v>
      </c>
      <c r="BE244" s="136">
        <f t="shared" si="199"/>
        <v>-21.92044757842617</v>
      </c>
      <c r="BF244" s="136">
        <f t="shared" si="200"/>
        <v>-32.811632452450141</v>
      </c>
      <c r="BG244" s="136"/>
      <c r="BH244" s="136" t="str">
        <f t="shared" si="175"/>
        <v>-0.102005405794412+0.122922530479005j</v>
      </c>
      <c r="BI244" s="136">
        <f t="shared" si="201"/>
        <v>-15.932035539667721</v>
      </c>
      <c r="BJ244" s="136">
        <f t="shared" si="202"/>
        <v>-50.312928304518465</v>
      </c>
      <c r="BK244" s="136"/>
      <c r="BL244" s="136">
        <f t="shared" si="203"/>
        <v>16.932035539667723</v>
      </c>
      <c r="BM244" s="136">
        <f t="shared" si="204"/>
        <v>50.312928304518465</v>
      </c>
      <c r="BN244" s="136"/>
      <c r="BO244" s="189"/>
      <c r="BP244" s="189" t="str">
        <f t="shared" si="176"/>
        <v>0.00001+0.000157826479197648j</v>
      </c>
      <c r="BQ244" s="189" t="str">
        <f t="shared" si="177"/>
        <v>3.12010706108064E-06+1.23557651611382E-07j</v>
      </c>
      <c r="BR244" s="189" t="str">
        <f t="shared" si="178"/>
        <v>-0.0849770267095046-0.00363496753351622j</v>
      </c>
      <c r="BS244" s="189" t="str">
        <f t="shared" si="179"/>
        <v>0.0000656201070610806+0.000157950036849259j</v>
      </c>
      <c r="BT244" s="189" t="str">
        <f t="shared" si="205"/>
        <v>-5.00205833454525E-06-0.0000136606514588196j</v>
      </c>
      <c r="BU244" s="189" t="str">
        <f t="shared" si="206"/>
        <v>-3.12010706108064E-06-1.23557651611382E-07j</v>
      </c>
      <c r="BV244" s="189" t="str">
        <f t="shared" si="207"/>
        <v>-8.12216539562589E-06-0.000013784209110431j</v>
      </c>
      <c r="BW244" s="189" t="str">
        <f t="shared" si="180"/>
        <v>0.940649051438425-0.2362803704636j</v>
      </c>
      <c r="BX244" s="189" t="str">
        <f t="shared" si="208"/>
        <v>-0.00001-0.000157826479197648j</v>
      </c>
      <c r="BY244" s="189" t="str">
        <f t="shared" si="209"/>
        <v>9.34904439381507+2.12102813699484j</v>
      </c>
      <c r="BZ244" s="136">
        <f t="shared" si="210"/>
        <v>19.633315380947565</v>
      </c>
      <c r="CA244" s="136">
        <f t="shared" si="211"/>
        <v>-167.21761626493486</v>
      </c>
      <c r="CB244" s="189" t="str">
        <f t="shared" si="181"/>
        <v>-0.115124622677537-0.040525873158596j</v>
      </c>
      <c r="CC244" s="136" t="str">
        <f t="shared" si="182"/>
        <v>-0.243063114623663-0.0080278187946474j</v>
      </c>
      <c r="CD244" s="136">
        <f t="shared" si="212"/>
        <v>-12.280883994723613</v>
      </c>
      <c r="CE244" s="136">
        <f t="shared" si="213"/>
        <v>1.8916609360477707</v>
      </c>
      <c r="CF244" s="136"/>
      <c r="CG244" s="136">
        <f t="shared" si="214"/>
        <v>13.280883994723613</v>
      </c>
      <c r="CH244" s="136">
        <f t="shared" si="215"/>
        <v>-1.8916609360477707</v>
      </c>
      <c r="CI244" s="77"/>
      <c r="CJ244" s="189"/>
      <c r="CK244" s="189"/>
      <c r="CL244" s="189"/>
      <c r="CM244" s="77"/>
      <c r="CN244" s="189"/>
      <c r="CO244" s="189"/>
      <c r="CP244" s="189"/>
      <c r="CQ244" s="74"/>
      <c r="CR244" s="75"/>
      <c r="CS244" s="75"/>
      <c r="CT244" s="75"/>
      <c r="CU244" s="74"/>
      <c r="CV244" s="75"/>
      <c r="CW244" s="75"/>
      <c r="CX244" s="75"/>
      <c r="CY244" s="74"/>
      <c r="CZ244" s="75"/>
      <c r="DA244" s="75"/>
      <c r="DB244" s="75"/>
      <c r="DC244" s="74"/>
      <c r="DD244" s="75"/>
      <c r="DE244" s="75"/>
      <c r="DF244" s="75"/>
      <c r="DG244" s="74"/>
      <c r="DH244" s="75"/>
      <c r="DI244" s="75"/>
      <c r="DJ244" s="75"/>
      <c r="DK244" s="74"/>
      <c r="DL244" s="75"/>
      <c r="DM244" s="75"/>
      <c r="DN244" s="75"/>
      <c r="DO244" s="76"/>
    </row>
    <row r="245" spans="1:119" x14ac:dyDescent="0.25">
      <c r="A245" s="136">
        <v>196</v>
      </c>
      <c r="B245" s="136">
        <f t="shared" si="216"/>
        <v>758577.57502918423</v>
      </c>
      <c r="C245" s="136" t="str">
        <f t="shared" si="223"/>
        <v>4766283.47377929j</v>
      </c>
      <c r="D245" s="136">
        <f t="shared" si="217"/>
        <v>-13.385998433428956</v>
      </c>
      <c r="E245" s="136" t="str">
        <f t="shared" si="218"/>
        <v>-5.95785434222411j</v>
      </c>
      <c r="F245" s="136" t="str">
        <f t="shared" si="224"/>
        <v>-13.385998433429-5.95785434222411j</v>
      </c>
      <c r="G245" s="136">
        <f t="shared" si="225"/>
        <v>23.317935740375702</v>
      </c>
      <c r="H245" s="136">
        <f t="shared" si="226"/>
        <v>-156.00705950290072</v>
      </c>
      <c r="I245" s="136"/>
      <c r="J245" s="136">
        <f t="shared" si="219"/>
        <v>7.0726915520628681</v>
      </c>
      <c r="K245" s="136" t="str">
        <f t="shared" si="220"/>
        <v>1+349.842029453084j</v>
      </c>
      <c r="L245" s="136">
        <f t="shared" si="221"/>
        <v>-6681.8888372650545</v>
      </c>
      <c r="M245" s="136" t="str">
        <f t="shared" si="222"/>
        <v>25.602976578793j</v>
      </c>
      <c r="N245" s="136" t="str">
        <f t="shared" si="227"/>
        <v>-6681.88883726505+25.602976578793j</v>
      </c>
      <c r="O245" s="136" t="str">
        <f t="shared" si="156"/>
        <v>0.000406798440013484-0.147710485751846j</v>
      </c>
      <c r="P245" s="136" t="str">
        <f t="shared" si="157"/>
        <v>0.00287715989007572-1.04471070472818j</v>
      </c>
      <c r="Q245" s="136"/>
      <c r="R245" s="136">
        <f t="shared" si="158"/>
        <v>11.787819253438114</v>
      </c>
      <c r="S245" s="136" t="str">
        <f t="shared" si="159"/>
        <v>1+0.111615318763054j</v>
      </c>
      <c r="T245" s="136" t="str">
        <f t="shared" si="160"/>
        <v>-840.325858142854+9.08427889438941j</v>
      </c>
      <c r="U245" s="136" t="str">
        <f t="shared" si="183"/>
        <v>-0.00118843978294131-0.000145671391656343j</v>
      </c>
      <c r="V245" s="136" t="str">
        <f t="shared" si="184"/>
        <v>-0.0140091133549074-0.00171714803524176j</v>
      </c>
      <c r="W245" s="136"/>
      <c r="X245" s="136" t="str">
        <f t="shared" si="161"/>
        <v>-0.521385150438375+0.198404078761715j</v>
      </c>
      <c r="Y245" s="136">
        <f t="shared" si="185"/>
        <v>-5.0695112641077582</v>
      </c>
      <c r="Z245" s="136">
        <f t="shared" si="186"/>
        <v>-20.833454622056252</v>
      </c>
      <c r="AA245" s="136"/>
      <c r="AB245" s="136" t="str">
        <f t="shared" si="162"/>
        <v>-0.0110129446027018-0.00134989672134612j</v>
      </c>
      <c r="AC245" s="136">
        <f t="shared" si="187"/>
        <v>-39.097166522492124</v>
      </c>
      <c r="AD245" s="136">
        <f t="shared" si="188"/>
        <v>6.9880943782924589</v>
      </c>
      <c r="AE245" s="136"/>
      <c r="AF245" s="136" t="str">
        <f t="shared" si="189"/>
        <v>-0.0206335087784008+0.00573295120694112j</v>
      </c>
      <c r="AG245" s="136">
        <f t="shared" si="190"/>
        <v>-33.385579815691166</v>
      </c>
      <c r="AH245" s="136">
        <f t="shared" si="191"/>
        <v>-15.527774129494674</v>
      </c>
      <c r="AI245" s="136"/>
      <c r="AJ245" s="136" t="str">
        <f t="shared" si="163"/>
        <v>348.437089761154-5892.56315796395j</v>
      </c>
      <c r="AK245" s="136" t="str">
        <f t="shared" si="164"/>
        <v>19014.2758210097-796.239478745691j</v>
      </c>
      <c r="AL245" s="136" t="str">
        <f t="shared" si="165"/>
        <v>10000-13140.3707207988j</v>
      </c>
      <c r="AM245" s="136" t="str">
        <f t="shared" si="166"/>
        <v>755.134465894018-4474.368534604j</v>
      </c>
      <c r="AN245" s="136" t="str">
        <f t="shared" si="192"/>
        <v>10755.134465894-4474.368534604j</v>
      </c>
      <c r="AO245" s="136" t="str">
        <f t="shared" si="193"/>
        <v>7084.66251665166-1891.20511720033j</v>
      </c>
      <c r="AP245" s="136" t="str">
        <f t="shared" si="194"/>
        <v>0.890002719361875+0.266326990487587j</v>
      </c>
      <c r="AQ245" s="136" t="str">
        <f t="shared" si="167"/>
        <v>1+27.0582590940738j</v>
      </c>
      <c r="AR245" s="136" t="str">
        <f t="shared" si="168"/>
        <v>1+0.054008501185776j</v>
      </c>
      <c r="AS245" s="136" t="str">
        <f t="shared" si="169"/>
        <v>0.0000847261737883185j</v>
      </c>
      <c r="AT245" s="136" t="str">
        <f t="shared" si="195"/>
        <v>-4.57593365751266E-06+0.0000847261737883185j</v>
      </c>
      <c r="AU245" s="179" t="str">
        <f t="shared" si="196"/>
        <v>317796.842391957-28966.4593314962j</v>
      </c>
      <c r="AV245" s="136" t="str">
        <f t="shared" si="170"/>
        <v>2779.44495626558-3809.23160036437j</v>
      </c>
      <c r="AW245" s="136"/>
      <c r="AX245" s="136" t="str">
        <f t="shared" si="171"/>
        <v>0.173715309766599-0.238076975022773j</v>
      </c>
      <c r="AY245" s="136"/>
      <c r="AZ245" s="136" t="str">
        <f t="shared" si="172"/>
        <v>20.2634638382504+3.98559632049689j</v>
      </c>
      <c r="BA245" s="136" t="str">
        <f t="shared" si="173"/>
        <v>4.46895261325174-4.13190507467427j</v>
      </c>
      <c r="BB245" s="136">
        <f t="shared" si="197"/>
        <v>15.687199506937251</v>
      </c>
      <c r="BC245" s="136">
        <f t="shared" si="198"/>
        <v>137.24413958709928</v>
      </c>
      <c r="BD245" s="136" t="str">
        <f t="shared" si="174"/>
        <v>-0.0547939726750569+0.0394718172105303j</v>
      </c>
      <c r="BE245" s="136">
        <f t="shared" si="199"/>
        <v>-23.409967015554901</v>
      </c>
      <c r="BF245" s="136">
        <f t="shared" si="200"/>
        <v>-35.767766034608229</v>
      </c>
      <c r="BG245" s="136"/>
      <c r="BH245" s="136" t="str">
        <f t="shared" si="175"/>
        <v>-0.0685221627909671+0.110875986907714j</v>
      </c>
      <c r="BI245" s="136">
        <f t="shared" si="201"/>
        <v>-17.698380308753947</v>
      </c>
      <c r="BJ245" s="136">
        <f t="shared" si="202"/>
        <v>-58.28363454239522</v>
      </c>
      <c r="BK245" s="136"/>
      <c r="BL245" s="136">
        <f t="shared" si="203"/>
        <v>18.698380308753947</v>
      </c>
      <c r="BM245" s="136">
        <f t="shared" si="204"/>
        <v>58.28363454239522</v>
      </c>
      <c r="BN245" s="136"/>
      <c r="BO245" s="189"/>
      <c r="BP245" s="189" t="str">
        <f t="shared" si="176"/>
        <v>0.00001+0.000169114119337961j</v>
      </c>
      <c r="BQ245" s="189" t="str">
        <f t="shared" si="177"/>
        <v>3.12073756718197E-06+1.15334011561204E-07j</v>
      </c>
      <c r="BR245" s="189" t="str">
        <f t="shared" si="178"/>
        <v>-0.0849971427964328-0.00339315552308336j</v>
      </c>
      <c r="BS245" s="189" t="str">
        <f t="shared" si="179"/>
        <v>0.000065620737567182+0.000169229453349522j</v>
      </c>
      <c r="BT245" s="189" t="str">
        <f t="shared" si="205"/>
        <v>-0.0000050033533471037-0.0000146066813798165j</v>
      </c>
      <c r="BU245" s="189" t="str">
        <f t="shared" si="206"/>
        <v>-3.12073756718197E-06-1.15334011561204E-07j</v>
      </c>
      <c r="BV245" s="189" t="str">
        <f t="shared" si="207"/>
        <v>-8.12409091428567E-06-0.0000147220153913777j</v>
      </c>
      <c r="BW245" s="189" t="str">
        <f t="shared" si="180"/>
        <v>0.932449964844659-0.250972165599799j</v>
      </c>
      <c r="BX245" s="189" t="str">
        <f t="shared" si="208"/>
        <v>-0.00001-0.000169114119337961j</v>
      </c>
      <c r="BY245" s="189" t="str">
        <f t="shared" si="209"/>
        <v>9.5676239158054+1.76340055511041j</v>
      </c>
      <c r="BZ245" s="136">
        <f t="shared" si="210"/>
        <v>19.761160707427202</v>
      </c>
      <c r="CA245" s="136">
        <f t="shared" si="211"/>
        <v>-169.55705992183078</v>
      </c>
      <c r="CB245" s="189" t="str">
        <f t="shared" si="181"/>
        <v>-0.102987303536486-0.032335536780823j</v>
      </c>
      <c r="CC245" s="136" t="str">
        <f t="shared" si="182"/>
        <v>-0.207523141395949+0.0184655802419674j</v>
      </c>
      <c r="CD245" s="136">
        <f t="shared" si="212"/>
        <v>-13.624419108263965</v>
      </c>
      <c r="CE245" s="136">
        <f t="shared" si="213"/>
        <v>-5.0848340513253447</v>
      </c>
      <c r="CF245" s="136"/>
      <c r="CG245" s="136">
        <f t="shared" si="214"/>
        <v>14.624419108263965</v>
      </c>
      <c r="CH245" s="136">
        <f t="shared" si="215"/>
        <v>5.0848340513253447</v>
      </c>
      <c r="CI245" s="77"/>
      <c r="CJ245" s="189"/>
      <c r="CK245" s="189"/>
      <c r="CL245" s="189"/>
      <c r="CM245" s="77"/>
      <c r="CN245" s="189"/>
      <c r="CO245" s="189"/>
      <c r="CP245" s="189"/>
      <c r="CQ245" s="74"/>
      <c r="CR245" s="75"/>
      <c r="CS245" s="75"/>
      <c r="CT245" s="75"/>
      <c r="CU245" s="74"/>
      <c r="CV245" s="75"/>
      <c r="CW245" s="75"/>
      <c r="CX245" s="75"/>
      <c r="CY245" s="74"/>
      <c r="CZ245" s="75"/>
      <c r="DA245" s="75"/>
      <c r="DB245" s="75"/>
      <c r="DC245" s="74"/>
      <c r="DD245" s="75"/>
      <c r="DE245" s="75"/>
      <c r="DF245" s="75"/>
      <c r="DG245" s="74"/>
      <c r="DH245" s="75"/>
      <c r="DI245" s="75"/>
      <c r="DJ245" s="75"/>
      <c r="DK245" s="74"/>
      <c r="DL245" s="75"/>
      <c r="DM245" s="75"/>
      <c r="DN245" s="75"/>
      <c r="DO245" s="76"/>
    </row>
    <row r="246" spans="1:119" x14ac:dyDescent="0.25">
      <c r="A246" s="136">
        <v>197</v>
      </c>
      <c r="B246" s="136">
        <f t="shared" si="216"/>
        <v>812830.51616410096</v>
      </c>
      <c r="C246" s="136" t="str">
        <f t="shared" si="223"/>
        <v>5107164.75638948j</v>
      </c>
      <c r="D246" s="136">
        <f t="shared" si="217"/>
        <v>-15.517336200189973</v>
      </c>
      <c r="E246" s="136" t="str">
        <f t="shared" si="218"/>
        <v>-6.38395594548685j</v>
      </c>
      <c r="F246" s="136" t="str">
        <f t="shared" si="224"/>
        <v>-15.51733620019-6.38395594548685j</v>
      </c>
      <c r="G246" s="136">
        <f t="shared" si="225"/>
        <v>24.495441420197565</v>
      </c>
      <c r="H246" s="136">
        <f t="shared" si="226"/>
        <v>-157.63734298228115</v>
      </c>
      <c r="I246" s="136"/>
      <c r="J246" s="136">
        <f t="shared" si="219"/>
        <v>7.0726915520628681</v>
      </c>
      <c r="K246" s="136" t="str">
        <f t="shared" si="220"/>
        <v>1+374.862488342484j</v>
      </c>
      <c r="L246" s="136">
        <f t="shared" si="221"/>
        <v>-7671.9830205669805</v>
      </c>
      <c r="M246" s="136" t="str">
        <f t="shared" si="222"/>
        <v>27.4340836757231j</v>
      </c>
      <c r="N246" s="136" t="str">
        <f t="shared" si="227"/>
        <v>-7671.98302056698+27.4340836757231j</v>
      </c>
      <c r="O246" s="136" t="str">
        <f t="shared" si="156"/>
        <v>0.000354044106615704-0.137830813693631j</v>
      </c>
      <c r="P246" s="136" t="str">
        <f t="shared" si="157"/>
        <v>0.00250404476191853-0.974834831624895j</v>
      </c>
      <c r="Q246" s="136"/>
      <c r="R246" s="136">
        <f t="shared" si="158"/>
        <v>11.787819253438114</v>
      </c>
      <c r="S246" s="136" t="str">
        <f t="shared" si="159"/>
        <v>1+0.119597968814862j</v>
      </c>
      <c r="T246" s="136" t="str">
        <f t="shared" si="160"/>
        <v>-964.971330885695+9.73398020950081j</v>
      </c>
      <c r="U246" s="136" t="str">
        <f t="shared" si="183"/>
        <v>-0.00103494469039099-0.000134379225370392j</v>
      </c>
      <c r="V246" s="136" t="str">
        <f t="shared" si="184"/>
        <v>-0.0121997409476345-0.00158403802008321j</v>
      </c>
      <c r="W246" s="136"/>
      <c r="X246" s="136" t="str">
        <f t="shared" si="161"/>
        <v>-0.521394280637335+0.246822067646306j</v>
      </c>
      <c r="Y246" s="136">
        <f t="shared" si="185"/>
        <v>-4.7785174973765834</v>
      </c>
      <c r="Z246" s="136">
        <f t="shared" si="186"/>
        <v>-25.332337334169637</v>
      </c>
      <c r="AA246" s="136"/>
      <c r="AB246" s="136" t="str">
        <f t="shared" si="162"/>
        <v>-0.00959054779698435-0.00124525532214634j</v>
      </c>
      <c r="AC246" s="136">
        <f t="shared" si="187"/>
        <v>-40.290524652488642</v>
      </c>
      <c r="AD246" s="136">
        <f t="shared" si="188"/>
        <v>7.3980062277663876</v>
      </c>
      <c r="AE246" s="136"/>
      <c r="AF246" s="136" t="str">
        <f t="shared" si="189"/>
        <v>-0.0168886487992587+0.00610781646765887j</v>
      </c>
      <c r="AG246" s="136">
        <f t="shared" si="190"/>
        <v>-34.914273516027173</v>
      </c>
      <c r="AH246" s="136">
        <f t="shared" si="191"/>
        <v>-19.882633807567373</v>
      </c>
      <c r="AI246" s="136"/>
      <c r="AJ246" s="136" t="str">
        <f t="shared" si="163"/>
        <v>303.612526016183-5501.73354822499j</v>
      </c>
      <c r="AK246" s="136" t="str">
        <f t="shared" si="164"/>
        <v>19009.3458272336-852.964760250314j</v>
      </c>
      <c r="AL246" s="136" t="str">
        <f t="shared" si="165"/>
        <v>10000-12263.3074892523j</v>
      </c>
      <c r="AM246" s="136" t="str">
        <f t="shared" si="166"/>
        <v>731.722247789286-4217.35480656536j</v>
      </c>
      <c r="AN246" s="136" t="str">
        <f t="shared" si="192"/>
        <v>10731.7222477893-4217.35480656536j</v>
      </c>
      <c r="AO246" s="136" t="str">
        <f t="shared" si="193"/>
        <v>7045.59507078335-1802.20556322476j</v>
      </c>
      <c r="AP246" s="136" t="str">
        <f t="shared" si="194"/>
        <v>0.90123796839044+0.252376178929313j</v>
      </c>
      <c r="AQ246" s="136" t="str">
        <f t="shared" si="167"/>
        <v>1+28.9934469854211j</v>
      </c>
      <c r="AR246" s="136" t="str">
        <f t="shared" si="168"/>
        <v>1+0.0578711516675072j</v>
      </c>
      <c r="AS246" s="136" t="str">
        <f t="shared" si="169"/>
        <v>0.0000907857308730999j</v>
      </c>
      <c r="AT246" s="136" t="str">
        <f t="shared" si="195"/>
        <v>-5.25387480060265E-06+0.0000907857308730999j</v>
      </c>
      <c r="AU246" s="179" t="str">
        <f t="shared" si="196"/>
        <v>317659.964266964-29398.2948174222j</v>
      </c>
      <c r="AV246" s="136" t="str">
        <f t="shared" si="170"/>
        <v>2534.41628003359-3721.83615434229j</v>
      </c>
      <c r="AW246" s="136"/>
      <c r="AX246" s="136" t="str">
        <f t="shared" si="171"/>
        <v>0.158401017502099-0.232614759646393j</v>
      </c>
      <c r="AY246" s="136"/>
      <c r="AZ246" s="136" t="str">
        <f t="shared" si="172"/>
        <v>20.536233864219+3.51451167045099j</v>
      </c>
      <c r="BA246" s="136" t="str">
        <f t="shared" si="173"/>
        <v>4.07048762724975-4.22032887974498j</v>
      </c>
      <c r="BB246" s="136">
        <f t="shared" si="197"/>
        <v>15.363064455587725</v>
      </c>
      <c r="BC246" s="136">
        <f t="shared" si="198"/>
        <v>133.96459693939107</v>
      </c>
      <c r="BD246" s="136" t="str">
        <f t="shared" si="174"/>
        <v>-0.0442935931448825+0.0354064694586241j</v>
      </c>
      <c r="BE246" s="136">
        <f t="shared" si="199"/>
        <v>-24.92746019690091</v>
      </c>
      <c r="BF246" s="136">
        <f t="shared" si="200"/>
        <v>-38.637396832842541</v>
      </c>
      <c r="BG246" s="136"/>
      <c r="BH246" s="136" t="str">
        <f t="shared" si="175"/>
        <v>-0.0429680417477063+0.0961374436284997j</v>
      </c>
      <c r="BI246" s="136">
        <f t="shared" si="201"/>
        <v>-19.551209060439437</v>
      </c>
      <c r="BJ246" s="136">
        <f t="shared" si="202"/>
        <v>-65.918036868176287</v>
      </c>
      <c r="BK246" s="136"/>
      <c r="BL246" s="136">
        <f t="shared" si="203"/>
        <v>20.551209060439437</v>
      </c>
      <c r="BM246" s="136">
        <f t="shared" si="204"/>
        <v>65.918036868176287</v>
      </c>
      <c r="BN246" s="136"/>
      <c r="BO246" s="189"/>
      <c r="BP246" s="189" t="str">
        <f t="shared" si="176"/>
        <v>0.00001+0.000181209043658882j</v>
      </c>
      <c r="BQ246" s="189" t="str">
        <f t="shared" si="177"/>
        <v>3.12128692269854E-06+1.07654909892847E-07j</v>
      </c>
      <c r="BR246" s="189" t="str">
        <f t="shared" si="178"/>
        <v>-0.0850146709698893-0.00316733277516601j</v>
      </c>
      <c r="BS246" s="189" t="str">
        <f t="shared" si="179"/>
        <v>0.0000656212869226985+0.000181316698568775j</v>
      </c>
      <c r="BT246" s="189" t="str">
        <f t="shared" si="205"/>
        <v>-5.00448179429213E-06-0.0000156224239229898j</v>
      </c>
      <c r="BU246" s="189" t="str">
        <f t="shared" si="206"/>
        <v>-3.12128692269854E-06-1.07654909892847E-07j</v>
      </c>
      <c r="BV246" s="189" t="str">
        <f t="shared" si="207"/>
        <v>-8.12576871699067E-06-0.0000157300788328826j</v>
      </c>
      <c r="BW246" s="189" t="str">
        <f t="shared" si="180"/>
        <v>0.923210673371129-0.26625687961958j</v>
      </c>
      <c r="BX246" s="189" t="str">
        <f t="shared" si="208"/>
        <v>-0.00001-0.000181209043658882j</v>
      </c>
      <c r="BY246" s="189" t="str">
        <f t="shared" si="209"/>
        <v>9.75149790715881+1.38321972901583j</v>
      </c>
      <c r="BZ246" s="136">
        <f t="shared" si="210"/>
        <v>19.867941569475381</v>
      </c>
      <c r="CA246" s="136">
        <f t="shared" si="211"/>
        <v>-171.92663076238651</v>
      </c>
      <c r="CB246" s="189" t="str">
        <f t="shared" si="181"/>
        <v>-0.0917997450415446-0.0254089395926464j</v>
      </c>
      <c r="CC246" s="136" t="str">
        <f t="shared" si="182"/>
        <v>-0.173138075659985+0.0361996472861314j</v>
      </c>
      <c r="CD246" s="136">
        <f t="shared" si="212"/>
        <v>-15.046331946551788</v>
      </c>
      <c r="CE246" s="136">
        <f t="shared" si="213"/>
        <v>-11.809264569953854</v>
      </c>
      <c r="CF246" s="136"/>
      <c r="CG246" s="136">
        <f t="shared" si="214"/>
        <v>16.046331946551788</v>
      </c>
      <c r="CH246" s="136">
        <f t="shared" si="215"/>
        <v>11.809264569953854</v>
      </c>
      <c r="CI246" s="77"/>
      <c r="CJ246" s="189"/>
      <c r="CK246" s="189"/>
      <c r="CL246" s="189"/>
      <c r="CM246" s="77"/>
      <c r="CN246" s="189"/>
      <c r="CO246" s="189"/>
      <c r="CP246" s="189"/>
      <c r="CQ246" s="74"/>
      <c r="CR246" s="75"/>
      <c r="CS246" s="75"/>
      <c r="CT246" s="75"/>
      <c r="CU246" s="74"/>
      <c r="CV246" s="75"/>
      <c r="CW246" s="75"/>
      <c r="CX246" s="75"/>
      <c r="CY246" s="74"/>
      <c r="CZ246" s="75"/>
      <c r="DA246" s="75"/>
      <c r="DB246" s="75"/>
      <c r="DC246" s="74"/>
      <c r="DD246" s="75"/>
      <c r="DE246" s="75"/>
      <c r="DF246" s="75"/>
      <c r="DG246" s="74"/>
      <c r="DH246" s="75"/>
      <c r="DI246" s="75"/>
      <c r="DJ246" s="75"/>
      <c r="DK246" s="74"/>
      <c r="DL246" s="75"/>
      <c r="DM246" s="75"/>
      <c r="DN246" s="75"/>
      <c r="DO246" s="76"/>
    </row>
    <row r="247" spans="1:119" x14ac:dyDescent="0.25">
      <c r="A247" s="136">
        <v>198</v>
      </c>
      <c r="B247" s="136">
        <f t="shared" si="216"/>
        <v>870963.58995608077</v>
      </c>
      <c r="C247" s="136" t="str">
        <f t="shared" si="223"/>
        <v>5472425.63150043j</v>
      </c>
      <c r="D247" s="136">
        <f t="shared" si="217"/>
        <v>-17.964439375729597</v>
      </c>
      <c r="E247" s="136" t="str">
        <f t="shared" si="218"/>
        <v>-6.84053203937554j</v>
      </c>
      <c r="F247" s="136" t="str">
        <f t="shared" si="224"/>
        <v>-17.9644393757296-6.84053203937554j</v>
      </c>
      <c r="G247" s="136">
        <f t="shared" si="225"/>
        <v>25.676308511900224</v>
      </c>
      <c r="H247" s="136">
        <f t="shared" si="226"/>
        <v>-159.15407605169864</v>
      </c>
      <c r="I247" s="136"/>
      <c r="J247" s="136">
        <f t="shared" si="219"/>
        <v>7.0726915520628681</v>
      </c>
      <c r="K247" s="136" t="str">
        <f t="shared" si="220"/>
        <v>1+401.672393068377j</v>
      </c>
      <c r="L247" s="136">
        <f t="shared" si="221"/>
        <v>-8808.7632427480312</v>
      </c>
      <c r="M247" s="136" t="str">
        <f t="shared" si="222"/>
        <v>29.396150280041j</v>
      </c>
      <c r="N247" s="136" t="str">
        <f t="shared" si="227"/>
        <v>-8808.76324274803+29.396150280041j</v>
      </c>
      <c r="O247" s="136" t="str">
        <f t="shared" si="156"/>
        <v>0.000308160478886147-0.128614433231099j</v>
      </c>
      <c r="P247" s="136" t="str">
        <f t="shared" si="157"/>
        <v>0.0021795240156977-0.909650215386948j</v>
      </c>
      <c r="Q247" s="136"/>
      <c r="R247" s="136">
        <f t="shared" si="158"/>
        <v>11.787819253438114</v>
      </c>
      <c r="S247" s="136" t="str">
        <f t="shared" si="159"/>
        <v>1+0.12815153245233j</v>
      </c>
      <c r="T247" s="136" t="str">
        <f t="shared" si="160"/>
        <v>-1108.08348181857+10.4301477112809j</v>
      </c>
      <c r="U247" s="136" t="str">
        <f t="shared" si="183"/>
        <v>-0.000901290623198386-0.000124135165842679j</v>
      </c>
      <c r="V247" s="136" t="str">
        <f t="shared" si="184"/>
        <v>-0.0106242509610812-0.00146328289794906j</v>
      </c>
      <c r="W247" s="136"/>
      <c r="X247" s="136" t="str">
        <f t="shared" si="161"/>
        <v>-0.52140214429723+0.296409137835288j</v>
      </c>
      <c r="Y247" s="136">
        <f t="shared" si="185"/>
        <v>-4.4403713801252724</v>
      </c>
      <c r="Z247" s="136">
        <f t="shared" si="186"/>
        <v>-29.617567452791747</v>
      </c>
      <c r="AA247" s="136"/>
      <c r="AB247" s="136" t="str">
        <f t="shared" si="162"/>
        <v>-0.00835201231622568-0.0011503264400062j</v>
      </c>
      <c r="AC247" s="136">
        <f t="shared" si="187"/>
        <v>-41.48256487280301</v>
      </c>
      <c r="AD247" s="136">
        <f t="shared" si="188"/>
        <v>7.8420350869772619</v>
      </c>
      <c r="AE247" s="136"/>
      <c r="AF247" s="136" t="str">
        <f t="shared" si="189"/>
        <v>-0.0136889457691669+0.00607441537538369j</v>
      </c>
      <c r="AG247" s="136">
        <f t="shared" si="190"/>
        <v>-36.491983021383028</v>
      </c>
      <c r="AH247" s="136">
        <f t="shared" si="191"/>
        <v>-23.92906484881803</v>
      </c>
      <c r="AI247" s="136"/>
      <c r="AJ247" s="136" t="str">
        <f t="shared" si="163"/>
        <v>264.539094281896-5136.52883723883j</v>
      </c>
      <c r="AK247" s="136" t="str">
        <f t="shared" si="164"/>
        <v>19003.6885887558-913.696207608853j</v>
      </c>
      <c r="AL247" s="136" t="str">
        <f t="shared" si="165"/>
        <v>10000-11444.7844563407j</v>
      </c>
      <c r="AM247" s="136" t="str">
        <f t="shared" si="166"/>
        <v>706.570186812597-3977.60419910807j</v>
      </c>
      <c r="AN247" s="136" t="str">
        <f t="shared" si="192"/>
        <v>10706.5701868126-3977.60419910807j</v>
      </c>
      <c r="AO247" s="136" t="str">
        <f t="shared" si="193"/>
        <v>7009.05524168862-1719.55114012687j</v>
      </c>
      <c r="AP247" s="136" t="str">
        <f t="shared" si="194"/>
        <v>0.911309067159364+0.238731283944965j</v>
      </c>
      <c r="AQ247" s="136" t="str">
        <f t="shared" si="167"/>
        <v>1+31.0670381702618j</v>
      </c>
      <c r="AR247" s="136" t="str">
        <f t="shared" si="168"/>
        <v>1+0.0620100562280674j</v>
      </c>
      <c r="AS247" s="136" t="str">
        <f t="shared" si="169"/>
        <v>0.0000972786632706321j</v>
      </c>
      <c r="AT247" s="136" t="str">
        <f t="shared" si="195"/>
        <v>-6.03225537920313E-06+0.0000972786632706321j</v>
      </c>
      <c r="AU247" s="179" t="str">
        <f t="shared" si="196"/>
        <v>317502.952486691-29968.1224539484j</v>
      </c>
      <c r="AV247" s="136" t="str">
        <f t="shared" si="170"/>
        <v>2301.46592084605-3621.46130477086j</v>
      </c>
      <c r="AW247" s="136"/>
      <c r="AX247" s="136" t="str">
        <f t="shared" si="171"/>
        <v>0.143841620052878-0.226341331548179j</v>
      </c>
      <c r="AY247" s="136"/>
      <c r="AZ247" s="136" t="str">
        <f t="shared" si="172"/>
        <v>20.7760766225372+3.03431966063711j</v>
      </c>
      <c r="BA247" s="136" t="str">
        <f t="shared" si="173"/>
        <v>3.6752564720599-4.26602339134772j</v>
      </c>
      <c r="BB247" s="136">
        <f t="shared" si="197"/>
        <v>15.011478343393117</v>
      </c>
      <c r="BC247" s="136">
        <f t="shared" si="198"/>
        <v>130.74549475776479</v>
      </c>
      <c r="BD247" s="136" t="str">
        <f t="shared" si="174"/>
        <v>-0.0356031068206846+0.0314021352122286j</v>
      </c>
      <c r="BE247" s="136">
        <f t="shared" si="199"/>
        <v>-26.471086529409899</v>
      </c>
      <c r="BF247" s="136">
        <f t="shared" si="200"/>
        <v>-41.412470155257978</v>
      </c>
      <c r="BG247" s="136"/>
      <c r="BH247" s="136" t="str">
        <f t="shared" si="175"/>
        <v>-0.0243967884536585+0.0807223972765155j</v>
      </c>
      <c r="BI247" s="136">
        <f t="shared" si="201"/>
        <v>-21.480504677989913</v>
      </c>
      <c r="BJ247" s="136">
        <f t="shared" si="202"/>
        <v>-73.183570091053284</v>
      </c>
      <c r="BK247" s="136"/>
      <c r="BL247" s="136">
        <f t="shared" si="203"/>
        <v>22.480504677989913</v>
      </c>
      <c r="BM247" s="136">
        <f t="shared" si="204"/>
        <v>73.183570091053284</v>
      </c>
      <c r="BN247" s="136"/>
      <c r="BO247" s="189"/>
      <c r="BP247" s="189" t="str">
        <f t="shared" si="176"/>
        <v>0.00001+0.000194168988564136j</v>
      </c>
      <c r="BQ247" s="189" t="str">
        <f t="shared" si="177"/>
        <v>3.12176554896063E-06+1.00484813899925E-07j</v>
      </c>
      <c r="BR247" s="189" t="str">
        <f t="shared" si="178"/>
        <v>-0.0850299432869474-0.00295646018715416j</v>
      </c>
      <c r="BS247" s="189" t="str">
        <f t="shared" si="179"/>
        <v>0.0000656217655489606+0.000194269473378036j</v>
      </c>
      <c r="BT247" s="189" t="str">
        <f t="shared" si="205"/>
        <v>-5.00546503939591E-06-0.0000167127304409758j</v>
      </c>
      <c r="BU247" s="189" t="str">
        <f t="shared" si="206"/>
        <v>-3.12176554896063E-06-1.00484813899925E-07j</v>
      </c>
      <c r="BV247" s="189" t="str">
        <f t="shared" si="207"/>
        <v>-8.12723058835654E-06-0.0000168132152548757j</v>
      </c>
      <c r="BW247" s="189" t="str">
        <f t="shared" si="180"/>
        <v>0.912825803964719-0.28209015505842j</v>
      </c>
      <c r="BX247" s="189" t="str">
        <f t="shared" si="208"/>
        <v>-0.00001-0.000194168988564136j</v>
      </c>
      <c r="BY247" s="189" t="str">
        <f t="shared" si="209"/>
        <v>9.89839874711976+0.98405633255084j</v>
      </c>
      <c r="BZ247" s="136">
        <f t="shared" si="210"/>
        <v>19.954011592255164</v>
      </c>
      <c r="CA247" s="136">
        <f t="shared" si="211"/>
        <v>-174.3225547072405</v>
      </c>
      <c r="CB247" s="189" t="str">
        <f t="shared" si="181"/>
        <v>-0.0815395622290683-0.0196052404018606j</v>
      </c>
      <c r="CC247" s="136" t="str">
        <f t="shared" si="182"/>
        <v>-0.141476210567602+0.0466562917710892j</v>
      </c>
      <c r="CD247" s="136">
        <f t="shared" si="212"/>
        <v>-16.537971429127893</v>
      </c>
      <c r="CE247" s="136">
        <f t="shared" si="213"/>
        <v>-18.251619556058557</v>
      </c>
      <c r="CF247" s="136"/>
      <c r="CG247" s="136">
        <f t="shared" si="214"/>
        <v>17.537971429127893</v>
      </c>
      <c r="CH247" s="136">
        <f t="shared" si="215"/>
        <v>18.251619556058557</v>
      </c>
      <c r="CI247" s="77"/>
      <c r="CJ247" s="189"/>
      <c r="CK247" s="189"/>
      <c r="CL247" s="189"/>
      <c r="CM247" s="77"/>
      <c r="CN247" s="189"/>
      <c r="CO247" s="189"/>
      <c r="CP247" s="189"/>
      <c r="CQ247" s="74"/>
      <c r="CR247" s="75"/>
      <c r="CS247" s="75"/>
      <c r="CT247" s="75"/>
      <c r="CU247" s="74"/>
      <c r="CV247" s="75"/>
      <c r="CW247" s="75"/>
      <c r="CX247" s="75"/>
      <c r="CY247" s="74"/>
      <c r="CZ247" s="75"/>
      <c r="DA247" s="75"/>
      <c r="DB247" s="75"/>
      <c r="DC247" s="74"/>
      <c r="DD247" s="75"/>
      <c r="DE247" s="75"/>
      <c r="DF247" s="75"/>
      <c r="DG247" s="74"/>
      <c r="DH247" s="75"/>
      <c r="DI247" s="75"/>
      <c r="DJ247" s="75"/>
      <c r="DK247" s="74"/>
      <c r="DL247" s="75"/>
      <c r="DM247" s="75"/>
      <c r="DN247" s="75"/>
      <c r="DO247" s="76"/>
    </row>
    <row r="248" spans="1:119" x14ac:dyDescent="0.25">
      <c r="A248" s="136">
        <v>199</v>
      </c>
      <c r="B248" s="136">
        <f t="shared" si="216"/>
        <v>933254.30079699249</v>
      </c>
      <c r="C248" s="136" t="str">
        <f t="shared" si="223"/>
        <v>5863809.71062982j</v>
      </c>
      <c r="D248" s="136">
        <f t="shared" si="217"/>
        <v>-20.774089748902092</v>
      </c>
      <c r="E248" s="136" t="str">
        <f t="shared" si="218"/>
        <v>-7.32976213828727j</v>
      </c>
      <c r="F248" s="136" t="str">
        <f t="shared" si="224"/>
        <v>-20.7740897489021-7.32976213828727j</v>
      </c>
      <c r="G248" s="136">
        <f t="shared" si="225"/>
        <v>26.859997473972335</v>
      </c>
      <c r="H248" s="136">
        <f t="shared" si="226"/>
        <v>-160.56553148221442</v>
      </c>
      <c r="I248" s="136"/>
      <c r="J248" s="136">
        <f t="shared" si="219"/>
        <v>7.0726915520628681</v>
      </c>
      <c r="K248" s="136" t="str">
        <f t="shared" si="220"/>
        <v>1+430.399723553755j</v>
      </c>
      <c r="L248" s="136">
        <f t="shared" si="221"/>
        <v>-10113.961571691309</v>
      </c>
      <c r="M248" s="136" t="str">
        <f t="shared" si="222"/>
        <v>31.4985425247299j</v>
      </c>
      <c r="N248" s="136" t="str">
        <f t="shared" si="227"/>
        <v>-10113.9615716913+31.4985425247299j</v>
      </c>
      <c r="O248" s="136" t="str">
        <f t="shared" si="156"/>
        <v>0.000268245628215097-0.120016347676966j</v>
      </c>
      <c r="P248" s="136" t="str">
        <f t="shared" si="157"/>
        <v>0.00189721858855471-0.848838608324317j</v>
      </c>
      <c r="Q248" s="136"/>
      <c r="R248" s="136">
        <f t="shared" si="158"/>
        <v>11.787819253438114</v>
      </c>
      <c r="S248" s="136" t="str">
        <f t="shared" si="159"/>
        <v>1+0.137316841018455j</v>
      </c>
      <c r="T248" s="136" t="str">
        <f t="shared" si="160"/>
        <v>-1272.39821619237+11.1761046291173j</v>
      </c>
      <c r="U248" s="136" t="str">
        <f t="shared" si="183"/>
        <v>-0.000784909012416705-0.000114813950857877j</v>
      </c>
      <c r="V248" s="136" t="str">
        <f t="shared" si="184"/>
        <v>-0.00925236556876273-0.00135340610048578j</v>
      </c>
      <c r="W248" s="136"/>
      <c r="X248" s="136" t="str">
        <f t="shared" si="161"/>
        <v>-0.521408926242885+0.347403713767171j</v>
      </c>
      <c r="Y248" s="136">
        <f t="shared" si="185"/>
        <v>-4.0609770687927851</v>
      </c>
      <c r="Z248" s="136">
        <f t="shared" si="186"/>
        <v>-33.674679538799609</v>
      </c>
      <c r="AA248" s="136"/>
      <c r="AB248" s="136" t="str">
        <f t="shared" si="162"/>
        <v>-0.00727353593844931-0.00106394930442813j</v>
      </c>
      <c r="AC248" s="136">
        <f t="shared" si="187"/>
        <v>-42.673142900055424</v>
      </c>
      <c r="AD248" s="136">
        <f t="shared" si="188"/>
        <v>8.3220210522155753</v>
      </c>
      <c r="AE248" s="136"/>
      <c r="AF248" s="136" t="str">
        <f t="shared" si="189"/>
        <v>-0.0110101304071609+0.00576903966554466j</v>
      </c>
      <c r="AG248" s="136">
        <f t="shared" si="190"/>
        <v>-38.110580512238855</v>
      </c>
      <c r="AH248" s="136">
        <f t="shared" si="191"/>
        <v>-27.653441531335034</v>
      </c>
      <c r="AI248" s="136"/>
      <c r="AJ248" s="136" t="str">
        <f t="shared" si="163"/>
        <v>230.482594876693-4795.32452093997j</v>
      </c>
      <c r="AK248" s="136" t="str">
        <f t="shared" si="164"/>
        <v>18997.1973609674-978.708706711641j</v>
      </c>
      <c r="AL248" s="136" t="str">
        <f t="shared" si="165"/>
        <v>10000-10680.8943155745j</v>
      </c>
      <c r="AM248" s="136" t="str">
        <f t="shared" si="166"/>
        <v>679.743182568705-3753.66400326998j</v>
      </c>
      <c r="AN248" s="136" t="str">
        <f t="shared" si="192"/>
        <v>10679.7431825687-3753.66400326998j</v>
      </c>
      <c r="AO248" s="136" t="str">
        <f t="shared" si="193"/>
        <v>6974.64205532095-1642.85289917567j</v>
      </c>
      <c r="AP248" s="136" t="str">
        <f t="shared" si="194"/>
        <v>0.920306275417749+0.225465075200042j</v>
      </c>
      <c r="AQ248" s="136" t="str">
        <f t="shared" si="167"/>
        <v>1+33.2889311559891j</v>
      </c>
      <c r="AR248" s="136" t="str">
        <f t="shared" si="168"/>
        <v>1+0.0664449723672438j</v>
      </c>
      <c r="AS248" s="136" t="str">
        <f t="shared" si="169"/>
        <v>0.000104235965682191j</v>
      </c>
      <c r="AT248" s="136" t="str">
        <f t="shared" si="195"/>
        <v>-6.92595585942615E-06+0.000104235965682191j</v>
      </c>
      <c r="AU248" s="179" t="str">
        <f t="shared" si="196"/>
        <v>317322.870145179-30678.1269870105j</v>
      </c>
      <c r="AV248" s="136" t="str">
        <f t="shared" si="170"/>
        <v>2081.77174466953-3510.04278612837j</v>
      </c>
      <c r="AW248" s="136"/>
      <c r="AX248" s="136" t="str">
        <f t="shared" si="171"/>
        <v>0.130110734041846-0.219377674133023j</v>
      </c>
      <c r="AY248" s="136"/>
      <c r="AZ248" s="136" t="str">
        <f t="shared" si="172"/>
        <v>20.9842582767964+2.54668654405081j</v>
      </c>
      <c r="BA248" s="136" t="str">
        <f t="shared" si="173"/>
        <v>3.2889634184974-4.27212651854929j</v>
      </c>
      <c r="BB248" s="136">
        <f t="shared" si="197"/>
        <v>14.634203113701755</v>
      </c>
      <c r="BC248" s="136">
        <f t="shared" si="198"/>
        <v>127.59143799238325</v>
      </c>
      <c r="BD248" s="136" t="str">
        <f t="shared" si="174"/>
        <v>-0.0284677196625254+0.0275741754248707j</v>
      </c>
      <c r="BE248" s="136">
        <f t="shared" si="199"/>
        <v>-28.038939786353673</v>
      </c>
      <c r="BF248" s="136">
        <f t="shared" si="200"/>
        <v>-44.086540955401176</v>
      </c>
      <c r="BG248" s="136"/>
      <c r="BH248" s="136" t="str">
        <f t="shared" si="175"/>
        <v>-0.0115658488003019+0.0660108305049546j</v>
      </c>
      <c r="BI248" s="136">
        <f t="shared" si="201"/>
        <v>-23.476377398537128</v>
      </c>
      <c r="BJ248" s="136">
        <f t="shared" si="202"/>
        <v>-80.062003538951828</v>
      </c>
      <c r="BK248" s="136"/>
      <c r="BL248" s="136">
        <f t="shared" si="203"/>
        <v>24.476377398537128</v>
      </c>
      <c r="BM248" s="136">
        <f t="shared" si="204"/>
        <v>80.062003538951828</v>
      </c>
      <c r="BN248" s="136"/>
      <c r="BO248" s="189"/>
      <c r="BP248" s="189" t="str">
        <f t="shared" si="176"/>
        <v>0.00001+0.000208055819724932j</v>
      </c>
      <c r="BQ248" s="189" t="str">
        <f t="shared" si="177"/>
        <v>3.12218253462231E-06+9.37904109925315E-08j</v>
      </c>
      <c r="BR248" s="189" t="str">
        <f t="shared" si="178"/>
        <v>-0.0850432494093657-0.00275956277516474j</v>
      </c>
      <c r="BS248" s="189" t="str">
        <f t="shared" si="179"/>
        <v>0.0000656221825346223+0.000208149610135925j</v>
      </c>
      <c r="BT248" s="189" t="str">
        <f t="shared" si="205"/>
        <v>-5.00632172028265E-06-0.0000178828077413993j</v>
      </c>
      <c r="BU248" s="189" t="str">
        <f t="shared" si="206"/>
        <v>-3.12218253462231E-06-9.37904109925315E-08j</v>
      </c>
      <c r="BV248" s="189" t="str">
        <f t="shared" si="207"/>
        <v>-8.12850425490496E-06-0.0000179765981523918j</v>
      </c>
      <c r="BW248" s="189" t="str">
        <f t="shared" si="180"/>
        <v>0.901186820414594-0.298411017098277j</v>
      </c>
      <c r="BX248" s="189" t="str">
        <f t="shared" si="208"/>
        <v>-0.00001-0.000208055819724932j</v>
      </c>
      <c r="BY248" s="189" t="str">
        <f t="shared" si="209"/>
        <v>10.0065023300407+0.569622778357064j</v>
      </c>
      <c r="BZ248" s="136">
        <f t="shared" si="210"/>
        <v>20.019696513838127</v>
      </c>
      <c r="CA248" s="136">
        <f t="shared" si="211"/>
        <v>-176.74193887123704</v>
      </c>
      <c r="CB248" s="189" t="str">
        <f t="shared" si="181"/>
        <v>-0.0721766045569084-0.0147895829435447j</v>
      </c>
      <c r="CC248" s="136" t="str">
        <f t="shared" si="182"/>
        <v>-0.113459071976047+0.0514562877827693j</v>
      </c>
      <c r="CD248" s="136">
        <f t="shared" si="212"/>
        <v>-18.090883998400738</v>
      </c>
      <c r="CE248" s="136">
        <f t="shared" si="213"/>
        <v>-24.395380402572101</v>
      </c>
      <c r="CF248" s="136"/>
      <c r="CG248" s="136">
        <f t="shared" si="214"/>
        <v>19.090883998400738</v>
      </c>
      <c r="CH248" s="136">
        <f t="shared" si="215"/>
        <v>24.395380402572101</v>
      </c>
      <c r="CI248" s="77"/>
      <c r="CJ248" s="189"/>
      <c r="CK248" s="189"/>
      <c r="CL248" s="189"/>
      <c r="CM248" s="77"/>
      <c r="CN248" s="189"/>
      <c r="CO248" s="189"/>
      <c r="CP248" s="189"/>
      <c r="CQ248" s="74"/>
      <c r="CR248" s="75"/>
      <c r="CS248" s="75"/>
      <c r="CT248" s="75"/>
      <c r="CU248" s="74"/>
      <c r="CV248" s="75"/>
      <c r="CW248" s="75"/>
      <c r="CX248" s="75"/>
      <c r="CY248" s="74"/>
      <c r="CZ248" s="75"/>
      <c r="DA248" s="75"/>
      <c r="DB248" s="75"/>
      <c r="DC248" s="74"/>
      <c r="DD248" s="75"/>
      <c r="DE248" s="75"/>
      <c r="DF248" s="75"/>
      <c r="DG248" s="74"/>
      <c r="DH248" s="75"/>
      <c r="DI248" s="75"/>
      <c r="DJ248" s="75"/>
      <c r="DK248" s="74"/>
      <c r="DL248" s="75"/>
      <c r="DM248" s="75"/>
      <c r="DN248" s="75"/>
      <c r="DO248" s="76"/>
    </row>
    <row r="249" spans="1:119" x14ac:dyDescent="0.25">
      <c r="A249" s="136">
        <v>200</v>
      </c>
      <c r="B249" s="136">
        <f t="shared" si="216"/>
        <v>1000000</v>
      </c>
      <c r="C249" s="136" t="str">
        <f t="shared" si="223"/>
        <v>6283185.30717959j</v>
      </c>
      <c r="D249" s="136">
        <f t="shared" si="217"/>
        <v>-24.000000000000046</v>
      </c>
      <c r="E249" s="136" t="str">
        <f t="shared" si="218"/>
        <v>-7.85398163397449j</v>
      </c>
      <c r="F249" s="136" t="str">
        <f t="shared" si="224"/>
        <v>-24-7.85398163397449j</v>
      </c>
      <c r="G249" s="136">
        <f t="shared" si="225"/>
        <v>28.04606220111749</v>
      </c>
      <c r="H249" s="136">
        <f t="shared" si="226"/>
        <v>-161.87935556166198</v>
      </c>
      <c r="I249" s="136"/>
      <c r="J249" s="136">
        <f t="shared" si="219"/>
        <v>7.0726915520628681</v>
      </c>
      <c r="K249" s="136" t="str">
        <f t="shared" si="220"/>
        <v>1+461.181612756777j</v>
      </c>
      <c r="L249" s="136">
        <f t="shared" si="221"/>
        <v>-11612.529759839157</v>
      </c>
      <c r="M249" s="136" t="str">
        <f t="shared" si="222"/>
        <v>33.7512964020958j</v>
      </c>
      <c r="N249" s="136" t="str">
        <f t="shared" si="227"/>
        <v>-11612.5297598392+33.7512964020958j</v>
      </c>
      <c r="O249" s="136" t="str">
        <f t="shared" si="156"/>
        <v>0.000233517726430645-0.111994699705108j</v>
      </c>
      <c r="P249" s="136" t="str">
        <f t="shared" si="157"/>
        <v>0.00165159885098295-0.792103966480135j</v>
      </c>
      <c r="Q249" s="136"/>
      <c r="R249" s="136">
        <f t="shared" si="158"/>
        <v>11.787819253438114</v>
      </c>
      <c r="S249" s="136" t="str">
        <f t="shared" si="159"/>
        <v>1+0.147137646085517j</v>
      </c>
      <c r="T249" s="136" t="str">
        <f t="shared" si="160"/>
        <v>-1461.05677352892+11.9754118674546j</v>
      </c>
      <c r="U249" s="136" t="str">
        <f t="shared" si="183"/>
        <v>-0.000683564747764245-0.000106309089620734j</v>
      </c>
      <c r="V249" s="136" t="str">
        <f t="shared" si="184"/>
        <v>-0.00805773769466693-0.00125315233344677j</v>
      </c>
      <c r="W249" s="136"/>
      <c r="X249" s="136" t="str">
        <f t="shared" si="161"/>
        <v>-0.521414782267464+0.400050616917373j</v>
      </c>
      <c r="Y249" s="136">
        <f t="shared" si="185"/>
        <v>-3.6460284801029363</v>
      </c>
      <c r="Z249" s="136">
        <f t="shared" si="186"/>
        <v>-37.496886337191569</v>
      </c>
      <c r="AA249" s="136"/>
      <c r="AB249" s="136" t="str">
        <f t="shared" si="162"/>
        <v>-0.00633440651141447-0.000985137094501507j</v>
      </c>
      <c r="AC249" s="136">
        <f t="shared" si="187"/>
        <v>-43.862088916034494</v>
      </c>
      <c r="AD249" s="136">
        <f t="shared" si="188"/>
        <v>8.8399155239472123</v>
      </c>
      <c r="AE249" s="136"/>
      <c r="AF249" s="136" t="str">
        <f t="shared" si="189"/>
        <v>-0.00880441067048585+0.00530119345900511j</v>
      </c>
      <c r="AG249" s="136">
        <f t="shared" si="190"/>
        <v>-39.762526059876379</v>
      </c>
      <c r="AH249" s="136">
        <f t="shared" si="191"/>
        <v>-31.052422029429323</v>
      </c>
      <c r="AI249" s="136"/>
      <c r="AJ249" s="136" t="str">
        <f t="shared" si="163"/>
        <v>200.801667970678-4476.58859928048j</v>
      </c>
      <c r="AK249" s="136" t="str">
        <f t="shared" si="164"/>
        <v>18989.7499007931-1048.29415013044j</v>
      </c>
      <c r="AL249" s="136" t="str">
        <f t="shared" si="165"/>
        <v>10000-9967.99055636804j</v>
      </c>
      <c r="AM249" s="136" t="str">
        <f t="shared" si="166"/>
        <v>651.34892172053-3544.16296477708j</v>
      </c>
      <c r="AN249" s="136" t="str">
        <f t="shared" si="192"/>
        <v>10651.3489217205-3544.16296477708j</v>
      </c>
      <c r="AO249" s="136" t="str">
        <f t="shared" si="193"/>
        <v>6942.02312244757-1571.72215081601j</v>
      </c>
      <c r="AP249" s="136" t="str">
        <f t="shared" si="194"/>
        <v>0.928319941617773+0.212634048929038j</v>
      </c>
      <c r="AQ249" s="136" t="str">
        <f t="shared" si="167"/>
        <v>1+35.6697323843678j</v>
      </c>
      <c r="AR249" s="136" t="str">
        <f t="shared" si="168"/>
        <v>1+0.0711970706274807j</v>
      </c>
      <c r="AS249" s="136" t="str">
        <f t="shared" si="169"/>
        <v>0.000111690849528552j</v>
      </c>
      <c r="AT249" s="136" t="str">
        <f t="shared" si="195"/>
        <v>-7.95206130232764E-06+0.000111690849528552j</v>
      </c>
      <c r="AU249" s="179" t="str">
        <f t="shared" si="196"/>
        <v>317116.359707021-31531.0407900599j</v>
      </c>
      <c r="AV249" s="136" t="str">
        <f t="shared" si="170"/>
        <v>1876.14466026794-3389.57792297088j</v>
      </c>
      <c r="AW249" s="136"/>
      <c r="AX249" s="136" t="str">
        <f t="shared" si="171"/>
        <v>0.117259041266746-0.21184862018568j</v>
      </c>
      <c r="AY249" s="136"/>
      <c r="AZ249" s="136" t="str">
        <f t="shared" si="172"/>
        <v>21.1620837427041+2.05283112620517j</v>
      </c>
      <c r="BA249" s="136" t="str">
        <f t="shared" si="173"/>
        <v>2.91633509243686-4.24244523140432j</v>
      </c>
      <c r="BB249" s="136">
        <f t="shared" si="197"/>
        <v>14.233008031894439</v>
      </c>
      <c r="BC249" s="136">
        <f t="shared" si="198"/>
        <v>124.50534974817404</v>
      </c>
      <c r="BD249" s="136" t="str">
        <f t="shared" si="174"/>
        <v>-0.022652642167846+0.0240003828185707j</v>
      </c>
      <c r="BE249" s="136">
        <f t="shared" si="199"/>
        <v>-29.629080884140066</v>
      </c>
      <c r="BF249" s="136">
        <f t="shared" si="200"/>
        <v>-46.654734727878662</v>
      </c>
      <c r="BG249" s="136"/>
      <c r="BH249" s="136" t="str">
        <f t="shared" si="175"/>
        <v>-0.00318658889565548+0.0528122865806213j</v>
      </c>
      <c r="BI249" s="136">
        <f t="shared" si="201"/>
        <v>-25.529518027981947</v>
      </c>
      <c r="BJ249" s="136">
        <f t="shared" si="202"/>
        <v>-86.547072281255211</v>
      </c>
      <c r="BK249" s="136"/>
      <c r="BL249" s="136">
        <f t="shared" si="203"/>
        <v>26.529518027981947</v>
      </c>
      <c r="BM249" s="136">
        <f t="shared" si="204"/>
        <v>86.547072281255211</v>
      </c>
      <c r="BN249" s="136"/>
      <c r="BO249" s="189"/>
      <c r="BP249" s="189" t="str">
        <f t="shared" si="176"/>
        <v>0.00001+0.000222935827402299j</v>
      </c>
      <c r="BQ249" s="189" t="str">
        <f t="shared" si="177"/>
        <v>3.12254580472438E-06+8.75404886999609E-08j</v>
      </c>
      <c r="BR249" s="189" t="str">
        <f t="shared" si="178"/>
        <v>-0.0850548419653916-0.00257572636736074j</v>
      </c>
      <c r="BS249" s="189" t="str">
        <f t="shared" si="179"/>
        <v>0.0000656225458047244+0.000223023367890999j</v>
      </c>
      <c r="BT249" s="189" t="str">
        <f t="shared" si="205"/>
        <v>-5.00706809357307E-06-0.0000191382430320809j</v>
      </c>
      <c r="BU249" s="189" t="str">
        <f t="shared" si="206"/>
        <v>-3.12254580472438E-06-8.75404886999609E-08j</v>
      </c>
      <c r="BV249" s="189" t="str">
        <f t="shared" si="207"/>
        <v>-8.12961389829745E-06-0.0000192257835207809j</v>
      </c>
      <c r="BW249" s="189" t="str">
        <f t="shared" si="180"/>
        <v>0.888184220511226-0.31513966895028j</v>
      </c>
      <c r="BX249" s="189" t="str">
        <f t="shared" si="208"/>
        <v>-0.00001-0.000222935827402299j</v>
      </c>
      <c r="BY249" s="189" t="str">
        <f t="shared" si="209"/>
        <v>10.0744012682647+0.143725092644199j</v>
      </c>
      <c r="BZ249" s="136">
        <f t="shared" si="210"/>
        <v>20.06526872660292</v>
      </c>
      <c r="CA249" s="136">
        <f t="shared" si="211"/>
        <v>-179.1826529050478</v>
      </c>
      <c r="CB249" s="189" t="str">
        <f t="shared" si="181"/>
        <v>-0.0636737640721236-0.0108350795569596j</v>
      </c>
      <c r="CC249" s="136" t="str">
        <f t="shared" si="182"/>
        <v>-0.0894610805460861+0.0521409353674245j</v>
      </c>
      <c r="CD249" s="136">
        <f t="shared" si="212"/>
        <v>-19.697257333273473</v>
      </c>
      <c r="CE249" s="136">
        <f t="shared" si="213"/>
        <v>-30.235074934477183</v>
      </c>
      <c r="CF249" s="136"/>
      <c r="CG249" s="136">
        <f t="shared" si="214"/>
        <v>20.697257333273473</v>
      </c>
      <c r="CH249" s="136">
        <f t="shared" si="215"/>
        <v>30.235074934477183</v>
      </c>
      <c r="CI249" s="77"/>
      <c r="CJ249" s="189"/>
      <c r="CK249" s="189"/>
      <c r="CL249" s="189"/>
      <c r="CM249" s="77"/>
      <c r="CN249" s="189"/>
      <c r="CO249" s="189"/>
      <c r="CP249" s="189"/>
      <c r="CQ249" s="74"/>
      <c r="CR249" s="75"/>
      <c r="CS249" s="75"/>
      <c r="CT249" s="75"/>
      <c r="CU249" s="74"/>
      <c r="CV249" s="75"/>
      <c r="CW249" s="75"/>
      <c r="CX249" s="75"/>
      <c r="CY249" s="74"/>
      <c r="CZ249" s="75"/>
      <c r="DA249" s="75"/>
      <c r="DB249" s="75"/>
      <c r="DC249" s="74"/>
      <c r="DD249" s="75"/>
      <c r="DE249" s="75"/>
      <c r="DF249" s="75"/>
      <c r="DG249" s="74"/>
      <c r="DH249" s="75"/>
      <c r="DI249" s="75"/>
      <c r="DJ249" s="75"/>
      <c r="DK249" s="74"/>
      <c r="DL249" s="75"/>
      <c r="DM249" s="75"/>
      <c r="DN249" s="75"/>
      <c r="DO249" s="76"/>
    </row>
    <row r="250" spans="1:119" x14ac:dyDescent="0.25">
      <c r="A250" s="68"/>
      <c r="B250" s="68"/>
      <c r="C250" s="68"/>
      <c r="D250" s="68"/>
      <c r="E250" s="68"/>
      <c r="F250" s="68"/>
      <c r="G250" s="68"/>
      <c r="H250" s="68"/>
      <c r="I250" s="68"/>
      <c r="J250" s="68"/>
      <c r="K250" s="68"/>
      <c r="L250" s="68"/>
      <c r="M250" s="68"/>
      <c r="N250" s="68"/>
      <c r="O250" s="136" t="str">
        <f t="shared" si="156"/>
        <v>0.000203298646864942-0.104510536246401j</v>
      </c>
      <c r="P250" s="136" t="str">
        <f t="shared" si="157"/>
        <v>0.00143786862222749-0.739170786811481j</v>
      </c>
      <c r="Q250" s="136"/>
      <c r="R250" s="136">
        <f t="shared" si="158"/>
        <v>11.787819253438114</v>
      </c>
      <c r="S250" s="136" t="str">
        <f t="shared" si="159"/>
        <v>1+0.157660828307851j</v>
      </c>
      <c r="T250" s="136" t="str">
        <f t="shared" si="160"/>
        <v>-1677.66577936129+12.8318850041491j</v>
      </c>
      <c r="U250" s="136" t="str">
        <f t="shared" si="183"/>
        <v>-0.00059531266073719-0.0000985296439526093j</v>
      </c>
      <c r="V250" s="136" t="str">
        <f t="shared" si="184"/>
        <v>-0.00701743804405332-0.00116144963401897j</v>
      </c>
      <c r="W250" s="136"/>
      <c r="X250" s="136" t="str">
        <f t="shared" si="161"/>
        <v>-0.521419844135653+0.454602294949047j</v>
      </c>
      <c r="Y250" s="136">
        <f t="shared" si="185"/>
        <v>-3.2008003003037384</v>
      </c>
      <c r="Z250" s="136">
        <f t="shared" si="186"/>
        <v>-41.083695797822969</v>
      </c>
      <c r="AA250" s="136"/>
      <c r="AB250" s="136" t="str">
        <f t="shared" si="162"/>
        <v>-0.00551659869359105-0.0009130471111363j</v>
      </c>
      <c r="AC250" s="136">
        <f t="shared" si="187"/>
        <v>-45.04920506701022</v>
      </c>
      <c r="AD250" s="136">
        <f t="shared" si="188"/>
        <v>9.3977772112217508</v>
      </c>
      <c r="AE250" s="136"/>
      <c r="AF250" s="136" t="str">
        <f t="shared" si="189"/>
        <v>-0.00701214703407678+0.00475299904352891j</v>
      </c>
      <c r="AG250" s="136">
        <f t="shared" si="190"/>
        <v>-41.441102716550866</v>
      </c>
      <c r="AH250" s="136">
        <f t="shared" si="191"/>
        <v>-34.130347693013192</v>
      </c>
      <c r="AI250" s="136"/>
      <c r="AJ250" s="136" t="str">
        <f t="shared" si="163"/>
        <v>174.936268862849-4178.87834090935j</v>
      </c>
      <c r="AK250" s="136" t="str">
        <f t="shared" si="164"/>
        <v>18981.2062701726-1122.76205301266j</v>
      </c>
      <c r="AL250" s="136" t="str">
        <f t="shared" si="165"/>
        <v>10000-9302.67005703431j</v>
      </c>
      <c r="AM250" s="136" t="str">
        <f t="shared" si="166"/>
        <v>621.539441699908-3347.81495439813j</v>
      </c>
      <c r="AN250" s="136" t="str">
        <f t="shared" si="192"/>
        <v>10621.5394416999-3347.81495439813j</v>
      </c>
      <c r="AO250" s="136" t="str">
        <f t="shared" si="193"/>
        <v>6910.93090849724-1505.77852635837j</v>
      </c>
      <c r="AP250" s="136" t="str">
        <f t="shared" si="194"/>
        <v>0.935438466612719+0.200280212980864j</v>
      </c>
      <c r="AQ250" s="136" t="str">
        <f t="shared" si="167"/>
        <v>1+38.2208068625093j</v>
      </c>
      <c r="AR250" s="136" t="str">
        <f t="shared" si="168"/>
        <v>1+0.0762890356537111j</v>
      </c>
      <c r="AS250" s="136" t="str">
        <f t="shared" si="169"/>
        <v>0.000119678901488232j</v>
      </c>
      <c r="AT250" s="136" t="str">
        <f t="shared" si="195"/>
        <v>-9.13018798263271E-06+0.000119678901488232j</v>
      </c>
      <c r="AU250" s="179" t="str">
        <f t="shared" si="196"/>
        <v>316879.585224944-32530.1296431538j</v>
      </c>
      <c r="AV250" s="136" t="str">
        <f t="shared" si="170"/>
        <v>1685.04547565039-3262.05235246053j</v>
      </c>
      <c r="AW250" s="136"/>
      <c r="AX250" s="136" t="str">
        <f t="shared" si="171"/>
        <v>0.105315342228149-0.203878272028783j</v>
      </c>
      <c r="AY250" s="136"/>
      <c r="AZ250" s="136" t="str">
        <f t="shared" si="172"/>
        <v>21.3108175747686+1.55355691300559j</v>
      </c>
      <c r="BA250" s="136" t="str">
        <f t="shared" si="173"/>
        <v>2.56109254497036-4.18119928470035j</v>
      </c>
      <c r="BB250" s="136">
        <f t="shared" si="197"/>
        <v>13.809637732859702</v>
      </c>
      <c r="BC250" s="136">
        <f t="shared" si="198"/>
        <v>121.48854538454887</v>
      </c>
      <c r="BD250" s="136" t="str">
        <f t="shared" si="174"/>
        <v>-0.0179461517157301+0.0207276003620839j</v>
      </c>
      <c r="BE250" s="136">
        <f t="shared" si="199"/>
        <v>-31.239567334150507</v>
      </c>
      <c r="BF250" s="136">
        <f t="shared" si="200"/>
        <v>-49.113677404229406</v>
      </c>
      <c r="BG250" s="136"/>
      <c r="BH250" s="136" t="str">
        <f t="shared" si="175"/>
        <v>0.00191447870777446+0.0414920545797287j</v>
      </c>
      <c r="BI250" s="136">
        <f t="shared" si="201"/>
        <v>-27.631464983691153</v>
      </c>
      <c r="BJ250" s="136">
        <f t="shared" si="202"/>
        <v>-92.641802308464335</v>
      </c>
      <c r="BK250" s="136"/>
      <c r="BL250" s="136">
        <f t="shared" si="203"/>
        <v>28.631464983691153</v>
      </c>
      <c r="BM250" s="136">
        <f t="shared" si="204"/>
        <v>92.641802308464335</v>
      </c>
      <c r="BN250" s="136"/>
      <c r="BO250" s="189"/>
      <c r="BP250" s="189" t="str">
        <f t="shared" si="176"/>
        <v>0.00001+0.000238880042890683j</v>
      </c>
      <c r="BQ250" s="189" t="str">
        <f t="shared" si="177"/>
        <v>3.12286226863937E-06+8.17058174588821E-08j</v>
      </c>
      <c r="BR250" s="189" t="str">
        <f t="shared" si="178"/>
        <v>-0.0850649412458131-0.00240409433796889j</v>
      </c>
      <c r="BS250" s="189" t="str">
        <f t="shared" si="179"/>
        <v>0.0000656228622686394+0.000238961748708142j</v>
      </c>
      <c r="BT250" s="189" t="str">
        <f t="shared" si="205"/>
        <v>-5.00771833620351E-06-0.0000204850306654762j</v>
      </c>
      <c r="BU250" s="189" t="str">
        <f t="shared" si="206"/>
        <v>-3.12286226863937E-06-8.17058174588821E-08j</v>
      </c>
      <c r="BV250" s="189" t="str">
        <f t="shared" si="207"/>
        <v>-8.13058060484288E-06-0.0000205667364829351j</v>
      </c>
      <c r="BW250" s="189" t="str">
        <f t="shared" si="180"/>
        <v>0.873710410156172-0.332175449636041j</v>
      </c>
      <c r="BX250" s="189" t="str">
        <f t="shared" si="208"/>
        <v>-0.00001-0.000238880042890683j</v>
      </c>
      <c r="BY250" s="189" t="str">
        <f t="shared" si="209"/>
        <v>10.101077580774-0.289767134253048j</v>
      </c>
      <c r="BZ250" s="136">
        <f t="shared" si="210"/>
        <v>20.090926603279438</v>
      </c>
      <c r="CA250" s="136">
        <f t="shared" si="211"/>
        <v>178.35682067225966</v>
      </c>
      <c r="CB250" s="189" t="str">
        <f t="shared" si="181"/>
        <v>-0.0559881624307917-0.00762423071022336j</v>
      </c>
      <c r="CC250" s="136" t="str">
        <f t="shared" si="182"/>
        <v>-0.069452978287053+0.0500423018310556j</v>
      </c>
      <c r="CD250" s="136">
        <f t="shared" si="212"/>
        <v>-21.350176113271427</v>
      </c>
      <c r="CE250" s="136">
        <f t="shared" si="213"/>
        <v>-35.773527020753534</v>
      </c>
      <c r="CF250" s="136"/>
      <c r="CG250" s="136">
        <f t="shared" si="214"/>
        <v>22.350176113271427</v>
      </c>
      <c r="CH250" s="136">
        <f t="shared" si="215"/>
        <v>35.773527020753534</v>
      </c>
      <c r="CI250" s="77"/>
      <c r="CJ250" s="189"/>
      <c r="CK250" s="189"/>
      <c r="CL250" s="189"/>
      <c r="CM250" s="77"/>
      <c r="CN250" s="189"/>
      <c r="CO250" s="189"/>
      <c r="CP250" s="189"/>
      <c r="CQ250" s="74"/>
      <c r="CR250" s="75"/>
      <c r="CS250" s="75"/>
      <c r="CT250" s="75"/>
      <c r="CU250" s="74"/>
      <c r="CV250" s="75"/>
      <c r="CW250" s="75"/>
      <c r="CX250" s="75"/>
      <c r="CY250" s="74"/>
      <c r="CZ250" s="75"/>
      <c r="DA250" s="75"/>
      <c r="DB250" s="75"/>
      <c r="DC250" s="74"/>
      <c r="DD250" s="75"/>
      <c r="DE250" s="75"/>
      <c r="DF250" s="75"/>
      <c r="DG250" s="74"/>
      <c r="DH250" s="75"/>
      <c r="DI250" s="75"/>
      <c r="DJ250" s="75"/>
      <c r="DK250" s="74"/>
      <c r="DL250" s="75"/>
      <c r="DM250" s="75"/>
      <c r="DN250" s="75"/>
      <c r="DO250" s="76"/>
    </row>
    <row r="251" spans="1:119" x14ac:dyDescent="0.25">
      <c r="A251" s="68"/>
      <c r="B251" s="68"/>
      <c r="C251" s="68"/>
      <c r="D251" s="68"/>
      <c r="E251" s="68"/>
      <c r="F251" s="68"/>
      <c r="G251" s="68"/>
      <c r="H251" s="68"/>
      <c r="I251" s="68"/>
      <c r="J251" s="68"/>
      <c r="K251" s="68"/>
      <c r="L251" s="68"/>
      <c r="M251" s="68"/>
      <c r="N251" s="68"/>
      <c r="O251" s="136" t="str">
        <f t="shared" si="156"/>
        <v>0.000176999900439945-0.0975275938926443j</v>
      </c>
      <c r="P251" s="136" t="str">
        <f t="shared" si="157"/>
        <v>0.00125186570055757-0.689782589417524j</v>
      </c>
      <c r="Q251" s="136"/>
      <c r="R251" s="136">
        <f t="shared" si="158"/>
        <v>11.787819253438114</v>
      </c>
      <c r="S251" s="136" t="str">
        <f t="shared" si="159"/>
        <v>1+0.168936621211614j</v>
      </c>
      <c r="T251" s="136" t="str">
        <f t="shared" si="160"/>
        <v>-1926.36619385655+13.7496125045347j</v>
      </c>
      <c r="U251" s="136" t="str">
        <f t="shared" si="183"/>
        <v>-0.000518459741267051-0.0000913975973595954j</v>
      </c>
      <c r="V251" s="136" t="str">
        <f t="shared" si="184"/>
        <v>-0.00611150972024029-0.00107737835787342j</v>
      </c>
      <c r="W251" s="136"/>
      <c r="X251" s="136" t="str">
        <f t="shared" si="161"/>
        <v>-0.521424223635782+0.51132007588272j</v>
      </c>
      <c r="Y251" s="136">
        <f t="shared" si="185"/>
        <v>-2.7300281300174212</v>
      </c>
      <c r="Z251" s="136">
        <f t="shared" si="186"/>
        <v>-44.439448321216503</v>
      </c>
      <c r="AA251" s="136"/>
      <c r="AB251" s="136" t="str">
        <f t="shared" si="162"/>
        <v>-0.00480442382631607-0.000846956396940954j</v>
      </c>
      <c r="AC251" s="136">
        <f t="shared" si="187"/>
        <v>-46.234262647418127</v>
      </c>
      <c r="AD251" s="136">
        <f t="shared" si="188"/>
        <v>9.99776600174593</v>
      </c>
      <c r="AE251" s="136"/>
      <c r="AF251" s="136" t="str">
        <f t="shared" si="189"/>
        <v>-0.00557072662412521+0.0041821338690269j</v>
      </c>
      <c r="AG251" s="136">
        <f t="shared" si="190"/>
        <v>-43.140502186389071</v>
      </c>
      <c r="AH251" s="136">
        <f t="shared" si="191"/>
        <v>-36.896803348178395</v>
      </c>
      <c r="AI251" s="136"/>
      <c r="AJ251" s="136" t="str">
        <f t="shared" si="163"/>
        <v>152.397521660606-3900.83672581311j</v>
      </c>
      <c r="AK251" s="136" t="str">
        <f t="shared" si="164"/>
        <v>18971.4063453354-1202.44007904693j</v>
      </c>
      <c r="AL251" s="136" t="str">
        <f t="shared" si="165"/>
        <v>10000-8681.75683962267j</v>
      </c>
      <c r="AM251" s="136" t="str">
        <f t="shared" si="166"/>
        <v>590.510407487304-3163.42375131486j</v>
      </c>
      <c r="AN251" s="136" t="str">
        <f t="shared" si="192"/>
        <v>10590.5104074873-3163.42375131486j</v>
      </c>
      <c r="AO251" s="136" t="str">
        <f t="shared" si="193"/>
        <v>6881.15826458108-1444.6577324117j</v>
      </c>
      <c r="AP251" s="136" t="str">
        <f t="shared" si="194"/>
        <v>0.941746790978503+0.188432934183355j</v>
      </c>
      <c r="AQ251" s="136" t="str">
        <f t="shared" si="167"/>
        <v>1+40.9543324149366j</v>
      </c>
      <c r="AR251" s="136" t="str">
        <f t="shared" si="168"/>
        <v>1+0.0817451744809115j</v>
      </c>
      <c r="AS251" s="136" t="str">
        <f t="shared" si="169"/>
        <v>0.00012823825337427j</v>
      </c>
      <c r="AT251" s="136" t="str">
        <f t="shared" si="195"/>
        <v>-0.000010482858397207+0.00012823825337427j</v>
      </c>
      <c r="AU251" s="179" t="str">
        <f t="shared" si="196"/>
        <v>316608.167402502-33679.1750716889j</v>
      </c>
      <c r="AV251" s="136" t="str">
        <f t="shared" si="170"/>
        <v>1508.61597148757-3129.37783312805j</v>
      </c>
      <c r="AW251" s="136"/>
      <c r="AX251" s="136" t="str">
        <f t="shared" si="171"/>
        <v>0.0942884982179731-0.195586114570503j</v>
      </c>
      <c r="AY251" s="136"/>
      <c r="AZ251" s="136" t="str">
        <f t="shared" si="172"/>
        <v>21.4316171229398+1.0492926112541j</v>
      </c>
      <c r="BA251" s="136" t="str">
        <f t="shared" si="173"/>
        <v>2.22598205778732-4.09279049753209j</v>
      </c>
      <c r="BB251" s="136">
        <f t="shared" si="197"/>
        <v>13.36578401676136</v>
      </c>
      <c r="BC251" s="136">
        <f t="shared" si="198"/>
        <v>118.54083276969764</v>
      </c>
      <c r="BD251" s="136" t="str">
        <f t="shared" si="174"/>
        <v>-0.0141609763286094+0.0177781904391444j</v>
      </c>
      <c r="BE251" s="136">
        <f t="shared" si="199"/>
        <v>-32.868478630656782</v>
      </c>
      <c r="BF251" s="136">
        <f t="shared" si="200"/>
        <v>-51.461401228556468</v>
      </c>
      <c r="BG251" s="136"/>
      <c r="BH251" s="136" t="str">
        <f t="shared" si="175"/>
        <v>0.00471626024441956+0.0321091719472872j</v>
      </c>
      <c r="BI251" s="136">
        <f t="shared" si="201"/>
        <v>-29.774718169627718</v>
      </c>
      <c r="BJ251" s="136">
        <f t="shared" si="202"/>
        <v>-98.355970578480751</v>
      </c>
      <c r="BK251" s="136"/>
      <c r="BL251" s="136">
        <f t="shared" si="203"/>
        <v>30.774718169627718</v>
      </c>
      <c r="BM251" s="136">
        <f t="shared" si="204"/>
        <v>98.355970578480751</v>
      </c>
      <c r="BN251" s="136"/>
      <c r="BO251" s="189"/>
      <c r="BP251" s="189" t="str">
        <f t="shared" si="176"/>
        <v>0.00001+0.000255964577593354j</v>
      </c>
      <c r="BQ251" s="189" t="str">
        <f t="shared" si="177"/>
        <v>3.12313794945573E-06+7.62590369637346E-08j</v>
      </c>
      <c r="BR251" s="189" t="str">
        <f t="shared" si="178"/>
        <v>-0.0850737393138896-0.00224386441235974j</v>
      </c>
      <c r="BS251" s="189" t="str">
        <f t="shared" si="179"/>
        <v>0.0000656231379494557+0.000256040836630318j</v>
      </c>
      <c r="BT251" s="189" t="str">
        <f t="shared" si="205"/>
        <v>-5.00828480944583E-06-0.00002192960081307j</v>
      </c>
      <c r="BU251" s="189" t="str">
        <f t="shared" si="206"/>
        <v>-3.12313794945573E-06-7.62590369637346E-08j</v>
      </c>
      <c r="BV251" s="189" t="str">
        <f t="shared" si="207"/>
        <v>-8.13142275890156E-06-0.0000220058598500337j</v>
      </c>
      <c r="BW251" s="189" t="str">
        <f t="shared" si="180"/>
        <v>0.85766330661738-0.349395133193813j</v>
      </c>
      <c r="BX251" s="189" t="str">
        <f t="shared" si="208"/>
        <v>-0.00001-0.000255964577593354j</v>
      </c>
      <c r="BY251" s="189" t="str">
        <f t="shared" si="209"/>
        <v>10.0858815449899-0.72693564885908j</v>
      </c>
      <c r="BZ251" s="136">
        <f t="shared" si="210"/>
        <v>20.096779358140871</v>
      </c>
      <c r="CA251" s="136">
        <f t="shared" si="211"/>
        <v>175.8775593920947</v>
      </c>
      <c r="CB251" s="189" t="str">
        <f t="shared" si="181"/>
        <v>-0.0490725324021166-0.00504979494174082j</v>
      </c>
      <c r="CC251" s="136" t="str">
        <f t="shared" si="182"/>
        <v>-0.0531455466527517+0.0462300665814206j</v>
      </c>
      <c r="CD251" s="136">
        <f t="shared" si="212"/>
        <v>-23.043722828248207</v>
      </c>
      <c r="CE251" s="136">
        <f t="shared" si="213"/>
        <v>-41.019243956083699</v>
      </c>
      <c r="CF251" s="136"/>
      <c r="CG251" s="136">
        <f t="shared" si="214"/>
        <v>24.043722828248207</v>
      </c>
      <c r="CH251" s="136">
        <f t="shared" si="215"/>
        <v>41.019243956083699</v>
      </c>
      <c r="CI251" s="77"/>
      <c r="CJ251" s="189"/>
      <c r="CK251" s="189"/>
      <c r="CL251" s="189"/>
      <c r="CM251" s="77"/>
      <c r="CN251" s="189"/>
      <c r="CO251" s="189"/>
      <c r="CP251" s="189"/>
      <c r="CQ251" s="74"/>
      <c r="CR251" s="75"/>
      <c r="CS251" s="75"/>
      <c r="CT251" s="75"/>
      <c r="CU251" s="74"/>
      <c r="CV251" s="75"/>
      <c r="CW251" s="75"/>
      <c r="CX251" s="75"/>
      <c r="CY251" s="74"/>
      <c r="CZ251" s="75"/>
      <c r="DA251" s="75"/>
      <c r="DB251" s="75"/>
      <c r="DC251" s="74"/>
      <c r="DD251" s="75"/>
      <c r="DE251" s="75"/>
      <c r="DF251" s="75"/>
      <c r="DG251" s="74"/>
      <c r="DH251" s="75"/>
      <c r="DI251" s="75"/>
      <c r="DJ251" s="75"/>
      <c r="DK251" s="74"/>
      <c r="DL251" s="75"/>
      <c r="DM251" s="75"/>
      <c r="DN251" s="75"/>
      <c r="DO251" s="76"/>
    </row>
    <row r="252" spans="1:119" x14ac:dyDescent="0.25">
      <c r="A252" s="68"/>
      <c r="B252" s="68"/>
      <c r="C252" s="68"/>
      <c r="D252" s="68"/>
      <c r="E252" s="68"/>
      <c r="F252" s="68"/>
      <c r="G252" s="68"/>
      <c r="H252" s="68"/>
      <c r="I252" s="68"/>
      <c r="J252" s="68"/>
      <c r="K252" s="68"/>
      <c r="L252" s="68"/>
      <c r="M252" s="68"/>
      <c r="N252" s="68"/>
      <c r="O252" s="136" t="str">
        <f t="shared" si="156"/>
        <v>0.000154110552168261-0.0910121025293143j</v>
      </c>
      <c r="P252" s="136" t="str">
        <f t="shared" si="157"/>
        <v>0.0010899764004042-0.643700528694561j</v>
      </c>
      <c r="Q252" s="136"/>
      <c r="R252" s="136">
        <f t="shared" si="158"/>
        <v>11.787819253438114</v>
      </c>
      <c r="S252" s="136" t="str">
        <f t="shared" si="159"/>
        <v>1+0.181018850989857j</v>
      </c>
      <c r="T252" s="136" t="str">
        <f t="shared" si="160"/>
        <v>-2211.91247542706+14.7329752381453j</v>
      </c>
      <c r="U252" s="136" t="str">
        <f t="shared" si="183"/>
        <v>-0.000451532319419191-0.0000848457014262502j</v>
      </c>
      <c r="V252" s="136" t="str">
        <f t="shared" si="184"/>
        <v>-0.00532258136839911-0.00100014579284381j</v>
      </c>
      <c r="W252" s="136"/>
      <c r="X252" s="136" t="str">
        <f t="shared" si="161"/>
        <v>-0.52142801587803+0.570475455422574j</v>
      </c>
      <c r="Y252" s="136">
        <f t="shared" si="185"/>
        <v>-2.2378609389933652</v>
      </c>
      <c r="Z252" s="136">
        <f t="shared" si="186"/>
        <v>-47.571952148776006</v>
      </c>
      <c r="AA252" s="136"/>
      <c r="AB252" s="136" t="str">
        <f t="shared" si="162"/>
        <v>-0.00418422581562011-0.000786241779345423j</v>
      </c>
      <c r="AC252" s="136">
        <f t="shared" si="187"/>
        <v>-47.416998977197061</v>
      </c>
      <c r="AD252" s="136">
        <f t="shared" si="188"/>
        <v>10.64213418350667</v>
      </c>
      <c r="AE252" s="136"/>
      <c r="AF252" s="136" t="str">
        <f t="shared" si="189"/>
        <v>-0.00442038325980126+0.0036263685119723j</v>
      </c>
      <c r="AG252" s="136">
        <f t="shared" si="190"/>
        <v>-44.8558060566275</v>
      </c>
      <c r="AH252" s="136">
        <f t="shared" si="191"/>
        <v>-39.364571241085855</v>
      </c>
      <c r="AI252" s="136"/>
      <c r="AJ252" s="136" t="str">
        <f t="shared" si="163"/>
        <v>132.758799356933-3641.18868460378j</v>
      </c>
      <c r="AK252" s="136" t="str">
        <f t="shared" si="164"/>
        <v>18960.1669979579-1287.67444095526j</v>
      </c>
      <c r="AL252" s="136" t="str">
        <f t="shared" si="165"/>
        <v>10000-8102.2869090515j</v>
      </c>
      <c r="AM252" s="136" t="str">
        <f t="shared" si="166"/>
        <v>558.497801259798-2989.8882426104j</v>
      </c>
      <c r="AN252" s="136" t="str">
        <f t="shared" si="192"/>
        <v>10558.4978012598-2989.8882426104j</v>
      </c>
      <c r="AO252" s="136" t="str">
        <f t="shared" si="193"/>
        <v>6852.55304959913-1388.01884181615j</v>
      </c>
      <c r="AP252" s="136" t="str">
        <f t="shared" si="194"/>
        <v>0.947325335481884+0.177110753422863j</v>
      </c>
      <c r="AQ252" s="136" t="str">
        <f t="shared" si="167"/>
        <v>1+43.8833578157229j</v>
      </c>
      <c r="AR252" s="136" t="str">
        <f t="shared" si="168"/>
        <v>1+0.0875915325663131j</v>
      </c>
      <c r="AS252" s="136" t="str">
        <f t="shared" si="169"/>
        <v>0.000137409764160482j</v>
      </c>
      <c r="AT252" s="136" t="str">
        <f t="shared" si="195"/>
        <v>-0.0000120359318323923+0.000137409764160482j</v>
      </c>
      <c r="AU252" s="179" t="str">
        <f t="shared" si="196"/>
        <v>316297.110870336-34982.4518991529j</v>
      </c>
      <c r="AV252" s="136" t="str">
        <f t="shared" si="170"/>
        <v>1346.71971540719-2993.34323648176j</v>
      </c>
      <c r="AW252" s="136"/>
      <c r="AX252" s="136" t="str">
        <f t="shared" si="171"/>
        <v>0.0841699822129494-0.18708395228011j</v>
      </c>
      <c r="AY252" s="136"/>
      <c r="AZ252" s="136" t="str">
        <f t="shared" si="172"/>
        <v>21.5254771063897+0.540137853215499j</v>
      </c>
      <c r="BA252" s="136" t="str">
        <f t="shared" si="173"/>
        <v>1.91285014952572-3.98160793828072j</v>
      </c>
      <c r="BB252" s="136">
        <f t="shared" si="197"/>
        <v>12.90306182505641</v>
      </c>
      <c r="BC252" s="136">
        <f t="shared" si="198"/>
        <v>115.66063156760136</v>
      </c>
      <c r="BD252" s="136" t="str">
        <f t="shared" si="174"/>
        <v>-0.011134303487108+0.0151559840178479j</v>
      </c>
      <c r="BE252" s="136">
        <f t="shared" si="199"/>
        <v>-34.513937152140649</v>
      </c>
      <c r="BF252" s="136">
        <f t="shared" si="200"/>
        <v>-53.697234248891988</v>
      </c>
      <c r="BG252" s="136"/>
      <c r="BH252" s="136" t="str">
        <f t="shared" si="175"/>
        <v>0.00598324687492835+0.0245369326278295j</v>
      </c>
      <c r="BI252" s="136">
        <f t="shared" si="201"/>
        <v>-31.952744231571081</v>
      </c>
      <c r="BJ252" s="136">
        <f t="shared" si="202"/>
        <v>-103.70393967348453</v>
      </c>
      <c r="BK252" s="136"/>
      <c r="BL252" s="136">
        <f t="shared" si="203"/>
        <v>32.952744231571081</v>
      </c>
      <c r="BM252" s="136">
        <f t="shared" si="204"/>
        <v>103.70393967348453</v>
      </c>
      <c r="BN252" s="136"/>
      <c r="BO252" s="189"/>
      <c r="BP252" s="189" t="str">
        <f t="shared" si="176"/>
        <v>0.00001+0.000274270986348268j</v>
      </c>
      <c r="BQ252" s="189" t="str">
        <f t="shared" si="177"/>
        <v>3.12337809706979E-06+7.1174546628488E-08j</v>
      </c>
      <c r="BR252" s="189" t="str">
        <f t="shared" si="178"/>
        <v>-0.0850814036000559-0.00209428556551436j</v>
      </c>
      <c r="BS252" s="189" t="str">
        <f t="shared" si="179"/>
        <v>0.0000656233780970698+0.000274342160894896j</v>
      </c>
      <c r="BT252" s="189" t="str">
        <f t="shared" si="205"/>
        <v>-5.00877828990166E-06-0.0000234788502091191j</v>
      </c>
      <c r="BU252" s="189" t="str">
        <f t="shared" si="206"/>
        <v>-3.12337809706979E-06-7.1174546628488E-08j</v>
      </c>
      <c r="BV252" s="189" t="str">
        <f t="shared" si="207"/>
        <v>-8.13215638697145E-06-0.0000235500247557476j</v>
      </c>
      <c r="BW252" s="189" t="str">
        <f t="shared" si="180"/>
        <v>0.839950681490071-0.366651788696627j</v>
      </c>
      <c r="BX252" s="189" t="str">
        <f t="shared" si="208"/>
        <v>-0.00001-0.000274270986348268j</v>
      </c>
      <c r="BY252" s="189" t="str">
        <f t="shared" si="209"/>
        <v>10.028521754385-1.16381819529035j</v>
      </c>
      <c r="BZ252" s="136">
        <f t="shared" si="210"/>
        <v>20.082837938140827</v>
      </c>
      <c r="CA252" s="136">
        <f t="shared" si="211"/>
        <v>173.38038888212211</v>
      </c>
      <c r="CB252" s="189" t="str">
        <f t="shared" si="181"/>
        <v>-0.0428766421059052-0.00301516465094966j</v>
      </c>
      <c r="CC252" s="136" t="str">
        <f t="shared" si="182"/>
        <v>-0.0401094760265748+0.0415116379796445j</v>
      </c>
      <c r="CD252" s="136">
        <f t="shared" si="212"/>
        <v>-24.772968118486688</v>
      </c>
      <c r="CE252" s="136">
        <f t="shared" si="213"/>
        <v>-45.98418235896375</v>
      </c>
      <c r="CF252" s="136"/>
      <c r="CG252" s="136">
        <f t="shared" si="214"/>
        <v>25.772968118486688</v>
      </c>
      <c r="CH252" s="136">
        <f t="shared" si="215"/>
        <v>45.98418235896375</v>
      </c>
      <c r="CI252" s="77"/>
      <c r="CJ252" s="189"/>
      <c r="CK252" s="189"/>
      <c r="CL252" s="189"/>
      <c r="CM252" s="77"/>
      <c r="CN252" s="189"/>
      <c r="CO252" s="189"/>
      <c r="CP252" s="189"/>
      <c r="CQ252" s="74"/>
      <c r="CR252" s="75"/>
      <c r="CS252" s="75"/>
      <c r="CT252" s="75"/>
      <c r="CU252" s="74"/>
      <c r="CV252" s="75"/>
      <c r="CW252" s="75"/>
      <c r="CX252" s="75"/>
      <c r="CY252" s="74"/>
      <c r="CZ252" s="75"/>
      <c r="DA252" s="75"/>
      <c r="DB252" s="75"/>
      <c r="DC252" s="74"/>
      <c r="DD252" s="75"/>
      <c r="DE252" s="75"/>
      <c r="DF252" s="75"/>
      <c r="DG252" s="74"/>
      <c r="DH252" s="75"/>
      <c r="DI252" s="75"/>
      <c r="DJ252" s="75"/>
      <c r="DK252" s="74"/>
      <c r="DL252" s="75"/>
      <c r="DM252" s="75"/>
      <c r="DN252" s="75"/>
      <c r="DO252" s="76"/>
    </row>
    <row r="253" spans="1:119" x14ac:dyDescent="0.25">
      <c r="A253" s="68"/>
      <c r="B253" s="68"/>
      <c r="C253" s="68"/>
      <c r="D253" s="68"/>
      <c r="E253" s="68"/>
      <c r="F253" s="68"/>
      <c r="G253" s="68"/>
      <c r="H253" s="68"/>
      <c r="I253" s="68"/>
      <c r="J253" s="68"/>
      <c r="K253" s="68"/>
      <c r="L253" s="68"/>
      <c r="M253" s="68"/>
      <c r="N253" s="68"/>
      <c r="O253" s="136" t="str">
        <f t="shared" si="156"/>
        <v>0.000134186822240304-0.0849326052430931j</v>
      </c>
      <c r="P253" s="136" t="str">
        <f t="shared" si="157"/>
        <v>0.00094906200405716-0.600702119597515j</v>
      </c>
      <c r="Q253" s="136"/>
      <c r="R253" s="136">
        <f t="shared" si="158"/>
        <v>11.787819253438114</v>
      </c>
      <c r="S253" s="136" t="str">
        <f t="shared" si="159"/>
        <v>1+0.193965193447561j</v>
      </c>
      <c r="T253" s="136" t="str">
        <f t="shared" si="160"/>
        <v>-2539.76347271721+15.7866673912603j</v>
      </c>
      <c r="U253" s="136" t="str">
        <f t="shared" si="183"/>
        <v>-0.000393247549753168-0.0000788157101510652j</v>
      </c>
      <c r="V253" s="136" t="str">
        <f t="shared" si="184"/>
        <v>-0.00463553103834776-0.000929065345592124j</v>
      </c>
      <c r="W253" s="136"/>
      <c r="X253" s="136" t="str">
        <f t="shared" si="161"/>
        <v>-0.52143130199222+0.632351425326838j</v>
      </c>
      <c r="Y253" s="136">
        <f t="shared" si="185"/>
        <v>-1.7278655299612058</v>
      </c>
      <c r="Z253" s="136">
        <f t="shared" si="186"/>
        <v>-50.49131471287285</v>
      </c>
      <c r="AA253" s="136"/>
      <c r="AB253" s="136" t="str">
        <f t="shared" si="162"/>
        <v>-0.00364411688563755-0.000730363508673577j</v>
      </c>
      <c r="AC253" s="136">
        <f t="shared" si="187"/>
        <v>-48.597113992675233</v>
      </c>
      <c r="AD253" s="136">
        <f t="shared" si="188"/>
        <v>11.333214431450983</v>
      </c>
      <c r="AE253" s="136"/>
      <c r="AF253" s="136" t="str">
        <f t="shared" si="189"/>
        <v>-0.00350742498484593+0.00310835557342809j</v>
      </c>
      <c r="AG253" s="136">
        <f t="shared" si="190"/>
        <v>-46.582904553621709</v>
      </c>
      <c r="AH253" s="136">
        <f t="shared" si="191"/>
        <v>-41.54805340344106</v>
      </c>
      <c r="AI253" s="136"/>
      <c r="AJ253" s="136" t="str">
        <f t="shared" si="163"/>
        <v>115.647891801398-3398.73722803951j</v>
      </c>
      <c r="AK253" s="136" t="str">
        <f t="shared" si="164"/>
        <v>18947.2789122298-1378.83013141997j</v>
      </c>
      <c r="AL253" s="136" t="str">
        <f t="shared" si="165"/>
        <v>10000-7561.49410416351j</v>
      </c>
      <c r="AM253" s="136" t="str">
        <f t="shared" si="166"/>
        <v>525.771954477338-2826.20722445591j</v>
      </c>
      <c r="AN253" s="136" t="str">
        <f t="shared" si="192"/>
        <v>10525.7719544773-2826.20722445591j</v>
      </c>
      <c r="AO253" s="136" t="str">
        <f t="shared" si="193"/>
        <v>6825.011754399-1335.55086880192j</v>
      </c>
      <c r="AP253" s="136" t="str">
        <f t="shared" si="194"/>
        <v>0.952249319899901+0.166323102952418j</v>
      </c>
      <c r="AQ253" s="136" t="str">
        <f t="shared" si="167"/>
        <v>1+47.0218650781966j</v>
      </c>
      <c r="AR253" s="136" t="str">
        <f t="shared" si="168"/>
        <v>1+0.093856018120153j</v>
      </c>
      <c r="AS253" s="136" t="str">
        <f t="shared" si="169"/>
        <v>0.000147237215026103j</v>
      </c>
      <c r="AT253" s="136" t="str">
        <f t="shared" si="195"/>
        <v>-0.0000138190987214508+0.000147237215026103j</v>
      </c>
      <c r="AU253" s="179" t="str">
        <f t="shared" si="196"/>
        <v>315940.723077701-36444.6994014793j</v>
      </c>
      <c r="AV253" s="136" t="str">
        <f t="shared" si="170"/>
        <v>1198.98824222042-2855.57929898305j</v>
      </c>
      <c r="AW253" s="136"/>
      <c r="AX253" s="136" t="str">
        <f t="shared" si="171"/>
        <v>0.0749367651387763-0.178473706186441j</v>
      </c>
      <c r="AY253" s="136"/>
      <c r="AZ253" s="136" t="str">
        <f t="shared" si="172"/>
        <v>21.5931842623092+0.0259118311156977j</v>
      </c>
      <c r="BA253" s="136" t="str">
        <f t="shared" si="173"/>
        <v>1.62274795819628-3.85187387485842j</v>
      </c>
      <c r="BB253" s="136">
        <f t="shared" si="197"/>
        <v>12.422989528369527</v>
      </c>
      <c r="BC253" s="136">
        <f t="shared" si="198"/>
        <v>112.84510448299689</v>
      </c>
      <c r="BD253" s="136" t="str">
        <f t="shared" si="174"/>
        <v>-0.0087267513538066+0.0128514827362766j</v>
      </c>
      <c r="BE253" s="136">
        <f t="shared" si="199"/>
        <v>-36.174124464305699</v>
      </c>
      <c r="BF253" s="136">
        <f t="shared" si="200"/>
        <v>-55.821681085552157</v>
      </c>
      <c r="BG253" s="136"/>
      <c r="BH253" s="136" t="str">
        <f t="shared" si="175"/>
        <v>0.0062813268943729+0.0185542363272822j</v>
      </c>
      <c r="BI253" s="136">
        <f t="shared" si="201"/>
        <v>-34.159915025252175</v>
      </c>
      <c r="BJ253" s="136">
        <f t="shared" si="202"/>
        <v>-108.70294892044426</v>
      </c>
      <c r="BK253" s="136"/>
      <c r="BL253" s="136">
        <f t="shared" si="203"/>
        <v>35.159915025252175</v>
      </c>
      <c r="BM253" s="136">
        <f t="shared" si="204"/>
        <v>108.70294892044426</v>
      </c>
      <c r="BN253" s="136"/>
      <c r="BO253" s="189"/>
      <c r="BP253" s="189" t="str">
        <f t="shared" si="176"/>
        <v>0.00001+0.000293886656738729j</v>
      </c>
      <c r="BQ253" s="189" t="str">
        <f t="shared" si="177"/>
        <v>3.12358728699047E-06+6.64284005280521E-08j</v>
      </c>
      <c r="BR253" s="189" t="str">
        <f t="shared" si="178"/>
        <v>-0.0850880800442396-0.00195465502977096j</v>
      </c>
      <c r="BS253" s="189" t="str">
        <f t="shared" si="179"/>
        <v>0.0000656235872869905+0.000293953085139257j</v>
      </c>
      <c r="BT253" s="189" t="str">
        <f t="shared" si="205"/>
        <v>-5.00920817148145E-06-0.0000251401751125424j</v>
      </c>
      <c r="BU253" s="189" t="str">
        <f t="shared" si="206"/>
        <v>-3.12358728699047E-06-6.64284005280521E-08j</v>
      </c>
      <c r="BV253" s="189" t="str">
        <f t="shared" si="207"/>
        <v>-8.13279545847192E-06-0.0000252066035130705j</v>
      </c>
      <c r="BW253" s="189" t="str">
        <f t="shared" si="180"/>
        <v>0.820495192885359-0.383774453732106j</v>
      </c>
      <c r="BX253" s="189" t="str">
        <f t="shared" si="208"/>
        <v>-0.00001-0.000293886656738729j</v>
      </c>
      <c r="BY253" s="189" t="str">
        <f t="shared" si="209"/>
        <v>9.92906933017364-1.59640917514964j</v>
      </c>
      <c r="BZ253" s="136">
        <f t="shared" si="210"/>
        <v>20.049012212237724</v>
      </c>
      <c r="CA253" s="136">
        <f t="shared" si="211"/>
        <v>170.86607778336403</v>
      </c>
      <c r="CB253" s="189" t="str">
        <f t="shared" si="181"/>
        <v>-0.0373486482111926-0.00143432828229932j</v>
      </c>
      <c r="CC253" s="136" t="str">
        <f t="shared" si="182"/>
        <v>-0.0298632584878703+0.0364623634183563j</v>
      </c>
      <c r="CD253" s="136">
        <f t="shared" si="212"/>
        <v>-26.533892341383986</v>
      </c>
      <c r="CE253" s="136">
        <f t="shared" si="213"/>
        <v>-50.681975620077139</v>
      </c>
      <c r="CF253" s="136"/>
      <c r="CG253" s="136">
        <f t="shared" si="214"/>
        <v>27.533892341383986</v>
      </c>
      <c r="CH253" s="136">
        <f t="shared" si="215"/>
        <v>50.681975620077139</v>
      </c>
      <c r="CI253" s="77"/>
      <c r="CJ253" s="189"/>
      <c r="CK253" s="189"/>
      <c r="CL253" s="189"/>
      <c r="CM253" s="77"/>
      <c r="CN253" s="189"/>
      <c r="CO253" s="189"/>
      <c r="CP253" s="189"/>
      <c r="CQ253" s="74"/>
      <c r="CR253" s="75"/>
      <c r="CS253" s="75"/>
      <c r="CT253" s="75"/>
      <c r="CU253" s="74"/>
      <c r="CV253" s="75"/>
      <c r="CW253" s="75"/>
      <c r="CX253" s="75"/>
      <c r="CY253" s="74"/>
      <c r="CZ253" s="75"/>
      <c r="DA253" s="75"/>
      <c r="DB253" s="75"/>
      <c r="DC253" s="74"/>
      <c r="DD253" s="75"/>
      <c r="DE253" s="75"/>
      <c r="DF253" s="75"/>
      <c r="DG253" s="74"/>
      <c r="DH253" s="75"/>
      <c r="DI253" s="75"/>
      <c r="DJ253" s="75"/>
      <c r="DK253" s="74"/>
      <c r="DL253" s="75"/>
      <c r="DM253" s="75"/>
      <c r="DN253" s="75"/>
      <c r="DO253" s="76"/>
    </row>
    <row r="254" spans="1:119" x14ac:dyDescent="0.25">
      <c r="A254" s="68"/>
      <c r="B254" s="68"/>
      <c r="C254" s="68"/>
      <c r="D254" s="68"/>
      <c r="E254" s="68"/>
      <c r="F254" s="68"/>
      <c r="G254" s="68"/>
      <c r="H254" s="68"/>
      <c r="I254" s="68"/>
      <c r="J254" s="68"/>
      <c r="K254" s="68"/>
      <c r="L254" s="68"/>
      <c r="M254" s="68"/>
      <c r="N254" s="68"/>
      <c r="O254" s="136" t="str">
        <f t="shared" si="156"/>
        <v>0.00011684312386492-0.0792597928204092j</v>
      </c>
      <c r="P254" s="136" t="str">
        <f t="shared" si="157"/>
        <v>0.000826395375076055-0.560580067099161j</v>
      </c>
      <c r="Q254" s="136"/>
      <c r="R254" s="136">
        <f t="shared" si="158"/>
        <v>11.787819253438114</v>
      </c>
      <c r="S254" s="136" t="str">
        <f t="shared" si="159"/>
        <v>1+0.207837449323209j</v>
      </c>
      <c r="T254" s="136" t="str">
        <f t="shared" si="160"/>
        <v>-2916.18678256728+16.9157188751005j</v>
      </c>
      <c r="U254" s="136" t="str">
        <f t="shared" si="183"/>
        <v>-0.000342488626702168-0.0000732569298809972j</v>
      </c>
      <c r="V254" s="136" t="str">
        <f t="shared" si="184"/>
        <v>-0.00403719402792339-0.000863539448498985j</v>
      </c>
      <c r="W254" s="136"/>
      <c r="X254" s="136" t="str">
        <f t="shared" si="161"/>
        <v>-0.521434151345168+0.697243850575746j</v>
      </c>
      <c r="Y254" s="136">
        <f t="shared" si="185"/>
        <v>-1.2030640961518841</v>
      </c>
      <c r="Z254" s="136">
        <f t="shared" si="186"/>
        <v>-53.209004946241478</v>
      </c>
      <c r="AA254" s="136"/>
      <c r="AB254" s="136" t="str">
        <f t="shared" si="162"/>
        <v>-0.0031737479063444-0.000678851820785329j</v>
      </c>
      <c r="AC254" s="136">
        <f t="shared" si="187"/>
        <v>-49.774266585579923</v>
      </c>
      <c r="AD254" s="136">
        <f t="shared" si="188"/>
        <v>12.073403900251094</v>
      </c>
      <c r="AE254" s="136"/>
      <c r="AF254" s="136" t="str">
        <f t="shared" si="189"/>
        <v>-0.00278557651310228+0.00263991732137719j</v>
      </c>
      <c r="AG254" s="136">
        <f t="shared" si="190"/>
        <v>-48.318385330242805</v>
      </c>
      <c r="AH254" s="136">
        <f t="shared" si="191"/>
        <v>-43.462139493259969</v>
      </c>
      <c r="AI254" s="136"/>
      <c r="AJ254" s="136" t="str">
        <f t="shared" si="163"/>
        <v>100.740136251954-3172.35953986041j</v>
      </c>
      <c r="AK254" s="136" t="str">
        <f t="shared" si="164"/>
        <v>18932.5030003521-1476.2909300913j</v>
      </c>
      <c r="AL254" s="136" t="str">
        <f t="shared" si="165"/>
        <v>10000-7056.79689316166j</v>
      </c>
      <c r="AM254" s="136" t="str">
        <f t="shared" si="166"/>
        <v>492.629130209991-2671.48296316846j</v>
      </c>
      <c r="AN254" s="136" t="str">
        <f t="shared" si="192"/>
        <v>10492.62913021-2671.48296316846j</v>
      </c>
      <c r="AO254" s="136" t="str">
        <f t="shared" si="193"/>
        <v>6798.47215669513-1286.97831974698j</v>
      </c>
      <c r="AP254" s="136" t="str">
        <f t="shared" si="194"/>
        <v>0.956588387478499+0.156071884627907j</v>
      </c>
      <c r="AQ254" s="136" t="str">
        <f t="shared" si="167"/>
        <v>1+50.3848361995659j</v>
      </c>
      <c r="AR254" s="136" t="str">
        <f t="shared" si="168"/>
        <v>1+0.100568535328475j</v>
      </c>
      <c r="AS254" s="136" t="str">
        <f t="shared" si="169"/>
        <v>0.000157767518349891j</v>
      </c>
      <c r="AT254" s="136" t="str">
        <f t="shared" si="195"/>
        <v>-0.0000158664482428568+0.000157767518349891j</v>
      </c>
      <c r="AU254" s="179" t="str">
        <f t="shared" si="196"/>
        <v>315532.52427498-38071.0841380303j</v>
      </c>
      <c r="AV254" s="136" t="str">
        <f t="shared" si="170"/>
        <v>1064.86875209513-2717.53648688888j</v>
      </c>
      <c r="AW254" s="136"/>
      <c r="AX254" s="136" t="str">
        <f t="shared" si="171"/>
        <v>0.0665542970059456-0.169846030430555j</v>
      </c>
      <c r="AY254" s="136"/>
      <c r="AZ254" s="136" t="str">
        <f t="shared" si="172"/>
        <v>21.6352805102338-0.493796693047207j</v>
      </c>
      <c r="BA254" s="136" t="str">
        <f t="shared" si="173"/>
        <v>1.35605147673124-3.70753080368438j</v>
      </c>
      <c r="BB254" s="136">
        <f t="shared" si="197"/>
        <v>11.926973394699605</v>
      </c>
      <c r="BC254" s="136">
        <f t="shared" si="198"/>
        <v>110.09029396478196</v>
      </c>
      <c r="BD254" s="136" t="str">
        <f t="shared" si="174"/>
        <v>-0.00682062957186984+0.010846210111843j</v>
      </c>
      <c r="BE254" s="136">
        <f t="shared" si="199"/>
        <v>-37.847293190880336</v>
      </c>
      <c r="BF254" s="136">
        <f t="shared" si="200"/>
        <v>-57.836302134966857</v>
      </c>
      <c r="BG254" s="136"/>
      <c r="BH254" s="136" t="str">
        <f t="shared" si="175"/>
        <v>0.00601018964404564+0.0139074745104483j</v>
      </c>
      <c r="BI254" s="136">
        <f t="shared" si="201"/>
        <v>-36.391411935543232</v>
      </c>
      <c r="BJ254" s="136">
        <f t="shared" si="202"/>
        <v>-113.37184552847791</v>
      </c>
      <c r="BK254" s="136"/>
      <c r="BL254" s="136">
        <f t="shared" si="203"/>
        <v>37.391411935543232</v>
      </c>
      <c r="BM254" s="136">
        <f t="shared" si="204"/>
        <v>113.37184552847791</v>
      </c>
      <c r="BN254" s="136"/>
      <c r="BO254" s="189"/>
      <c r="BP254" s="189" t="str">
        <f t="shared" si="176"/>
        <v>0.00001+0.000314905226247287j</v>
      </c>
      <c r="BQ254" s="189" t="str">
        <f t="shared" si="177"/>
        <v>3.12376950662696E-06+6.19982070449575E-08j</v>
      </c>
      <c r="BR254" s="189" t="str">
        <f t="shared" si="178"/>
        <v>-0.0850938958414228-0.00182431542263209j</v>
      </c>
      <c r="BS254" s="189" t="str">
        <f t="shared" si="179"/>
        <v>0.000065623769506627+0.000314967224454332j</v>
      </c>
      <c r="BT254" s="189" t="str">
        <f t="shared" si="205"/>
        <v>-5.00958264192279E-06-0.0000269215066459812j</v>
      </c>
      <c r="BU254" s="189" t="str">
        <f t="shared" si="206"/>
        <v>-3.12376950662696E-06-6.19982070449575E-08j</v>
      </c>
      <c r="BV254" s="189" t="str">
        <f t="shared" si="207"/>
        <v>-8.13335214854975E-06-0.0000269835048530262j</v>
      </c>
      <c r="BW254" s="189" t="str">
        <f t="shared" si="180"/>
        <v>0.799239975397837-0.400568891857445j</v>
      </c>
      <c r="BX254" s="189" t="str">
        <f t="shared" si="208"/>
        <v>-0.00001-0.000314905226247287j</v>
      </c>
      <c r="BY254" s="189" t="str">
        <f t="shared" si="209"/>
        <v>9.78797687530288-2.02066317256621j</v>
      </c>
      <c r="BZ254" s="136">
        <f t="shared" si="210"/>
        <v>19.995114522335793</v>
      </c>
      <c r="CA254" s="136">
        <f t="shared" si="211"/>
        <v>168.3355312548473</v>
      </c>
      <c r="CB254" s="189" t="str">
        <f t="shared" si="181"/>
        <v>-0.0324363019892303-0.000231510410244816j</v>
      </c>
      <c r="CC254" s="136" t="str">
        <f t="shared" si="182"/>
        <v>-0.0219307747847054+0.0314681615687426j</v>
      </c>
      <c r="CD254" s="136">
        <f t="shared" si="212"/>
        <v>-28.323270807907015</v>
      </c>
      <c r="CE254" s="136">
        <f t="shared" si="213"/>
        <v>-55.126608238412672</v>
      </c>
      <c r="CF254" s="136"/>
      <c r="CG254" s="136">
        <f t="shared" si="214"/>
        <v>29.323270807907015</v>
      </c>
      <c r="CH254" s="136">
        <f t="shared" si="215"/>
        <v>55.126608238412672</v>
      </c>
      <c r="CI254" s="77"/>
      <c r="CJ254" s="189"/>
      <c r="CK254" s="189"/>
      <c r="CL254" s="189"/>
      <c r="CM254" s="77"/>
      <c r="CN254" s="189"/>
      <c r="CO254" s="189"/>
      <c r="CP254" s="189"/>
      <c r="CQ254" s="74"/>
      <c r="CR254" s="75"/>
      <c r="CS254" s="75"/>
      <c r="CT254" s="75"/>
      <c r="CU254" s="74"/>
      <c r="CV254" s="75"/>
      <c r="CW254" s="75"/>
      <c r="CX254" s="75"/>
      <c r="CY254" s="74"/>
      <c r="CZ254" s="75"/>
      <c r="DA254" s="75"/>
      <c r="DB254" s="75"/>
      <c r="DC254" s="74"/>
      <c r="DD254" s="75"/>
      <c r="DE254" s="75"/>
      <c r="DF254" s="75"/>
      <c r="DG254" s="74"/>
      <c r="DH254" s="75"/>
      <c r="DI254" s="75"/>
      <c r="DJ254" s="75"/>
      <c r="DK254" s="74"/>
      <c r="DL254" s="75"/>
      <c r="DM254" s="75"/>
      <c r="DN254" s="75"/>
      <c r="DO254" s="76"/>
    </row>
    <row r="255" spans="1:119" x14ac:dyDescent="0.25">
      <c r="A255" s="68"/>
      <c r="B255" s="68"/>
      <c r="C255" s="68"/>
      <c r="D255" s="68"/>
      <c r="E255" s="68"/>
      <c r="F255" s="68"/>
      <c r="G255" s="68"/>
      <c r="H255" s="68"/>
      <c r="I255" s="68"/>
      <c r="J255" s="68"/>
      <c r="K255" s="68"/>
      <c r="L255" s="68"/>
      <c r="M255" s="68"/>
      <c r="N255" s="68"/>
      <c r="O255" s="136" t="str">
        <f t="shared" si="156"/>
        <v>0.000101744329429249-0.0739663513787768j</v>
      </c>
      <c r="P255" s="136" t="str">
        <f t="shared" si="157"/>
        <v>0.000719606259224551-0.523141188533588j</v>
      </c>
      <c r="Q255" s="136"/>
      <c r="R255" s="136">
        <f t="shared" si="158"/>
        <v>11.787819253438114</v>
      </c>
      <c r="S255" s="136" t="str">
        <f t="shared" si="159"/>
        <v>1+0.222701839301161j</v>
      </c>
      <c r="T255" s="136" t="str">
        <f t="shared" si="160"/>
        <v>-3348.37856898745+18.1255193366423j</v>
      </c>
      <c r="U255" s="136" t="str">
        <f t="shared" si="183"/>
        <v>-0.000298283237077806-0.0000681250262426542j</v>
      </c>
      <c r="V255" s="136" t="str">
        <f t="shared" si="184"/>
        <v>-0.00351610888500361-0.000803045495984136j</v>
      </c>
      <c r="W255" s="136"/>
      <c r="X255" s="136" t="str">
        <f t="shared" si="161"/>
        <v>-0.521436623371752+0.765462903056032j</v>
      </c>
      <c r="Y255" s="136">
        <f t="shared" si="185"/>
        <v>-0.66598968083521504</v>
      </c>
      <c r="Z255" s="136">
        <f t="shared" si="186"/>
        <v>-55.73714055974277</v>
      </c>
      <c r="AA255" s="136"/>
      <c r="AB255" s="136" t="str">
        <f t="shared" si="162"/>
        <v>-0.00276410871884677-0.000631295881236084j</v>
      </c>
      <c r="AC255" s="136">
        <f t="shared" si="187"/>
        <v>-50.948070744231408</v>
      </c>
      <c r="AD255" s="136">
        <f t="shared" si="188"/>
        <v>12.865143696912753</v>
      </c>
      <c r="AE255" s="136"/>
      <c r="AF255" s="136" t="str">
        <f t="shared" si="189"/>
        <v>-0.0022161122549973+0.00222552725717568j</v>
      </c>
      <c r="AG255" s="136">
        <f t="shared" si="190"/>
        <v>-50.059414285514627</v>
      </c>
      <c r="AH255" s="136">
        <f t="shared" si="191"/>
        <v>-45.12145044178331</v>
      </c>
      <c r="AI255" s="136"/>
      <c r="AJ255" s="136" t="str">
        <f t="shared" si="163"/>
        <v>87.7523977845605-2961.00308934981j</v>
      </c>
      <c r="AK255" s="136" t="str">
        <f t="shared" si="164"/>
        <v>18915.566378391-1580.4591200745j</v>
      </c>
      <c r="AL255" s="136" t="str">
        <f t="shared" si="165"/>
        <v>10000-6585.786050394j</v>
      </c>
      <c r="AM255" s="136" t="str">
        <f t="shared" si="166"/>
        <v>459.381149935254-2524.92275716395j</v>
      </c>
      <c r="AN255" s="136" t="str">
        <f t="shared" si="192"/>
        <v>10459.3811499353-2524.92275716395j</v>
      </c>
      <c r="AO255" s="136" t="str">
        <f t="shared" si="193"/>
        <v>6772.90517182685-1242.06540823059j</v>
      </c>
      <c r="AP255" s="136" t="str">
        <f t="shared" si="194"/>
        <v>0.960406468400008+0.146352886809307j</v>
      </c>
      <c r="AQ255" s="136" t="str">
        <f t="shared" si="167"/>
        <v>1+53.9883246790693j</v>
      </c>
      <c r="AR255" s="136" t="str">
        <f t="shared" si="168"/>
        <v>1+0.107761127103931j</v>
      </c>
      <c r="AS255" s="136" t="str">
        <f t="shared" si="169"/>
        <v>0.000169050941651336j</v>
      </c>
      <c r="AT255" s="136" t="str">
        <f t="shared" si="195"/>
        <v>-0.0000182171200103288+0.000169050941651336j</v>
      </c>
      <c r="AU255" s="179" t="str">
        <f t="shared" si="196"/>
        <v>315065.148192591-39867.1521723712j</v>
      </c>
      <c r="AV255" s="136" t="str">
        <f t="shared" si="170"/>
        <v>943.670254730578-2580.47446958526j</v>
      </c>
      <c r="AW255" s="136"/>
      <c r="AX255" s="136" t="str">
        <f t="shared" si="171"/>
        <v>0.0589793909206611-0.161279654349079j</v>
      </c>
      <c r="AY255" s="136"/>
      <c r="AZ255" s="136" t="str">
        <f t="shared" si="172"/>
        <v>21.6520330649797-1.01957884021347j</v>
      </c>
      <c r="BA255" s="136" t="str">
        <f t="shared" si="173"/>
        <v>1.11258639943525-3.55216654766614j</v>
      </c>
      <c r="BB255" s="136">
        <f t="shared" si="197"/>
        <v>11.41629589855512</v>
      </c>
      <c r="BC255" s="136">
        <f t="shared" si="198"/>
        <v>107.39125882075231</v>
      </c>
      <c r="BD255" s="136" t="str">
        <f t="shared" si="174"/>
        <v>-0.00531777787815554+0.00911620331371705j</v>
      </c>
      <c r="BE255" s="136">
        <f t="shared" si="199"/>
        <v>-39.531774845676289</v>
      </c>
      <c r="BF255" s="136">
        <f t="shared" si="200"/>
        <v>-59.743597482334962</v>
      </c>
      <c r="BG255" s="136"/>
      <c r="BH255" s="136" t="str">
        <f t="shared" si="175"/>
        <v>0.00543982711932685+0.0103480911759805j</v>
      </c>
      <c r="BI255" s="136">
        <f t="shared" si="201"/>
        <v>-38.6431183869595</v>
      </c>
      <c r="BJ255" s="136">
        <f t="shared" si="202"/>
        <v>-117.73019162103094</v>
      </c>
      <c r="BK255" s="136"/>
      <c r="BL255" s="136">
        <f t="shared" si="203"/>
        <v>39.6431183869595</v>
      </c>
      <c r="BM255" s="136">
        <f t="shared" si="204"/>
        <v>117.73019162103094</v>
      </c>
      <c r="BN255" s="136"/>
      <c r="BO255" s="189"/>
      <c r="BP255" s="189" t="str">
        <f t="shared" si="176"/>
        <v>0.00001+0.000337427029244183j</v>
      </c>
      <c r="BQ255" s="189" t="str">
        <f t="shared" si="177"/>
        <v>3.12392823061877E-06+5.78630333352405E-08j</v>
      </c>
      <c r="BR255" s="189" t="str">
        <f t="shared" si="178"/>
        <v>-0.085098961839547-0.00170265200137423j</v>
      </c>
      <c r="BS255" s="189" t="str">
        <f t="shared" si="179"/>
        <v>0.0000656239282306188+0.000337484892277518j</v>
      </c>
      <c r="BT255" s="189" t="str">
        <f t="shared" si="205"/>
        <v>-5.00990883698872E-06-0.000028831348682088j</v>
      </c>
      <c r="BU255" s="189" t="str">
        <f t="shared" si="206"/>
        <v>-3.12392823061877E-06-5.78630333352405E-08j</v>
      </c>
      <c r="BV255" s="189" t="str">
        <f t="shared" si="207"/>
        <v>-8.13383706760749E-06-0.0000288892117154232j</v>
      </c>
      <c r="BW255" s="189" t="str">
        <f t="shared" si="180"/>
        <v>0.77615455835396-0.416819697111748j</v>
      </c>
      <c r="BX255" s="189" t="str">
        <f t="shared" si="208"/>
        <v>-0.00001-0.000337427029244183j</v>
      </c>
      <c r="BY255" s="189" t="str">
        <f t="shared" si="209"/>
        <v>9.60611030868765-2.43250810365897j</v>
      </c>
      <c r="BZ255" s="136">
        <f t="shared" si="210"/>
        <v>19.920869460810955</v>
      </c>
      <c r="CA255" s="136">
        <f t="shared" si="211"/>
        <v>165.78997478866341</v>
      </c>
      <c r="CB255" s="189" t="str">
        <f t="shared" si="181"/>
        <v>-0.0280879656053607+0.000659418985415179j</v>
      </c>
      <c r="CC255" s="136" t="str">
        <f t="shared" si="182"/>
        <v>-0.0158746056899448+0.0267693713463195j</v>
      </c>
      <c r="CD255" s="136">
        <f t="shared" si="212"/>
        <v>-30.138544824703686</v>
      </c>
      <c r="CE255" s="136">
        <f t="shared" si="213"/>
        <v>-59.331475653119909</v>
      </c>
      <c r="CF255" s="136"/>
      <c r="CG255" s="136">
        <f t="shared" si="214"/>
        <v>31.138544824703686</v>
      </c>
      <c r="CH255" s="136">
        <f t="shared" si="215"/>
        <v>59.331475653119909</v>
      </c>
      <c r="CI255" s="77"/>
      <c r="CJ255" s="189"/>
      <c r="CK255" s="189"/>
      <c r="CL255" s="189"/>
      <c r="CM255" s="77"/>
      <c r="CN255" s="189"/>
      <c r="CO255" s="189"/>
      <c r="CP255" s="189"/>
      <c r="CQ255" s="74"/>
      <c r="CR255" s="75"/>
      <c r="CS255" s="75"/>
      <c r="CT255" s="75"/>
      <c r="CU255" s="74"/>
      <c r="CV255" s="75"/>
      <c r="CW255" s="75"/>
      <c r="CX255" s="75"/>
      <c r="CY255" s="74"/>
      <c r="CZ255" s="75"/>
      <c r="DA255" s="75"/>
      <c r="DB255" s="75"/>
      <c r="DC255" s="74"/>
      <c r="DD255" s="75"/>
      <c r="DE255" s="75"/>
      <c r="DF255" s="75"/>
      <c r="DG255" s="74"/>
      <c r="DH255" s="75"/>
      <c r="DI255" s="75"/>
      <c r="DJ255" s="75"/>
      <c r="DK255" s="74"/>
      <c r="DL255" s="75"/>
      <c r="DM255" s="75"/>
      <c r="DN255" s="75"/>
      <c r="DO255" s="76"/>
    </row>
    <row r="256" spans="1:119" x14ac:dyDescent="0.25">
      <c r="A256" s="68"/>
      <c r="B256" s="68"/>
      <c r="C256" s="68"/>
      <c r="D256" s="68"/>
      <c r="E256" s="68"/>
      <c r="F256" s="68"/>
      <c r="G256" s="68"/>
      <c r="H256" s="68"/>
      <c r="I256" s="68"/>
      <c r="J256" s="68"/>
      <c r="K256" s="68"/>
      <c r="L256" s="68"/>
      <c r="M256" s="68"/>
      <c r="N256" s="68"/>
      <c r="O256" s="136" t="str">
        <f t="shared" ref="O256:O264" si="228">IMDIV(K241,N241)</f>
        <v>0.0000885990890444731-0.0690268218616191j</v>
      </c>
      <c r="P256" s="136" t="str">
        <f t="shared" ref="P256:P264" si="229">IMPRODUCT(J241,O256)</f>
        <v>0.000626634028605311-0.488205419846422j</v>
      </c>
      <c r="Q256" s="136"/>
      <c r="R256" s="136">
        <f t="shared" ref="R256:R264" si="230">Vin/(1+((DCR*10^-3)/Rout))</f>
        <v>11.787819253438114</v>
      </c>
      <c r="S256" s="136" t="str">
        <f t="shared" ref="S256:S264" si="231">IMSUM(1,IMPRODUCT(C241,ncap*(cap*10^-6)*(esr/(ncap*1000))))</f>
        <v>1+0.238629320123117j</v>
      </c>
      <c r="T256" s="136" t="str">
        <f t="shared" ref="T256:T264" si="232">IMSUM(L241,M241)</f>
        <v>-3844.601133747+19.4218438866698j</v>
      </c>
      <c r="U256" s="136" t="str">
        <f t="shared" si="183"/>
        <v>-0.000259784822554915-0.0000633810405589243j</v>
      </c>
      <c r="V256" s="136" t="str">
        <f t="shared" si="184"/>
        <v>-0.00306229653306383-0.00074712425020343j</v>
      </c>
      <c r="W256" s="136"/>
      <c r="X256" s="136" t="str">
        <f t="shared" ref="X256:X264" si="233">IMPRODUCT(Fm,Rt,P256,F241)</f>
        <v>-0.52143876909385+0.837334559534567j</v>
      </c>
      <c r="Y256" s="136">
        <f t="shared" si="185"/>
        <v>-0.11874861067663785</v>
      </c>
      <c r="Z256" s="136">
        <f t="shared" si="186"/>
        <v>-58.087972357968297</v>
      </c>
      <c r="AA256" s="136"/>
      <c r="AB256" s="136" t="str">
        <f t="shared" ref="AB256:AB264" si="234">IMPRODUCT(Fm,V256)</f>
        <v>-0.00240735449998081-0.000587334670680153j</v>
      </c>
      <c r="AC256" s="136">
        <f t="shared" si="187"/>
        <v>-52.118091576035404</v>
      </c>
      <c r="AD256" s="136">
        <f t="shared" si="188"/>
        <v>13.710892952614444</v>
      </c>
      <c r="AE256" s="136"/>
      <c r="AF256" s="136" t="str">
        <f t="shared" si="189"/>
        <v>-0.00176730862944021+0.0018649524125134j</v>
      </c>
      <c r="AG256" s="136">
        <f t="shared" si="190"/>
        <v>-51.803621556248785</v>
      </c>
      <c r="AH256" s="136">
        <f t="shared" si="191"/>
        <v>-46.539875444790539</v>
      </c>
      <c r="AI256" s="136"/>
      <c r="AJ256" s="136" t="str">
        <f t="shared" ref="AJ256:AJ264" si="235">IMDIV(_Rfb1,IMSUM(1,IMPRODUCT(C241,_Cfb1*_Rfb1)))</f>
        <v>76.4377986480802-2763.68180653017j</v>
      </c>
      <c r="AK256" s="136" t="str">
        <f t="shared" ref="AK256:AK264" si="236">IMDIV(_Rfb2,IMSUM(1,IMPRODUCT(C241,_Cfb2*_Rfb2)))</f>
        <v>18896.1578651571-1691.75483278269j</v>
      </c>
      <c r="AL256" s="136" t="str">
        <f t="shared" ref="AL256:AL264" si="237">IMDIV(IMSUM(1,IMPRODUCT(C241,10000,0.000000000045)),IMPRODUCT(C241,0.000000000045))</f>
        <v>10000-6146.21315565899j</v>
      </c>
      <c r="AM256" s="136" t="str">
        <f t="shared" ref="AM256:AM264" si="238">IMDIV(AL256,IMSUM(1,IMPRODUCT(C241,AL256,0.0000000001)))</f>
        <v>426.343805119576-2385.8379339869j</v>
      </c>
      <c r="AN256" s="136" t="str">
        <f t="shared" si="192"/>
        <v>10426.3438051196-2385.8379339869j</v>
      </c>
      <c r="AO256" s="136" t="str">
        <f t="shared" si="193"/>
        <v>6748.30619538081-1200.61867938495j</v>
      </c>
      <c r="AP256" s="136" t="str">
        <f t="shared" si="194"/>
        <v>0.963761823837681+0.137157031901495j</v>
      </c>
      <c r="AQ256" s="136" t="str">
        <f t="shared" ref="AQ256:AQ264" si="239">IMSUM(1,IMPRODUCT(C241,_Res1*_Cap1))</f>
        <v>1+57.8495321510587j</v>
      </c>
      <c r="AR256" s="136" t="str">
        <f t="shared" ref="AR256:AR264" si="240">IMSUM(1,IMPRODUCT(C241,_Res1*_Cap1*_Cap2/(_Cap1+_Cap2)))</f>
        <v>1+0.115468128046025j</v>
      </c>
      <c r="AS256" s="136" t="str">
        <f t="shared" ref="AS256:AS264" si="241">IMPRODUCT(C241,(_Cap1+_Cap2))</f>
        <v>0.000181141347548003j</v>
      </c>
      <c r="AT256" s="136" t="str">
        <f t="shared" si="195"/>
        <v>-0.0000209160523131023+0.000181141347548003j</v>
      </c>
      <c r="AU256" s="179" t="str">
        <f t="shared" si="196"/>
        <v>314530.233226344-41838.7679831414j</v>
      </c>
      <c r="AV256" s="136" t="str">
        <f t="shared" ref="AV256:AV264" si="242">+IMDIV(1,IMSUM(IMDIV(1,_R3_T),IMDIV(1,AJ256),IMDIV(1,AK256)))</f>
        <v>834.605951404542-2445.46120744461j</v>
      </c>
      <c r="AW256" s="136"/>
      <c r="AX256" s="136" t="str">
        <f t="shared" ref="AX256:AX264" si="243">IMDIV(AV256,_R3_T)</f>
        <v>0.0521628719627839-0.152841325465288j</v>
      </c>
      <c r="AY256" s="136"/>
      <c r="AZ256" s="136" t="str">
        <f t="shared" ref="AZ256:AZ264" si="244">IMDIV(IMDIV(AU256,AJ256),IMPRODUCT(IMSUM(1,IMPRODUCT(C241,1/700000)),IMSUM(1,IMPRODUCT(C241,1/35000000))))</f>
        <v>21.6434100778044-1.55215477519369j</v>
      </c>
      <c r="BA256" s="136" t="str">
        <f t="shared" ref="BA256:BA264" si="245">IMPRODUCT(AX256, IMDIV(IMDIV(AU256,AJ256),IMPRODUCT(IMSUM(1,IMPRODUCT(C241,1/700000)),IMSUM(1,IMPRODUCT(C241,1/35000000)))))</f>
        <v>0.891749035558658-3.38897233468525j</v>
      </c>
      <c r="BB256" s="136">
        <f t="shared" si="197"/>
        <v>10.892107386347762</v>
      </c>
      <c r="BC256" s="136">
        <f t="shared" si="198"/>
        <v>104.74220636509982</v>
      </c>
      <c r="BD256" s="136" t="str">
        <f t="shared" ref="BD256:BD264" si="246">IMPRODUCT(BA256,Fm,V256)</f>
        <v>-0.0041372170037422+0.00763470267408583j</v>
      </c>
      <c r="BE256" s="136">
        <f t="shared" si="199"/>
        <v>-41.22598418968763</v>
      </c>
      <c r="BF256" s="136">
        <f t="shared" si="200"/>
        <v>-61.54690068228571</v>
      </c>
      <c r="BG256" s="136"/>
      <c r="BH256" s="136" t="str">
        <f t="shared" ref="BH256:BH264" si="247">IMDIV(BD256,IMSUM(1,X256))</f>
        <v>0.00474427636567464+0.00765242956724503j</v>
      </c>
      <c r="BI256" s="136">
        <f t="shared" si="201"/>
        <v>-40.911514169900997</v>
      </c>
      <c r="BJ256" s="136">
        <f t="shared" si="202"/>
        <v>-121.79766907969068</v>
      </c>
      <c r="BK256" s="136"/>
      <c r="BL256" s="136">
        <f t="shared" si="203"/>
        <v>41.911514169900997</v>
      </c>
      <c r="BM256" s="136">
        <f t="shared" si="204"/>
        <v>121.79766907969068</v>
      </c>
      <c r="BN256" s="136"/>
      <c r="BO256" s="189"/>
      <c r="BP256" s="189" t="str">
        <f t="shared" ref="BP256:BP264" si="248">IMSUM(1/_Rfb1,IMPRODUCT(C241,_Cfb1))</f>
        <v>0.00001+0.000361559575944117j</v>
      </c>
      <c r="BQ256" s="189" t="str">
        <f t="shared" ref="BQ256:BQ264" si="249">IMDIV(IMPRODUCT(C241,_Cap1),IMSUM(1,IMPRODUCT(C241,_Cap1,_Res1)))</f>
        <v>3.12406648657937E-06+5.40033146408461E-08j</v>
      </c>
      <c r="BR256" s="189" t="str">
        <f t="shared" ref="BR256:BR264" si="250">IMDIV(IMSUM(1/70000000,BQ256),IMSUB(BQ256,gm))</f>
        <v>-0.0851033746330268-0.0015890900480343j</v>
      </c>
      <c r="BS256" s="189" t="str">
        <f t="shared" ref="BS256:BS264" si="251">IMSUM(BP256,BQ256,1/_Rfb2)</f>
        <v>0.0000656240664865794+0.000361613579258758j</v>
      </c>
      <c r="BT256" s="189" t="str">
        <f t="shared" si="205"/>
        <v>-5.01019297511587E-06-0.0000308788184590132j</v>
      </c>
      <c r="BU256" s="189" t="str">
        <f t="shared" si="206"/>
        <v>-3.12406648657937E-06-5.40033146408461E-08j</v>
      </c>
      <c r="BV256" s="189" t="str">
        <f t="shared" si="207"/>
        <v>-8.13425946169524E-06-0.000030932821773654j</v>
      </c>
      <c r="BW256" s="189" t="str">
        <f t="shared" ref="BW256:BW264" si="252">IMDIV(1,IMSUM(1,IMPRODUCT(C241,1/6283185)))</f>
        <v>0.75124077526109-0.432293965775844j</v>
      </c>
      <c r="BX256" s="189" t="str">
        <f t="shared" si="208"/>
        <v>-0.00001-0.000361559575944117j</v>
      </c>
      <c r="BY256" s="189" t="str">
        <f t="shared" si="209"/>
        <v>9.38478935310377-2.82787389234328j</v>
      </c>
      <c r="BZ256" s="136">
        <f t="shared" si="210"/>
        <v>19.825929529895141</v>
      </c>
      <c r="CA256" s="136">
        <f t="shared" si="211"/>
        <v>163.23112011089628</v>
      </c>
      <c r="CB256" s="189" t="str">
        <f t="shared" ref="CB256:CB264" si="253">IMPRODUCT(BY256,Fm,V256)</f>
        <v>-0.0242534232618508+0.00129568277600305j</v>
      </c>
      <c r="CC256" s="136" t="str">
        <f t="shared" ref="CC256:CC264" si="254">IMDIV(CB256,IMSUM(1,X256))</f>
        <v>-0.0113119689714097+0.022499911477908j</v>
      </c>
      <c r="CD256" s="136">
        <f t="shared" si="212"/>
        <v>-31.977692026353605</v>
      </c>
      <c r="CE256" s="136">
        <f t="shared" si="213"/>
        <v>-63.30875533389424</v>
      </c>
      <c r="CF256" s="136"/>
      <c r="CG256" s="136">
        <f t="shared" si="214"/>
        <v>32.977692026353608</v>
      </c>
      <c r="CH256" s="136">
        <f t="shared" si="215"/>
        <v>63.30875533389424</v>
      </c>
      <c r="CI256" s="77"/>
      <c r="CJ256" s="189"/>
      <c r="CK256" s="189"/>
      <c r="CL256" s="189"/>
      <c r="CM256" s="77"/>
      <c r="CN256" s="189"/>
      <c r="CO256" s="189"/>
      <c r="CP256" s="189"/>
      <c r="CQ256" s="74"/>
      <c r="CR256" s="75"/>
      <c r="CS256" s="75"/>
      <c r="CT256" s="75"/>
      <c r="CU256" s="74"/>
      <c r="CV256" s="75"/>
      <c r="CW256" s="75"/>
      <c r="CX256" s="75"/>
      <c r="CY256" s="74"/>
      <c r="CZ256" s="75"/>
      <c r="DA256" s="75"/>
      <c r="DB256" s="75"/>
      <c r="DC256" s="74"/>
      <c r="DD256" s="75"/>
      <c r="DE256" s="75"/>
      <c r="DF256" s="75"/>
      <c r="DG256" s="74"/>
      <c r="DH256" s="75"/>
      <c r="DI256" s="75"/>
      <c r="DJ256" s="75"/>
      <c r="DK256" s="74"/>
      <c r="DL256" s="75"/>
      <c r="DM256" s="75"/>
      <c r="DN256" s="75"/>
      <c r="DO256" s="76"/>
    </row>
    <row r="257" spans="1:119" x14ac:dyDescent="0.25">
      <c r="A257" s="68"/>
      <c r="B257" s="68"/>
      <c r="C257" s="68"/>
      <c r="D257" s="68"/>
      <c r="E257" s="68"/>
      <c r="F257" s="68"/>
      <c r="G257" s="68"/>
      <c r="H257" s="68"/>
      <c r="I257" s="68"/>
      <c r="J257" s="68"/>
      <c r="K257" s="68"/>
      <c r="L257" s="68"/>
      <c r="M257" s="68"/>
      <c r="N257" s="68"/>
      <c r="O257" s="136" t="str">
        <f t="shared" si="228"/>
        <v>0.0000771540524835757-0.0644174702861702j</v>
      </c>
      <c r="P257" s="136" t="str">
        <f t="shared" si="229"/>
        <v>0.000545686815208001-0.455604897898257j</v>
      </c>
      <c r="Q257" s="136"/>
      <c r="R257" s="136">
        <f t="shared" si="230"/>
        <v>11.787819253438114</v>
      </c>
      <c r="S257" s="136" t="str">
        <f t="shared" si="231"/>
        <v>1+0.255695923307645j</v>
      </c>
      <c r="T257" s="136" t="str">
        <f t="shared" si="232"/>
        <v>-4414.34086854412+20.8108806678777j</v>
      </c>
      <c r="U257" s="136" t="str">
        <f t="shared" ref="U257:U264" si="255">IMDIV(S257,T257)</f>
        <v>-0.000226256282394143-0.0000589905772017987j</v>
      </c>
      <c r="V257" s="136" t="str">
        <f t="shared" ref="V257:V264" si="256">IMPRODUCT(R257,U257)</f>
        <v>-0.00266706816181701-0.00069537026171079j</v>
      </c>
      <c r="W257" s="136"/>
      <c r="X257" s="136" t="str">
        <f t="shared" si="233"/>
        <v>-0.521440632385785+0.913202171825081j</v>
      </c>
      <c r="Y257" s="136">
        <f t="shared" ref="Y257:Y264" si="257">20*LOG(IMABS(X257),10)</f>
        <v>0.43691721522362748</v>
      </c>
      <c r="Z257" s="136">
        <f t="shared" ref="Z257:Z264" si="258">IF((IMARGUMENT(X257)*(180/PI()))&lt;0,(IMARGUMENT(X257)*(180/PI()))+180,(IMARGUMENT(X257)*(180/PI()))-180)</f>
        <v>-60.273529337302563</v>
      </c>
      <c r="AA257" s="136"/>
      <c r="AB257" s="136" t="str">
        <f t="shared" si="234"/>
        <v>-0.00209665473992551-0.000546649454292875j</v>
      </c>
      <c r="AC257" s="136">
        <f t="shared" ref="AC257:AC264" si="259">20*LOG(IMABS(AB257),10)</f>
        <v>-53.283841321625346</v>
      </c>
      <c r="AD257" s="136">
        <f t="shared" ref="AD257:AD264" si="260">IF((IMARGUMENT(AB257)*(180/PI()))&lt;0,(IMARGUMENT(AB257)*(180/PI()))+180,(IMARGUMENT(AB257)*(180/PI()))-180)</f>
        <v>14.613096682258089</v>
      </c>
      <c r="AE257" s="136"/>
      <c r="AF257" s="136" t="str">
        <f t="shared" ref="AF257:AF264" si="261">IMDIV(AB257,IMSUM(1,X257))</f>
        <v>-0.0014135800852312+0.00155515699817811j</v>
      </c>
      <c r="AG257" s="136">
        <f t="shared" ref="AG257:AG264" si="262">20*LOG(IMABS(AF257),10)</f>
        <v>-53.548999407844548</v>
      </c>
      <c r="AH257" s="136">
        <f t="shared" ref="AH257:AH264" si="263">IF((IMARGUMENT(AF257)*(180/PI()))&lt;0,(IMARGUMENT(AF257)*(180/PI()))+180,(IMARGUMENT(AF257)*(180/PI()))-180)</f>
        <v>-47.730325489675209</v>
      </c>
      <c r="AI257" s="136"/>
      <c r="AJ257" s="136" t="str">
        <f t="shared" si="235"/>
        <v>66.5811065859456-2579.47235202092j</v>
      </c>
      <c r="AK257" s="136" t="str">
        <f t="shared" si="236"/>
        <v>18873.9229694564-1810.61492298593j</v>
      </c>
      <c r="AL257" s="136" t="str">
        <f t="shared" si="237"/>
        <v>10000-5735.9798611338j</v>
      </c>
      <c r="AM257" s="136" t="str">
        <f t="shared" si="238"/>
        <v>393.82495380326-2253.63999695523j</v>
      </c>
      <c r="AN257" s="136" t="str">
        <f t="shared" ref="AN257:AN264" si="264">IMSUM(10000,AM257)</f>
        <v>10393.8249538033-2253.63999695523j</v>
      </c>
      <c r="AO257" s="136" t="str">
        <f t="shared" ref="AO257:AO264" si="265">IMDIV(IMPRODUCT(AN257,AK257),IMSUM(AN257,AK257))</f>
        <v>6724.68633392159-1162.48789770865j</v>
      </c>
      <c r="AP257" s="136" t="str">
        <f t="shared" ref="AP257:AP264" si="266">IMDIV(AK257,IMSUM(AJ257,AK257))</f>
        <v>0.966707221156903+0.128471456593919j</v>
      </c>
      <c r="AQ257" s="136" t="str">
        <f t="shared" si="239"/>
        <v>1+61.986890498823j</v>
      </c>
      <c r="AR257" s="136" t="str">
        <f t="shared" si="240"/>
        <v>1+0.123726328340964j</v>
      </c>
      <c r="AS257" s="136" t="str">
        <f t="shared" si="241"/>
        <v>0.00019409645087444j</v>
      </c>
      <c r="AT257" s="136" t="str">
        <f t="shared" ref="AT257:AT264" si="267">IMPRODUCT(AR257,AS257)</f>
        <v>-0.0000240148412107068+0.00019409645087444j</v>
      </c>
      <c r="AU257" s="179" t="str">
        <f t="shared" ref="AU257:AU264" si="268">IMDIV(AQ257,AT257)</f>
        <v>313918.304242913-43992.0369025786j</v>
      </c>
      <c r="AV257" s="136" t="str">
        <f t="shared" si="242"/>
        <v>736.830474462184-2313.37948629301j</v>
      </c>
      <c r="AW257" s="136"/>
      <c r="AX257" s="136" t="str">
        <f t="shared" si="243"/>
        <v>0.0460519046538865-0.144586217893313j</v>
      </c>
      <c r="AY257" s="136"/>
      <c r="AZ257" s="136" t="str">
        <f t="shared" si="244"/>
        <v>21.609060641114-2.09232233872204j</v>
      </c>
      <c r="BA257" s="136" t="str">
        <f t="shared" si="245"/>
        <v>0.692617426735122-3.22072777917395j</v>
      </c>
      <c r="BB257" s="136">
        <f t="shared" ref="BB257:BB264" si="269">20*LOG(IMABS(BA257),10)</f>
        <v>10.355420529216609</v>
      </c>
      <c r="BC257" s="136">
        <f t="shared" ref="BC257:BC264" si="270">IF((IMARGUMENT(BA257)*(180/PI()))&lt;0,(IMARGUMENT(BA257)*(180/PI()))+180,(IMARGUMENT(BA257)*(180/PI()))-180)</f>
        <v>102.13661696021249</v>
      </c>
      <c r="BD257" s="136" t="str">
        <f t="shared" si="246"/>
        <v>-0.00321278869363055+0.00637413522585634j</v>
      </c>
      <c r="BE257" s="136">
        <f t="shared" ref="BE257:BE264" si="271">20*LOG(IMABS(BD257),10)</f>
        <v>-42.92842079240873</v>
      </c>
      <c r="BF257" s="136">
        <f t="shared" ref="BF257:BF264" si="272">IF((IMARGUMENT(BD257)*(180/PI()))&lt;0,(IMARGUMENT(BD257)*(180/PI()))+180,(IMARGUMENT(BD257)*(180/PI()))-180)</f>
        <v>-63.250286357529404</v>
      </c>
      <c r="BG257" s="136"/>
      <c r="BH257" s="136" t="str">
        <f t="shared" si="247"/>
        <v>0.00402966714389216+0.00562988548683844j</v>
      </c>
      <c r="BI257" s="136">
        <f t="shared" ref="BI257:BI264" si="273">20*LOG(IMABS(BH257),10)</f>
        <v>-43.193578878627946</v>
      </c>
      <c r="BJ257" s="136">
        <f t="shared" ref="BJ257:BJ264" si="274">IF((IMARGUMENT(BH257)*(180/PI()))&lt;0,(IMARGUMENT(BH257)*(180/PI()))+180,(IMARGUMENT(BH257)*(180/PI()))-180)</f>
        <v>-125.59370852946272</v>
      </c>
      <c r="BK257" s="136"/>
      <c r="BL257" s="136">
        <f t="shared" ref="BL257:BL264" si="275">1-BI257</f>
        <v>44.193578878627946</v>
      </c>
      <c r="BM257" s="136">
        <f t="shared" ref="BM257:BM264" si="276">+-1*BJ257</f>
        <v>125.59370852946272</v>
      </c>
      <c r="BN257" s="136"/>
      <c r="BO257" s="189"/>
      <c r="BP257" s="189" t="str">
        <f t="shared" si="248"/>
        <v>0.00001+0.000387418065617644j</v>
      </c>
      <c r="BQ257" s="189" t="str">
        <f t="shared" si="249"/>
        <v>3.12418691245836E-06+5.04007684095347E-08j</v>
      </c>
      <c r="BR257" s="189" t="str">
        <f t="shared" si="250"/>
        <v>-0.0851072183899451-0.00148309238588865j</v>
      </c>
      <c r="BS257" s="189" t="str">
        <f t="shared" si="251"/>
        <v>0.0000656241869124584+0.000387468466386054j</v>
      </c>
      <c r="BT257" s="189" t="str">
        <f t="shared" ref="BT257:BT264" si="277">IMPRODUCT(BR257,BS257)</f>
        <v>-5.01044047495207E-06-0.000033073690119875j</v>
      </c>
      <c r="BU257" s="189" t="str">
        <f t="shared" ref="BU257:BU264" si="278">IMPRODUCT(-1,BQ257)</f>
        <v>-3.12418691245836E-06-5.04007684095347E-08j</v>
      </c>
      <c r="BV257" s="189" t="str">
        <f t="shared" ref="BV257:BV264" si="279">IMSUM(BT257,BU257)</f>
        <v>-8.13462738741043E-06-0.0000331240908882845j</v>
      </c>
      <c r="BW257" s="189" t="str">
        <f t="shared" si="252"/>
        <v>0.72453822332769-0.446746669002517j</v>
      </c>
      <c r="BX257" s="189" t="str">
        <f t="shared" ref="BX257:BX264" si="280">IMPRODUCT(-1,BP257)</f>
        <v>-0.00001-0.000387418065617644j</v>
      </c>
      <c r="BY257" s="189" t="str">
        <f t="shared" ref="BY257:BY264" si="281">IMPRODUCT(BW257,IMDIV(BX257,BV257))</f>
        <v>9.12583037112729-3.20274096721083j</v>
      </c>
      <c r="BZ257" s="136">
        <f t="shared" ref="BZ257:BZ264" si="282">20*LOG(IMABS(BY257),10)</f>
        <v>19.709896103504143</v>
      </c>
      <c r="CA257" s="136">
        <f t="shared" ref="CA257:CA264" si="283">IF((IMARGUMENT(BY257)*(180/PI()))&lt;0,(IMARGUMENT(BY257)*(180/PI()))+180,(IMARGUMENT(BY257)*(180/PI()))-180)</f>
        <v>160.66130513056135</v>
      </c>
      <c r="CB257" s="189" t="str">
        <f t="shared" si="253"/>
        <v>-0.0208844921053475+0.00172641183731012j</v>
      </c>
      <c r="CC257" s="136" t="str">
        <f t="shared" si="254"/>
        <v>-0.00791932704531393+0.0187194298152483j</v>
      </c>
      <c r="CD257" s="136">
        <f t="shared" ref="CD257:CD264" si="284">20*LOG(IMABS(CC257),10)</f>
        <v>-33.839103304340405</v>
      </c>
      <c r="CE257" s="136">
        <f t="shared" ref="CE257:CE264" si="285">IF((IMARGUMENT(CC257)*(180/PI()))&lt;0,(IMARGUMENT(CC257)*(180/PI()))+180,(IMARGUMENT(CC257)*(180/PI()))-180)</f>
        <v>-67.069020359113907</v>
      </c>
      <c r="CF257" s="136"/>
      <c r="CG257" s="136">
        <f t="shared" ref="CG257:CG264" si="286">1-CD257</f>
        <v>34.839103304340405</v>
      </c>
      <c r="CH257" s="136">
        <f t="shared" ref="CH257:CH264" si="287">+-1*CE257</f>
        <v>67.069020359113907</v>
      </c>
      <c r="CI257" s="77"/>
      <c r="CJ257" s="189"/>
      <c r="CK257" s="189"/>
      <c r="CL257" s="189"/>
      <c r="CM257" s="77"/>
      <c r="CN257" s="189"/>
      <c r="CO257" s="189"/>
      <c r="CP257" s="189"/>
      <c r="CQ257" s="74"/>
      <c r="CR257" s="75"/>
      <c r="CS257" s="75"/>
      <c r="CT257" s="75"/>
      <c r="CU257" s="74"/>
      <c r="CV257" s="75"/>
      <c r="CW257" s="75"/>
      <c r="CX257" s="75"/>
      <c r="CY257" s="74"/>
      <c r="CZ257" s="75"/>
      <c r="DA257" s="75"/>
      <c r="DB257" s="75"/>
      <c r="DC257" s="74"/>
      <c r="DD257" s="75"/>
      <c r="DE257" s="75"/>
      <c r="DF257" s="75"/>
      <c r="DG257" s="74"/>
      <c r="DH257" s="75"/>
      <c r="DI257" s="75"/>
      <c r="DJ257" s="75"/>
      <c r="DK257" s="74"/>
      <c r="DL257" s="75"/>
      <c r="DM257" s="75"/>
      <c r="DN257" s="75"/>
      <c r="DO257" s="76"/>
    </row>
    <row r="258" spans="1:119" x14ac:dyDescent="0.25">
      <c r="O258" s="136" t="str">
        <f t="shared" si="228"/>
        <v>0.0000671888679478402-0.0601161677682478j</v>
      </c>
      <c r="P258" s="136" t="str">
        <f t="shared" si="229"/>
        <v>0.000475206138727357-0.42518311191688j</v>
      </c>
      <c r="Q258" s="136"/>
      <c r="R258" s="136">
        <f t="shared" si="230"/>
        <v>11.787819253438114</v>
      </c>
      <c r="S258" s="136" t="str">
        <f t="shared" si="231"/>
        <v>1+0.273983118094695j</v>
      </c>
      <c r="T258" s="136" t="str">
        <f t="shared" si="232"/>
        <v>-5068.48960836209+22.299260394627j</v>
      </c>
      <c r="U258" s="136" t="str">
        <f t="shared" si="255"/>
        <v>-0.000197055796101803-0.000054923130580157j</v>
      </c>
      <c r="V258" s="136" t="str">
        <f t="shared" si="256"/>
        <v>-0.00232285810729041-0.00064742393611187j</v>
      </c>
      <c r="W258" s="136"/>
      <c r="X258" s="136" t="str">
        <f t="shared" si="233"/>
        <v>-0.521442251032958+0.993428117254842j</v>
      </c>
      <c r="Y258" s="136">
        <f t="shared" si="257"/>
        <v>0.99957232884247604</v>
      </c>
      <c r="Z258" s="136">
        <f t="shared" si="258"/>
        <v>-62.305388280037945</v>
      </c>
      <c r="AA258" s="136"/>
      <c r="AB258" s="136" t="str">
        <f t="shared" si="234"/>
        <v>-0.00182606186469073-0.000508957545151528j</v>
      </c>
      <c r="AC258" s="136">
        <f t="shared" si="259"/>
        <v>-54.444775508803232</v>
      </c>
      <c r="AD258" s="136">
        <f t="shared" si="260"/>
        <v>15.574146626705897</v>
      </c>
      <c r="AE258" s="136"/>
      <c r="AF258" s="136" t="str">
        <f t="shared" si="261"/>
        <v>-0.00113452551092636+0.00129161422728985j</v>
      </c>
      <c r="AG258" s="136">
        <f t="shared" si="262"/>
        <v>-55.293814610796829</v>
      </c>
      <c r="AH258" s="136">
        <f t="shared" si="263"/>
        <v>-48.704639950404072</v>
      </c>
      <c r="AI258" s="136"/>
      <c r="AJ258" s="136" t="str">
        <f t="shared" si="235"/>
        <v>57.9947021646294-2407.51050485429j</v>
      </c>
      <c r="AK258" s="136" t="str">
        <f t="shared" si="236"/>
        <v>18848.458336423-1937.49125603996j</v>
      </c>
      <c r="AL258" s="136" t="str">
        <f t="shared" si="237"/>
        <v>10000-5353.12787468808j</v>
      </c>
      <c r="AM258" s="136" t="str">
        <f t="shared" si="238"/>
        <v>362.113244678011-2127.83396054709j</v>
      </c>
      <c r="AN258" s="136" t="str">
        <f t="shared" si="264"/>
        <v>10362.113244678-2127.83396054709j</v>
      </c>
      <c r="AO258" s="136" t="str">
        <f t="shared" si="265"/>
        <v>6702.06396893839-1127.56519708304j</v>
      </c>
      <c r="AP258" s="136" t="str">
        <f t="shared" si="266"/>
        <v>0.969290199671509+0.120280433548744j</v>
      </c>
      <c r="AQ258" s="136" t="str">
        <f t="shared" si="239"/>
        <v>1+66.4201498411382j</v>
      </c>
      <c r="AR258" s="136" t="str">
        <f t="shared" si="240"/>
        <v>1+0.132575149383509j</v>
      </c>
      <c r="AS258" s="136" t="str">
        <f t="shared" si="241"/>
        <v>0.000207978094190064j</v>
      </c>
      <c r="AT258" s="136" t="str">
        <f t="shared" si="267"/>
        <v>-0.0000275727269057452+0.000207978094190064j</v>
      </c>
      <c r="AU258" s="179" t="str">
        <f t="shared" si="268"/>
        <v>313218.645550855-46333.2074134445j</v>
      </c>
      <c r="AV258" s="136" t="str">
        <f t="shared" si="242"/>
        <v>649.471316141728-2184.93879517092j</v>
      </c>
      <c r="AW258" s="136"/>
      <c r="AX258" s="136" t="str">
        <f t="shared" si="243"/>
        <v>0.040591957258858-0.136558674698183j</v>
      </c>
      <c r="AY258" s="136"/>
      <c r="AZ258" s="136" t="str">
        <f t="shared" si="244"/>
        <v>21.5482983249274-2.64090453530662j</v>
      </c>
      <c r="BA258" s="136" t="str">
        <f t="shared" si="245"/>
        <v>0.514049181260682-3.04980654527505j</v>
      </c>
      <c r="BB258" s="136">
        <f t="shared" si="269"/>
        <v>9.8071069638278559</v>
      </c>
      <c r="BC258" s="136">
        <f t="shared" si="270"/>
        <v>99.567359013298272</v>
      </c>
      <c r="BD258" s="136" t="str">
        <f t="shared" si="246"/>
        <v>-0.00249090765894587+0.00530750621762935j</v>
      </c>
      <c r="BE258" s="136">
        <f t="shared" si="271"/>
        <v>-44.637668544975391</v>
      </c>
      <c r="BF258" s="136">
        <f t="shared" si="272"/>
        <v>-64.858494359995845</v>
      </c>
      <c r="BG258" s="136"/>
      <c r="BH258" s="136" t="str">
        <f t="shared" si="247"/>
        <v>0.00335597161434791+0.00412403656504773j</v>
      </c>
      <c r="BI258" s="136">
        <f t="shared" si="273"/>
        <v>-45.486707646968966</v>
      </c>
      <c r="BJ258" s="136">
        <f t="shared" si="274"/>
        <v>-129.13728093710577</v>
      </c>
      <c r="BK258" s="136"/>
      <c r="BL258" s="136">
        <f t="shared" si="275"/>
        <v>46.486707646968966</v>
      </c>
      <c r="BM258" s="136">
        <f t="shared" si="276"/>
        <v>129.13728093710577</v>
      </c>
      <c r="BN258" s="136"/>
      <c r="BO258" s="189"/>
      <c r="BP258" s="189" t="str">
        <f t="shared" si="248"/>
        <v>0.00001+0.000415125936507114j</v>
      </c>
      <c r="BQ258" s="189" t="str">
        <f t="shared" si="249"/>
        <v>0.0000031242918065791+4.70383131331635E-08j</v>
      </c>
      <c r="BR258" s="189" t="str">
        <f t="shared" si="250"/>
        <v>-0.0851105664463718-0.00138415702664974j</v>
      </c>
      <c r="BS258" s="189" t="str">
        <f t="shared" si="251"/>
        <v>0.0000656242918065791+0.000415172974820247j</v>
      </c>
      <c r="BT258" s="189" t="str">
        <f t="shared" si="277"/>
        <v>-5.01065605792742E-06-0.0000354264413847995j</v>
      </c>
      <c r="BU258" s="189" t="str">
        <f t="shared" si="278"/>
        <v>-0.0000031242918065791-4.70383131331635E-08j</v>
      </c>
      <c r="BV258" s="189" t="str">
        <f t="shared" si="279"/>
        <v>-8.13494786450652E-06-0.0000354734796979327j</v>
      </c>
      <c r="BW258" s="189" t="str">
        <f t="shared" si="252"/>
        <v>0.696128749746213-0.459927726412517j</v>
      </c>
      <c r="BX258" s="189" t="str">
        <f t="shared" si="280"/>
        <v>-0.00001-0.000415125936507114j</v>
      </c>
      <c r="BY258" s="189" t="str">
        <f t="shared" si="281"/>
        <v>8.83158368619766-3.553210563923j</v>
      </c>
      <c r="BZ258" s="136">
        <f t="shared" si="282"/>
        <v>19.572344848011159</v>
      </c>
      <c r="CA258" s="136">
        <f t="shared" si="283"/>
        <v>158.08360036581661</v>
      </c>
      <c r="CB258" s="189" t="str">
        <f t="shared" si="253"/>
        <v>-0.017935451500211+0.00199348115526858j</v>
      </c>
      <c r="CC258" s="136" t="str">
        <f t="shared" si="254"/>
        <v>-0.00543027967695278+0.0154382071690575j</v>
      </c>
      <c r="CD258" s="136">
        <f t="shared" si="284"/>
        <v>-35.721469762785674</v>
      </c>
      <c r="CE258" s="136">
        <f t="shared" si="285"/>
        <v>-70.621039584587379</v>
      </c>
      <c r="CF258" s="136"/>
      <c r="CG258" s="136">
        <f t="shared" si="286"/>
        <v>36.721469762785674</v>
      </c>
      <c r="CH258" s="136">
        <f t="shared" si="287"/>
        <v>70.621039584587379</v>
      </c>
      <c r="CI258" s="77"/>
      <c r="CJ258" s="189"/>
      <c r="CK258" s="189"/>
      <c r="CL258" s="189"/>
      <c r="CM258" s="77"/>
      <c r="CN258" s="189"/>
      <c r="CO258" s="189"/>
      <c r="CP258" s="189"/>
      <c r="CQ258" s="74"/>
      <c r="CR258" s="75"/>
      <c r="CS258" s="75"/>
      <c r="CT258" s="75"/>
      <c r="CU258" s="74"/>
      <c r="CV258" s="75"/>
      <c r="CW258" s="75"/>
      <c r="CX258" s="75"/>
      <c r="CY258" s="74"/>
      <c r="CZ258" s="75"/>
      <c r="DA258" s="75"/>
      <c r="DB258" s="75"/>
      <c r="DC258" s="74"/>
      <c r="DD258" s="75"/>
      <c r="DE258" s="75"/>
      <c r="DF258" s="75"/>
      <c r="DG258" s="74"/>
      <c r="DH258" s="75"/>
      <c r="DI258" s="75"/>
      <c r="DJ258" s="75"/>
      <c r="DK258" s="74"/>
      <c r="DL258" s="75"/>
      <c r="DM258" s="75"/>
      <c r="DN258" s="75"/>
      <c r="DO258" s="76"/>
    </row>
    <row r="259" spans="1:119" x14ac:dyDescent="0.25">
      <c r="O259" s="136" t="str">
        <f t="shared" si="228"/>
        <v>0.0000585118498548752-0.0561022794615678j</v>
      </c>
      <c r="P259" s="136" t="str">
        <f t="shared" si="229"/>
        <v>0.000413836266164147-0.396794117999301j</v>
      </c>
      <c r="Q259" s="136"/>
      <c r="R259" s="136">
        <f t="shared" si="230"/>
        <v>11.787819253438114</v>
      </c>
      <c r="S259" s="136" t="str">
        <f t="shared" si="231"/>
        <v>1+0.293578200347662j</v>
      </c>
      <c r="T259" s="136" t="str">
        <f t="shared" si="232"/>
        <v>-5819.5528529818+23.8940880053632j</v>
      </c>
      <c r="U259" s="136" t="str">
        <f t="shared" si="255"/>
        <v>-0.00017162448836882-0.0000511515263280234j</v>
      </c>
      <c r="V259" s="136" t="str">
        <f t="shared" si="256"/>
        <v>-0.00202307844835544-0.000602964946892221j</v>
      </c>
      <c r="W259" s="136"/>
      <c r="X259" s="136" t="str">
        <f t="shared" si="233"/>
        <v>-0.52144365762092+1.07839553780616j</v>
      </c>
      <c r="Y259" s="136">
        <f t="shared" si="257"/>
        <v>1.56803603637677</v>
      </c>
      <c r="Z259" s="136">
        <f t="shared" si="258"/>
        <v>-64.19453575316885</v>
      </c>
      <c r="AA259" s="136"/>
      <c r="AB259" s="136" t="str">
        <f t="shared" si="234"/>
        <v>-0.00159039693049907-0.00047400712588059j</v>
      </c>
      <c r="AC259" s="136">
        <f t="shared" si="259"/>
        <v>-55.600289438642243</v>
      </c>
      <c r="AD259" s="136">
        <f t="shared" si="260"/>
        <v>16.596334334125146</v>
      </c>
      <c r="AE259" s="136"/>
      <c r="AF259" s="136" t="str">
        <f t="shared" si="261"/>
        <v>-0.000914011901258012+0.00106917239335734j</v>
      </c>
      <c r="AG259" s="136">
        <f t="shared" si="262"/>
        <v>-57.036535491559206</v>
      </c>
      <c r="AH259" s="136">
        <f t="shared" si="263"/>
        <v>-49.473597575441801</v>
      </c>
      <c r="AI259" s="136"/>
      <c r="AJ259" s="136" t="str">
        <f t="shared" si="235"/>
        <v>50.5150542535385-2246.98768457854j</v>
      </c>
      <c r="AK259" s="136" t="str">
        <f t="shared" si="236"/>
        <v>18819.3056326818-2072.84826645482j</v>
      </c>
      <c r="AL259" s="136" t="str">
        <f t="shared" si="237"/>
        <v>10000-4995.82961176888j</v>
      </c>
      <c r="AM259" s="136" t="str">
        <f t="shared" si="238"/>
        <v>331.468327270652-2008.00922900837j</v>
      </c>
      <c r="AN259" s="136" t="str">
        <f t="shared" si="264"/>
        <v>10331.4683272707-2008.00922900837j</v>
      </c>
      <c r="AO259" s="136" t="str">
        <f t="shared" si="265"/>
        <v>6680.45708595254-1095.78264637584j</v>
      </c>
      <c r="AP259" s="136" t="str">
        <f t="shared" si="266"/>
        <v>0.971553394530046+0.112566147332561j</v>
      </c>
      <c r="AQ259" s="136" t="str">
        <f t="shared" si="239"/>
        <v>1+71.1704728115544j</v>
      </c>
      <c r="AR259" s="136" t="str">
        <f t="shared" si="240"/>
        <v>1+0.14205683195919j</v>
      </c>
      <c r="AS259" s="136" t="str">
        <f t="shared" si="241"/>
        <v>0.00022285254299118j</v>
      </c>
      <c r="AT259" s="136" t="str">
        <f t="shared" si="267"/>
        <v>-0.0000316577262513762+0.00022285254299118j</v>
      </c>
      <c r="AU259" s="179" t="str">
        <f t="shared" si="268"/>
        <v>312419.166177954-48868.5490969511j</v>
      </c>
      <c r="AV259" s="136" t="str">
        <f t="shared" si="242"/>
        <v>571.654337495098-2060.69066537989j</v>
      </c>
      <c r="AW259" s="136"/>
      <c r="AX259" s="136" t="str">
        <f t="shared" si="243"/>
        <v>0.0357283960934436-0.128793166586243j</v>
      </c>
      <c r="AY259" s="136"/>
      <c r="AZ259" s="136" t="str">
        <f t="shared" si="244"/>
        <v>21.4600878035635-3.19869497993843j</v>
      </c>
      <c r="BA259" s="136" t="str">
        <f t="shared" si="245"/>
        <v>0.354764461836005-2.87819690466511j</v>
      </c>
      <c r="BB259" s="136">
        <f t="shared" si="269"/>
        <v>9.2478955339199089</v>
      </c>
      <c r="BC259" s="136">
        <f t="shared" si="270"/>
        <v>97.026793570733062</v>
      </c>
      <c r="BD259" s="136" t="str">
        <f t="shared" si="246"/>
        <v>-0.00192850215365286+0.00440931463963187j</v>
      </c>
      <c r="BE259" s="136">
        <f t="shared" si="271"/>
        <v>-46.352393904722291</v>
      </c>
      <c r="BF259" s="136">
        <f t="shared" si="272"/>
        <v>-66.37687209514182</v>
      </c>
      <c r="BG259" s="136"/>
      <c r="BH259" s="136" t="str">
        <f t="shared" si="247"/>
        <v>0.00275302973285299+0.00301001059376722j</v>
      </c>
      <c r="BI259" s="136">
        <f t="shared" si="273"/>
        <v>-47.788639957639276</v>
      </c>
      <c r="BJ259" s="136">
        <f t="shared" si="274"/>
        <v>-132.44680400470875</v>
      </c>
      <c r="BK259" s="136"/>
      <c r="BL259" s="136">
        <f t="shared" si="275"/>
        <v>48.788639957639276</v>
      </c>
      <c r="BM259" s="136">
        <f t="shared" si="276"/>
        <v>132.44680400470875</v>
      </c>
      <c r="BN259" s="136"/>
      <c r="BO259" s="189"/>
      <c r="BP259" s="189" t="str">
        <f t="shared" si="248"/>
        <v>0.00001+0.000444815455072215j</v>
      </c>
      <c r="BQ259" s="189" t="str">
        <f t="shared" si="249"/>
        <v>3.12438317127815E-06+4.38999917782043E-08j</v>
      </c>
      <c r="BR259" s="189" t="str">
        <f t="shared" si="250"/>
        <v>-0.0851134826971551-0.00129181494617658j</v>
      </c>
      <c r="BS259" s="189" t="str">
        <f t="shared" si="251"/>
        <v>0.0000656243831712781+0.000444859355063993j</v>
      </c>
      <c r="BT259" s="189" t="str">
        <f t="shared" si="277"/>
        <v>-5.01084383774191E-06-0.000037948303578921j</v>
      </c>
      <c r="BU259" s="189" t="str">
        <f t="shared" si="278"/>
        <v>-3.12438317127815E-06-4.38999917782043E-08j</v>
      </c>
      <c r="BV259" s="189" t="str">
        <f t="shared" si="279"/>
        <v>-8.13522700902006E-06-0.0000379922035706992j</v>
      </c>
      <c r="BW259" s="189" t="str">
        <f t="shared" si="252"/>
        <v>0.666139402837453-0.471590605106606j</v>
      </c>
      <c r="BX259" s="189" t="str">
        <f t="shared" si="280"/>
        <v>-0.00001-0.000444815455072215j</v>
      </c>
      <c r="BY259" s="189" t="str">
        <f t="shared" si="281"/>
        <v>8.5049567524566-3.87559593613767j</v>
      </c>
      <c r="BZ259" s="136">
        <f t="shared" si="282"/>
        <v>19.412854474064019</v>
      </c>
      <c r="CA259" s="136">
        <f t="shared" si="283"/>
        <v>155.50187519497814</v>
      </c>
      <c r="CB259" s="189" t="str">
        <f t="shared" si="253"/>
        <v>-0.0153633172038975+0.00213232577471737j</v>
      </c>
      <c r="CC259" s="136" t="str">
        <f t="shared" si="254"/>
        <v>-0.00362995150870375+0.0126356057765218j</v>
      </c>
      <c r="CD259" s="136">
        <f t="shared" si="284"/>
        <v>-37.623681017495123</v>
      </c>
      <c r="CE259" s="136">
        <f t="shared" si="285"/>
        <v>-73.971722380463675</v>
      </c>
      <c r="CF259" s="136"/>
      <c r="CG259" s="136">
        <f t="shared" si="286"/>
        <v>38.623681017495123</v>
      </c>
      <c r="CH259" s="136">
        <f t="shared" si="287"/>
        <v>73.971722380463675</v>
      </c>
      <c r="CI259" s="77"/>
      <c r="CJ259" s="189"/>
      <c r="CK259" s="189"/>
      <c r="CL259" s="189"/>
      <c r="CM259" s="77"/>
      <c r="CN259" s="189"/>
      <c r="CO259" s="189"/>
      <c r="CP259" s="189"/>
      <c r="CQ259" s="74"/>
      <c r="CR259" s="75"/>
      <c r="CS259" s="75"/>
      <c r="CT259" s="75"/>
      <c r="CU259" s="74"/>
      <c r="CV259" s="75"/>
      <c r="CW259" s="75"/>
      <c r="CX259" s="75"/>
      <c r="CY259" s="74"/>
      <c r="CZ259" s="75"/>
      <c r="DA259" s="75"/>
      <c r="DB259" s="75"/>
      <c r="DC259" s="74"/>
      <c r="DD259" s="75"/>
      <c r="DE259" s="75"/>
      <c r="DF259" s="75"/>
      <c r="DG259" s="74"/>
      <c r="DH259" s="75"/>
      <c r="DI259" s="75"/>
      <c r="DJ259" s="75"/>
      <c r="DK259" s="74"/>
      <c r="DL259" s="75"/>
      <c r="DM259" s="75"/>
      <c r="DN259" s="75"/>
      <c r="DO259" s="76"/>
    </row>
    <row r="260" spans="1:119" x14ac:dyDescent="0.25">
      <c r="O260" s="136" t="str">
        <f t="shared" si="228"/>
        <v>0.0000509562235872323-0.052356561646314j</v>
      </c>
      <c r="P260" s="136" t="str">
        <f t="shared" si="229"/>
        <v>0.000360397652090445-0.370301811250944j</v>
      </c>
      <c r="Q260" s="136"/>
      <c r="R260" s="136">
        <f t="shared" si="230"/>
        <v>11.787819253438114</v>
      </c>
      <c r="S260" s="136" t="str">
        <f t="shared" si="231"/>
        <v>1+0.314574709269433j</v>
      </c>
      <c r="T260" s="136" t="str">
        <f t="shared" si="232"/>
        <v>-6681.88883726505+25.602976578793j</v>
      </c>
      <c r="U260" s="136" t="str">
        <f t="shared" si="255"/>
        <v>-0.000149475695452697-0.000047651456010982j</v>
      </c>
      <c r="V260" s="136" t="str">
        <f t="shared" si="256"/>
        <v>-0.00176199248077835-0.000561706750620613j</v>
      </c>
      <c r="W260" s="136"/>
      <c r="X260" s="136" t="str">
        <f t="shared" si="233"/>
        <v>-0.521444880284672+1.1685101766373j</v>
      </c>
      <c r="Y260" s="136">
        <f t="shared" si="257"/>
        <v>2.141337779569501</v>
      </c>
      <c r="Z260" s="136">
        <f t="shared" si="258"/>
        <v>-65.95129618426715</v>
      </c>
      <c r="AA260" s="136"/>
      <c r="AB260" s="136" t="str">
        <f t="shared" si="234"/>
        <v>-0.00138515015829974-0.000441572936904066j</v>
      </c>
      <c r="AC260" s="136">
        <f t="shared" si="259"/>
        <v>-56.749715245873475</v>
      </c>
      <c r="AD260" s="136">
        <f t="shared" si="260"/>
        <v>17.681795874320244</v>
      </c>
      <c r="AE260" s="136"/>
      <c r="AF260" s="136" t="str">
        <f t="shared" si="261"/>
        <v>-0.000739356638245115+0.000882600147086391j</v>
      </c>
      <c r="AG260" s="136">
        <f t="shared" si="262"/>
        <v>-58.775772638797868</v>
      </c>
      <c r="AH260" s="136">
        <f t="shared" si="263"/>
        <v>-50.046996425624968</v>
      </c>
      <c r="AI260" s="136"/>
      <c r="AJ260" s="136" t="str">
        <f t="shared" si="235"/>
        <v>43.9996410198406-2097.14761845088j</v>
      </c>
      <c r="AK260" s="136" t="str">
        <f t="shared" si="236"/>
        <v>18785.944864018-2217.1596211068j</v>
      </c>
      <c r="AL260" s="136" t="str">
        <f t="shared" si="237"/>
        <v>10000-4662.37947123228j</v>
      </c>
      <c r="AM260" s="136" t="str">
        <f t="shared" si="238"/>
        <v>302.113213635439-1893.82862749445j</v>
      </c>
      <c r="AN260" s="136" t="str">
        <f t="shared" si="264"/>
        <v>10302.1132136354-1893.82862749445j</v>
      </c>
      <c r="AO260" s="136" t="str">
        <f t="shared" si="265"/>
        <v>6659.8767276236-1067.10852130777j</v>
      </c>
      <c r="AP260" s="136" t="str">
        <f t="shared" si="266"/>
        <v>0.973534893503658+0.105309339460215j</v>
      </c>
      <c r="AQ260" s="136" t="str">
        <f t="shared" si="239"/>
        <v>1+76.2605355804686j</v>
      </c>
      <c r="AR260" s="136" t="str">
        <f t="shared" si="240"/>
        <v>1+0.152216637885167j</v>
      </c>
      <c r="AS260" s="136" t="str">
        <f t="shared" si="241"/>
        <v>0.000238790802036342j</v>
      </c>
      <c r="AT260" s="136" t="str">
        <f t="shared" si="267"/>
        <v>-0.0000363479330438745+0.000238790802036342j</v>
      </c>
      <c r="AU260" s="179" t="str">
        <f t="shared" si="268"/>
        <v>311506.259395458-51604.2014774862j</v>
      </c>
      <c r="AV260" s="136" t="str">
        <f t="shared" si="242"/>
        <v>502.52364732791-1941.04589397045j</v>
      </c>
      <c r="AW260" s="136"/>
      <c r="AX260" s="136" t="str">
        <f t="shared" si="243"/>
        <v>0.0314077279579944-0.121315368373153j</v>
      </c>
      <c r="AY260" s="136"/>
      <c r="AZ260" s="136" t="str">
        <f t="shared" si="244"/>
        <v>21.3430345688669-3.76640021535167j</v>
      </c>
      <c r="BA260" s="136" t="str">
        <f t="shared" si="245"/>
        <v>0.213413993970931-2.70753217426772j</v>
      </c>
      <c r="BB260" s="136">
        <f t="shared" si="269"/>
        <v>8.6783715889957964</v>
      </c>
      <c r="BC260" s="136">
        <f t="shared" si="270"/>
        <v>94.506868578192524</v>
      </c>
      <c r="BD260" s="136" t="str">
        <f t="shared" si="246"/>
        <v>-0.00149118336148586+0.00365610077569441j</v>
      </c>
      <c r="BE260" s="136">
        <f t="shared" si="271"/>
        <v>-48.071343656877652</v>
      </c>
      <c r="BF260" s="136">
        <f t="shared" si="272"/>
        <v>-67.811335547487317</v>
      </c>
      <c r="BG260" s="136"/>
      <c r="BH260" s="136" t="str">
        <f t="shared" si="247"/>
        <v>0.00223187924211302+0.00219019110877611j</v>
      </c>
      <c r="BI260" s="136">
        <f t="shared" si="273"/>
        <v>-50.097401049802059</v>
      </c>
      <c r="BJ260" s="136">
        <f t="shared" si="274"/>
        <v>-135.54012784743247</v>
      </c>
      <c r="BK260" s="136"/>
      <c r="BL260" s="136">
        <f t="shared" si="275"/>
        <v>51.097401049802059</v>
      </c>
      <c r="BM260" s="136">
        <f t="shared" si="276"/>
        <v>135.54012784743247</v>
      </c>
      <c r="BN260" s="136"/>
      <c r="BO260" s="189"/>
      <c r="BP260" s="189" t="str">
        <f t="shared" si="248"/>
        <v>0.00001+0.000476628347377929j</v>
      </c>
      <c r="BQ260" s="189" t="str">
        <f t="shared" si="249"/>
        <v>3.12446275095837E-06+4.09708996557137E-08j</v>
      </c>
      <c r="BR260" s="189" t="str">
        <f t="shared" si="250"/>
        <v>-0.0851160228089271-0.00120562798543273j</v>
      </c>
      <c r="BS260" s="189" t="str">
        <f t="shared" si="251"/>
        <v>0.0000656244627509584+0.000476669318277585j</v>
      </c>
      <c r="BT260" s="189" t="str">
        <f t="shared" si="277"/>
        <v>-5.01100739842156E-06-0.0000406513152556522j</v>
      </c>
      <c r="BU260" s="189" t="str">
        <f t="shared" si="278"/>
        <v>-3.12446275095837E-06-4.09708996557137E-08j</v>
      </c>
      <c r="BV260" s="189" t="str">
        <f t="shared" si="279"/>
        <v>-8.13547014937993E-06-0.0000406922861553079j</v>
      </c>
      <c r="BW260" s="189" t="str">
        <f t="shared" si="252"/>
        <v>0.634743312382981-0.4815020662137j</v>
      </c>
      <c r="BX260" s="189" t="str">
        <f t="shared" si="280"/>
        <v>-0.00001-0.000476628347377929j</v>
      </c>
      <c r="BY260" s="189" t="str">
        <f t="shared" si="281"/>
        <v>8.14941479513436-4.16653037763713j</v>
      </c>
      <c r="BZ260" s="136">
        <f t="shared" si="282"/>
        <v>19.23103741097956</v>
      </c>
      <c r="CA260" s="136">
        <f t="shared" si="283"/>
        <v>152.9208187981657</v>
      </c>
      <c r="CB260" s="189" t="str">
        <f t="shared" si="253"/>
        <v>-0.0131279902490839+0.00217270918700784j</v>
      </c>
      <c r="CC260" s="136" t="str">
        <f t="shared" si="254"/>
        <v>-0.0023479436024531+0.0102732265900096j</v>
      </c>
      <c r="CD260" s="136">
        <f t="shared" si="284"/>
        <v>-39.544735227818258</v>
      </c>
      <c r="CE260" s="136">
        <f t="shared" si="285"/>
        <v>-77.126177627459342</v>
      </c>
      <c r="CF260" s="136"/>
      <c r="CG260" s="136">
        <f t="shared" si="286"/>
        <v>40.544735227818258</v>
      </c>
      <c r="CH260" s="136">
        <f t="shared" si="287"/>
        <v>77.126177627459342</v>
      </c>
      <c r="CI260" s="77"/>
      <c r="CJ260" s="189"/>
      <c r="CK260" s="189"/>
      <c r="CL260" s="189"/>
      <c r="CM260" s="77"/>
      <c r="CN260" s="189"/>
      <c r="CO260" s="189"/>
      <c r="CP260" s="189"/>
      <c r="CQ260" s="74"/>
      <c r="CR260" s="75"/>
      <c r="CS260" s="75"/>
      <c r="CT260" s="75"/>
      <c r="CU260" s="74"/>
      <c r="CV260" s="75"/>
      <c r="CW260" s="75"/>
      <c r="CX260" s="75"/>
      <c r="CY260" s="74"/>
      <c r="CZ260" s="75"/>
      <c r="DA260" s="75"/>
      <c r="DB260" s="75"/>
      <c r="DC260" s="74"/>
      <c r="DD260" s="75"/>
      <c r="DE260" s="75"/>
      <c r="DF260" s="75"/>
      <c r="DG260" s="74"/>
      <c r="DH260" s="75"/>
      <c r="DI260" s="75"/>
      <c r="DJ260" s="75"/>
      <c r="DK260" s="74"/>
      <c r="DL260" s="75"/>
      <c r="DM260" s="75"/>
      <c r="DN260" s="75"/>
      <c r="DO260" s="76"/>
    </row>
    <row r="261" spans="1:119" x14ac:dyDescent="0.25">
      <c r="O261" s="136" t="str">
        <f t="shared" si="228"/>
        <v>0.0000443768684093128-0.0488610662847973j</v>
      </c>
      <c r="P261" s="136" t="str">
        <f t="shared" si="229"/>
        <v>0.000313863902305552-0.34557925073727j</v>
      </c>
      <c r="Q261" s="136"/>
      <c r="R261" s="136">
        <f t="shared" si="230"/>
        <v>11.787819253438114</v>
      </c>
      <c r="S261" s="136" t="str">
        <f t="shared" si="231"/>
        <v>1+0.337072873921706j</v>
      </c>
      <c r="T261" s="136" t="str">
        <f t="shared" si="232"/>
        <v>-7671.98302056698+27.4340836757231j</v>
      </c>
      <c r="U261" s="136" t="str">
        <f t="shared" si="255"/>
        <v>-0.000130185623996392-0.0000444010885204781j</v>
      </c>
      <c r="V261" s="136" t="str">
        <f t="shared" si="256"/>
        <v>-0.00153460460506552-0.000523392006135302j</v>
      </c>
      <c r="W261" s="136"/>
      <c r="X261" s="136" t="str">
        <f t="shared" si="233"/>
        <v>-0.52144594334237+1.26420232107706j</v>
      </c>
      <c r="Y261" s="136">
        <f t="shared" si="257"/>
        <v>2.7186793755727621</v>
      </c>
      <c r="Z261" s="136">
        <f t="shared" si="258"/>
        <v>-67.585305506186586</v>
      </c>
      <c r="AA261" s="136"/>
      <c r="AB261" s="136" t="str">
        <f t="shared" si="234"/>
        <v>-0.0012063943716122-0.000411452675343359j</v>
      </c>
      <c r="AC261" s="136">
        <f t="shared" si="259"/>
        <v>-57.89231982897477</v>
      </c>
      <c r="AD261" s="136">
        <f t="shared" si="260"/>
        <v>18.832447817115764</v>
      </c>
      <c r="AE261" s="136"/>
      <c r="AF261" s="136" t="str">
        <f t="shared" si="261"/>
        <v>-0.00060063016519577+0.000726909256679656j</v>
      </c>
      <c r="AG261" s="136">
        <f t="shared" si="262"/>
        <v>-60.51023178135793</v>
      </c>
      <c r="AH261" s="136">
        <f t="shared" si="263"/>
        <v>-50.433777904623497</v>
      </c>
      <c r="AI261" s="136"/>
      <c r="AJ261" s="136" t="str">
        <f t="shared" si="235"/>
        <v>38.3242611807021-1957.28316016747j</v>
      </c>
      <c r="AK261" s="136" t="str">
        <f t="shared" si="236"/>
        <v>18747.7871395972-2370.9037916483j</v>
      </c>
      <c r="AL261" s="136" t="str">
        <f t="shared" si="237"/>
        <v>10000-4351.18569347511j</v>
      </c>
      <c r="AM261" s="136" t="str">
        <f t="shared" si="238"/>
        <v>274.229191869938-1785.01635228613j</v>
      </c>
      <c r="AN261" s="136" t="str">
        <f t="shared" si="264"/>
        <v>10274.2291918699-1785.01635228613j</v>
      </c>
      <c r="AO261" s="136" t="str">
        <f t="shared" si="265"/>
        <v>6640.32181078327-1041.54267021802j</v>
      </c>
      <c r="AP261" s="136" t="str">
        <f t="shared" si="266"/>
        <v>0.975268607570502+0.0984898380873685j</v>
      </c>
      <c r="AQ261" s="136" t="str">
        <f t="shared" si="239"/>
        <v>1+81.7146361022317j</v>
      </c>
      <c r="AR261" s="136" t="str">
        <f t="shared" si="240"/>
        <v>1+0.163103066072319j</v>
      </c>
      <c r="AS261" s="136" t="str">
        <f t="shared" si="241"/>
        <v>0.000255868954295113j</v>
      </c>
      <c r="AT261" s="136" t="str">
        <f t="shared" si="267"/>
        <v>-0.000041733010958251+0.000255868954295113j</v>
      </c>
      <c r="AU261" s="179" t="str">
        <f t="shared" si="268"/>
        <v>310464.659480248-54545.9884912088j</v>
      </c>
      <c r="AV261" s="136" t="str">
        <f t="shared" si="242"/>
        <v>441.256395209683-1826.29240686261j</v>
      </c>
      <c r="AW261" s="136"/>
      <c r="AX261" s="136" t="str">
        <f t="shared" si="243"/>
        <v>0.0275785247006052-0.114143275428913j</v>
      </c>
      <c r="AY261" s="136"/>
      <c r="AZ261" s="136" t="str">
        <f t="shared" si="244"/>
        <v>21.1953782093548-4.3445777091554j</v>
      </c>
      <c r="BA261" s="136" t="str">
        <f t="shared" si="245"/>
        <v>0.0886329314069198-2.53912693643601j</v>
      </c>
      <c r="BB261" s="136">
        <f t="shared" si="269"/>
        <v>8.0989768612073103</v>
      </c>
      <c r="BC261" s="136">
        <f t="shared" si="270"/>
        <v>91.999203630045699</v>
      </c>
      <c r="BD261" s="136" t="str">
        <f t="shared" si="246"/>
        <v>-0.00115165684062178+0.00302672018817443j</v>
      </c>
      <c r="BE261" s="136">
        <f t="shared" si="271"/>
        <v>-49.793342967767458</v>
      </c>
      <c r="BF261" s="136">
        <f t="shared" si="272"/>
        <v>-69.168348552838552</v>
      </c>
      <c r="BG261" s="136"/>
      <c r="BH261" s="136" t="str">
        <f t="shared" si="247"/>
        <v>0.00179247926174727+0.00158950432957093j</v>
      </c>
      <c r="BI261" s="136">
        <f t="shared" si="273"/>
        <v>-52.411254920150618</v>
      </c>
      <c r="BJ261" s="136">
        <f t="shared" si="274"/>
        <v>-138.43457427457787</v>
      </c>
      <c r="BK261" s="136"/>
      <c r="BL261" s="136">
        <f t="shared" si="275"/>
        <v>53.411254920150618</v>
      </c>
      <c r="BM261" s="136">
        <f t="shared" si="276"/>
        <v>138.43457427457787</v>
      </c>
      <c r="BN261" s="136"/>
      <c r="BO261" s="189"/>
      <c r="BP261" s="189" t="str">
        <f t="shared" si="248"/>
        <v>0.00001+0.000510716475638948j</v>
      </c>
      <c r="BQ261" s="189" t="str">
        <f t="shared" si="249"/>
        <v>3.12453206526537E-06+3.82371165595883E-08j</v>
      </c>
      <c r="BR261" s="189" t="str">
        <f t="shared" si="250"/>
        <v>-0.085118235277848-0.00112518687265717j</v>
      </c>
      <c r="BS261" s="189" t="str">
        <f t="shared" si="251"/>
        <v>0.0000656245320652654+0.000510754712755508j</v>
      </c>
      <c r="BT261" s="189" t="str">
        <f t="shared" si="277"/>
        <v>-5.01114986238966E-06-0.0000435483796715971j</v>
      </c>
      <c r="BU261" s="189" t="str">
        <f t="shared" si="278"/>
        <v>-3.12453206526537E-06-3.82371165595883E-08j</v>
      </c>
      <c r="BV261" s="189" t="str">
        <f t="shared" si="279"/>
        <v>-8.13568192765503E-06-0.0000435866167881567j</v>
      </c>
      <c r="BW261" s="189" t="str">
        <f t="shared" si="252"/>
        <v>0.602158069750581-0.48945247857666j</v>
      </c>
      <c r="BX261" s="189" t="str">
        <f t="shared" si="280"/>
        <v>-0.00001-0.000510716475638948j</v>
      </c>
      <c r="BY261" s="189" t="str">
        <f t="shared" si="281"/>
        <v>7.76895199905735-4.42308482235212j</v>
      </c>
      <c r="BZ261" s="136">
        <f t="shared" si="282"/>
        <v>19.02657075612851</v>
      </c>
      <c r="CA261" s="136">
        <f t="shared" si="283"/>
        <v>150.34591284975389</v>
      </c>
      <c r="CB261" s="189" t="str">
        <f t="shared" si="253"/>
        <v>-0.0111923100484155+0.00213942855022267j</v>
      </c>
      <c r="CC261" s="136" t="str">
        <f t="shared" si="254"/>
        <v>-0.00145108562214477+0.00830396129033895j</v>
      </c>
      <c r="CD261" s="136">
        <f t="shared" si="284"/>
        <v>-41.483661025229431</v>
      </c>
      <c r="CE261" s="136">
        <f t="shared" si="285"/>
        <v>-80.087865054869638</v>
      </c>
      <c r="CF261" s="136"/>
      <c r="CG261" s="136">
        <f t="shared" si="286"/>
        <v>42.483661025229431</v>
      </c>
      <c r="CH261" s="136">
        <f t="shared" si="287"/>
        <v>80.087865054869638</v>
      </c>
      <c r="CI261" s="77"/>
      <c r="CJ261" s="189"/>
      <c r="CK261" s="189"/>
      <c r="CL261" s="189"/>
      <c r="CM261" s="77"/>
      <c r="CN261" s="189"/>
      <c r="CO261" s="189"/>
      <c r="CP261" s="189"/>
      <c r="CQ261" s="74"/>
      <c r="CR261" s="75"/>
      <c r="CS261" s="75"/>
      <c r="CT261" s="75"/>
      <c r="CU261" s="74"/>
      <c r="CV261" s="75"/>
      <c r="CW261" s="75"/>
      <c r="CX261" s="75"/>
      <c r="CY261" s="74"/>
      <c r="CZ261" s="75"/>
      <c r="DA261" s="75"/>
      <c r="DB261" s="75"/>
      <c r="DC261" s="74"/>
      <c r="DD261" s="75"/>
      <c r="DE261" s="75"/>
      <c r="DF261" s="75"/>
      <c r="DG261" s="74"/>
      <c r="DH261" s="75"/>
      <c r="DI261" s="75"/>
      <c r="DJ261" s="75"/>
      <c r="DK261" s="74"/>
      <c r="DL261" s="75"/>
      <c r="DM261" s="75"/>
      <c r="DN261" s="75"/>
      <c r="DO261" s="76"/>
    </row>
    <row r="262" spans="1:119" x14ac:dyDescent="0.25">
      <c r="O262" s="136" t="str">
        <f t="shared" si="228"/>
        <v>0.0000386474909794863-0.0455990524335646j</v>
      </c>
      <c r="P262" s="136" t="str">
        <f t="shared" si="229"/>
        <v>0.000273341782959039-0.322508032928944j</v>
      </c>
      <c r="Q262" s="136"/>
      <c r="R262" s="136">
        <f t="shared" si="230"/>
        <v>11.787819253438114</v>
      </c>
      <c r="S262" s="136" t="str">
        <f t="shared" si="231"/>
        <v>1+0.361180091679028j</v>
      </c>
      <c r="T262" s="136" t="str">
        <f t="shared" si="232"/>
        <v>-8808.76324274803+29.396150280041j</v>
      </c>
      <c r="U262" s="136" t="str">
        <f t="shared" si="255"/>
        <v>-0.000113385220818565-0.0000413807444501177j</v>
      </c>
      <c r="V262" s="136" t="str">
        <f t="shared" si="256"/>
        <v>-0.00133656448902041-0.0004877887361507j</v>
      </c>
      <c r="W262" s="136"/>
      <c r="X262" s="136" t="str">
        <f t="shared" si="233"/>
        <v>-0.521446867832867+1.36592886163331j</v>
      </c>
      <c r="Y262" s="136">
        <f t="shared" si="257"/>
        <v>3.2994035583736778</v>
      </c>
      <c r="Z262" s="136">
        <f t="shared" si="258"/>
        <v>-69.105515007696596</v>
      </c>
      <c r="AA262" s="136"/>
      <c r="AB262" s="136" t="str">
        <f t="shared" si="234"/>
        <v>-0.00105070965610853-0.000383463977551995j</v>
      </c>
      <c r="AC262" s="136">
        <f t="shared" si="259"/>
        <v>-59.0273039987038</v>
      </c>
      <c r="AD262" s="136">
        <f t="shared" si="260"/>
        <v>20.049914467276153</v>
      </c>
      <c r="AE262" s="136"/>
      <c r="AF262" s="136" t="str">
        <f t="shared" si="261"/>
        <v>-0.000490078901629934+0.000597528089236322j</v>
      </c>
      <c r="AG262" s="136">
        <f t="shared" si="262"/>
        <v>-62.238677313408445</v>
      </c>
      <c r="AH262" s="136">
        <f t="shared" si="263"/>
        <v>-50.642177872566549</v>
      </c>
      <c r="AI262" s="136"/>
      <c r="AJ262" s="136" t="str">
        <f t="shared" si="235"/>
        <v>33.380686850457-1826.7332631753j</v>
      </c>
      <c r="AK262" s="136" t="str">
        <f t="shared" si="236"/>
        <v>18704.1669254362-2534.55830948963j</v>
      </c>
      <c r="AL262" s="136" t="str">
        <f t="shared" si="237"/>
        <v>10000-4060.76276200201j</v>
      </c>
      <c r="AM262" s="136" t="str">
        <f t="shared" si="238"/>
        <v>247.953402892146-1681.34565085036j</v>
      </c>
      <c r="AN262" s="136" t="str">
        <f t="shared" si="264"/>
        <v>10247.9534028921-1681.34565085036j</v>
      </c>
      <c r="AO262" s="136" t="str">
        <f t="shared" si="265"/>
        <v>6621.77540482499-1019.11140452365j</v>
      </c>
      <c r="AP262" s="136" t="str">
        <f t="shared" si="266"/>
        <v>0.976784641253766+0.0920869876049047j</v>
      </c>
      <c r="AQ262" s="136" t="str">
        <f t="shared" si="239"/>
        <v>1+87.5588101040069j</v>
      </c>
      <c r="AR262" s="136" t="str">
        <f t="shared" si="240"/>
        <v>1+0.174768084039934j</v>
      </c>
      <c r="AS262" s="136" t="str">
        <f t="shared" si="241"/>
        <v>0.000274168524138172j</v>
      </c>
      <c r="AT262" s="136" t="str">
        <f t="shared" si="267"/>
        <v>-0.0000479159076676847+0.000274168524138172j</v>
      </c>
      <c r="AU262" s="179" t="str">
        <f t="shared" si="268"/>
        <v>309277.300056513-57699.1928703176j</v>
      </c>
      <c r="AV262" s="136" t="str">
        <f t="shared" si="242"/>
        <v>387.073157321114-1716.61283621275j</v>
      </c>
      <c r="AW262" s="136"/>
      <c r="AX262" s="136" t="str">
        <f t="shared" si="243"/>
        <v>0.0241920723325696-0.107288302263297j</v>
      </c>
      <c r="AY262" s="136"/>
      <c r="AZ262" s="136" t="str">
        <f t="shared" si="244"/>
        <v>21.0149902647537-4.93356833318857j</v>
      </c>
      <c r="BA262" s="136" t="str">
        <f t="shared" si="245"/>
        <v>-0.0209180060145983-2.37401586955931j</v>
      </c>
      <c r="BB262" s="136">
        <f t="shared" si="269"/>
        <v>7.5100095187214801</v>
      </c>
      <c r="BC262" s="136">
        <f t="shared" si="270"/>
        <v>89.495166624359769</v>
      </c>
      <c r="BD262" s="136" t="str">
        <f t="shared" si="246"/>
        <v>-0.000888370817206697+0.00250242269968967j</v>
      </c>
      <c r="BE262" s="136">
        <f t="shared" si="271"/>
        <v>-51.517294479982318</v>
      </c>
      <c r="BF262" s="136">
        <f t="shared" si="272"/>
        <v>-70.454918908364093</v>
      </c>
      <c r="BG262" s="136"/>
      <c r="BH262" s="136" t="str">
        <f t="shared" si="247"/>
        <v>0.0014287926397664+0.00115095599364112j</v>
      </c>
      <c r="BI262" s="136">
        <f t="shared" si="273"/>
        <v>-54.72866779468697</v>
      </c>
      <c r="BJ262" s="136">
        <f t="shared" si="274"/>
        <v>-141.14701124820678</v>
      </c>
      <c r="BK262" s="136"/>
      <c r="BL262" s="136">
        <f t="shared" si="275"/>
        <v>55.72866779468697</v>
      </c>
      <c r="BM262" s="136">
        <f t="shared" si="276"/>
        <v>141.14701124820678</v>
      </c>
      <c r="BN262" s="136"/>
      <c r="BO262" s="189"/>
      <c r="BP262" s="189" t="str">
        <f t="shared" si="248"/>
        <v>0.00001+0.000547242563150043j</v>
      </c>
      <c r="BQ262" s="189" t="str">
        <f t="shared" si="249"/>
        <v>3.12459243800884E-06+3.56856429900919E-08j</v>
      </c>
      <c r="BR262" s="189" t="str">
        <f t="shared" si="250"/>
        <v>-0.0851201623518344-0.00105010936217967j</v>
      </c>
      <c r="BS262" s="189" t="str">
        <f t="shared" si="251"/>
        <v>0.0000656245924380088+0.000547278248793033j</v>
      </c>
      <c r="BT262" s="189" t="str">
        <f t="shared" si="277"/>
        <v>-5.01127394982141E-06-0.000046653326387799j</v>
      </c>
      <c r="BU262" s="189" t="str">
        <f t="shared" si="278"/>
        <v>-3.12459243800884E-06-3.56856429900919E-08j</v>
      </c>
      <c r="BV262" s="189" t="str">
        <f t="shared" si="279"/>
        <v>-8.13586638783025E-06-0.0000466890120307891j</v>
      </c>
      <c r="BW262" s="189" t="str">
        <f t="shared" si="252"/>
        <v>0.568641367899788-0.495265951396667j</v>
      </c>
      <c r="BX262" s="189" t="str">
        <f t="shared" si="280"/>
        <v>-0.00001-0.000547242563150043j</v>
      </c>
      <c r="BY262" s="189" t="str">
        <f t="shared" si="281"/>
        <v>7.3680289827694-4.64288520120817j</v>
      </c>
      <c r="BZ262" s="136">
        <f t="shared" si="282"/>
        <v>18.799225699437919</v>
      </c>
      <c r="CA262" s="136">
        <f t="shared" si="283"/>
        <v>147.7833558497141</v>
      </c>
      <c r="CB262" s="189" t="str">
        <f t="shared" si="253"/>
        <v>-0.0095220384252559+0.00205295061266168j</v>
      </c>
      <c r="CC262" s="136" t="str">
        <f t="shared" si="254"/>
        <v>-0.000836661228231639+0.00667798435931402j</v>
      </c>
      <c r="CD262" s="136">
        <f t="shared" si="284"/>
        <v>-43.439451613970512</v>
      </c>
      <c r="CE262" s="136">
        <f t="shared" si="285"/>
        <v>-82.858822022852394</v>
      </c>
      <c r="CF262" s="136"/>
      <c r="CG262" s="136">
        <f t="shared" si="286"/>
        <v>44.439451613970512</v>
      </c>
      <c r="CH262" s="136">
        <f t="shared" si="287"/>
        <v>82.858822022852394</v>
      </c>
      <c r="CI262" s="77"/>
      <c r="CJ262" s="189"/>
      <c r="CK262" s="189"/>
      <c r="CL262" s="189"/>
      <c r="CM262" s="77"/>
      <c r="CN262" s="189"/>
      <c r="CO262" s="189"/>
      <c r="CP262" s="189"/>
      <c r="CQ262" s="74"/>
      <c r="CR262" s="75"/>
      <c r="CS262" s="75"/>
      <c r="CT262" s="75"/>
      <c r="CU262" s="74"/>
      <c r="CV262" s="75"/>
      <c r="CW262" s="75"/>
      <c r="CX262" s="75"/>
      <c r="CY262" s="74"/>
      <c r="CZ262" s="75"/>
      <c r="DA262" s="75"/>
      <c r="DB262" s="75"/>
      <c r="DC262" s="74"/>
      <c r="DD262" s="75"/>
      <c r="DE262" s="75"/>
      <c r="DF262" s="75"/>
      <c r="DG262" s="74"/>
      <c r="DH262" s="75"/>
      <c r="DI262" s="75"/>
      <c r="DJ262" s="75"/>
      <c r="DK262" s="74"/>
      <c r="DL262" s="75"/>
      <c r="DM262" s="75"/>
      <c r="DN262" s="75"/>
      <c r="DO262" s="76"/>
    </row>
    <row r="263" spans="1:119" x14ac:dyDescent="0.25">
      <c r="O263" s="136" t="str">
        <f t="shared" si="228"/>
        <v>0.0000336581714006314-0.0425549039631598j</v>
      </c>
      <c r="P263" s="136" t="str">
        <f t="shared" si="229"/>
        <v>0.00023805386452313-0.300977709759087j</v>
      </c>
      <c r="Q263" s="136"/>
      <c r="R263" s="136">
        <f t="shared" si="230"/>
        <v>11.787819253438114</v>
      </c>
      <c r="S263" s="136" t="str">
        <f t="shared" si="231"/>
        <v>1+0.387011440901568j</v>
      </c>
      <c r="T263" s="136" t="str">
        <f t="shared" si="232"/>
        <v>-10113.9615716913+31.4985425247299j</v>
      </c>
      <c r="U263" s="136" t="str">
        <f t="shared" si="255"/>
        <v>-0.0000987530960580547-0.000038572622283749j</v>
      </c>
      <c r="V263" s="136" t="str">
        <f t="shared" si="256"/>
        <v>-0.00116408364704976-0.000454687099611972j</v>
      </c>
      <c r="W263" s="136"/>
      <c r="X263" s="136" t="str">
        <f t="shared" si="233"/>
        <v>-0.521447671973039+1.4741754770604j</v>
      </c>
      <c r="Y263" s="136">
        <f t="shared" si="257"/>
        <v>3.8829680536114326</v>
      </c>
      <c r="Z263" s="136">
        <f t="shared" si="258"/>
        <v>-70.520214242938792</v>
      </c>
      <c r="AA263" s="136"/>
      <c r="AB263" s="136" t="str">
        <f t="shared" si="234"/>
        <v>-0.000915117780339696-0.000357441881775885j</v>
      </c>
      <c r="AC263" s="136">
        <f t="shared" si="259"/>
        <v>-60.153803241836961</v>
      </c>
      <c r="AD263" s="136">
        <f t="shared" si="260"/>
        <v>21.335446856230817</v>
      </c>
      <c r="AE263" s="136"/>
      <c r="AF263" s="136" t="str">
        <f t="shared" si="261"/>
        <v>-0.000401657449115025+0.000490378305870239j</v>
      </c>
      <c r="AG263" s="136">
        <f t="shared" si="262"/>
        <v>-63.959905115046681</v>
      </c>
      <c r="AH263" s="136">
        <f t="shared" si="263"/>
        <v>-50.679893278103833</v>
      </c>
      <c r="AI263" s="136"/>
      <c r="AJ263" s="136" t="str">
        <f t="shared" si="235"/>
        <v>29.0746151923506-1704.88010897731j</v>
      </c>
      <c r="AK263" s="136" t="str">
        <f t="shared" si="236"/>
        <v>18654.3338689874-2708.59244404169j</v>
      </c>
      <c r="AL263" s="136" t="str">
        <f t="shared" si="237"/>
        <v>10000-3789.72431215463j</v>
      </c>
      <c r="AM263" s="136" t="str">
        <f t="shared" si="238"/>
        <v>223.378926095404-1582.6269811478j</v>
      </c>
      <c r="AN263" s="136" t="str">
        <f t="shared" si="264"/>
        <v>10223.3789260954-1582.6269811478j</v>
      </c>
      <c r="AO263" s="136" t="str">
        <f t="shared" si="265"/>
        <v>6604.20242730107-999.862332213314j</v>
      </c>
      <c r="AP263" s="136" t="str">
        <f t="shared" si="266"/>
        <v>0.978109652753658+0.0860799925019746j</v>
      </c>
      <c r="AQ263" s="136" t="str">
        <f t="shared" si="239"/>
        <v>1+93.8209553700771j</v>
      </c>
      <c r="AR263" s="136" t="str">
        <f t="shared" si="240"/>
        <v>1+0.187267375988178j</v>
      </c>
      <c r="AS263" s="136" t="str">
        <f t="shared" si="241"/>
        <v>0.000293776866502554j</v>
      </c>
      <c r="AT263" s="136" t="str">
        <f t="shared" si="267"/>
        <v>-0.0000550148229159626+0.000293776866502554j</v>
      </c>
      <c r="AU263" s="179" t="str">
        <f t="shared" si="268"/>
        <v>307925.180057618-61068.2844630307j</v>
      </c>
      <c r="AV263" s="136" t="str">
        <f t="shared" si="242"/>
        <v>339.244638266201-1612.10116975866j</v>
      </c>
      <c r="AW263" s="136"/>
      <c r="AX263" s="136" t="str">
        <f t="shared" si="243"/>
        <v>0.0212027898916376-0.100756323109916j</v>
      </c>
      <c r="AY263" s="136"/>
      <c r="AZ263" s="136" t="str">
        <f t="shared" si="244"/>
        <v>20.7993782448143-5.5334222318271j</v>
      </c>
      <c r="BA263" s="136" t="str">
        <f t="shared" si="245"/>
        <v>-0.116522431492068-2.21299286388301j</v>
      </c>
      <c r="BB263" s="136">
        <f t="shared" si="269"/>
        <v>6.9116240776671223</v>
      </c>
      <c r="BC263" s="136">
        <f t="shared" si="270"/>
        <v>86.985944188648176</v>
      </c>
      <c r="BD263" s="136" t="str">
        <f t="shared" si="246"/>
        <v>-0.000684384584756143+0.00206679911468583j</v>
      </c>
      <c r="BE263" s="136">
        <f t="shared" si="271"/>
        <v>-53.242179164169855</v>
      </c>
      <c r="BF263" s="136">
        <f t="shared" si="272"/>
        <v>-71.678608955120964</v>
      </c>
      <c r="BG263" s="136"/>
      <c r="BH263" s="136" t="str">
        <f t="shared" si="247"/>
        <v>0.00113200579409166+0.000831724996066041j</v>
      </c>
      <c r="BI263" s="136">
        <f t="shared" si="273"/>
        <v>-57.048281037379589</v>
      </c>
      <c r="BJ263" s="136">
        <f t="shared" si="274"/>
        <v>-143.69394908945563</v>
      </c>
      <c r="BK263" s="136"/>
      <c r="BL263" s="136">
        <f t="shared" si="275"/>
        <v>58.048281037379589</v>
      </c>
      <c r="BM263" s="136">
        <f t="shared" si="276"/>
        <v>143.69394908945563</v>
      </c>
      <c r="BN263" s="136"/>
      <c r="BO263" s="189"/>
      <c r="BP263" s="189" t="str">
        <f t="shared" si="248"/>
        <v>0.00001+0.000586380971062982j</v>
      </c>
      <c r="BQ263" s="189" t="str">
        <f t="shared" si="249"/>
        <v>3.12464502237116E-06+3.33043402728739E-08j</v>
      </c>
      <c r="BR263" s="189" t="str">
        <f t="shared" si="250"/>
        <v>-0.0851218408345076-0.000980038484961145j</v>
      </c>
      <c r="BS263" s="189" t="str">
        <f t="shared" si="251"/>
        <v>0.0000656246450223712+0.000586414275403255j</v>
      </c>
      <c r="BT263" s="189" t="str">
        <f t="shared" si="277"/>
        <v>-5.01138203038955E-06-0.0000499809772916428j</v>
      </c>
      <c r="BU263" s="189" t="str">
        <f t="shared" si="278"/>
        <v>-3.12464502237116E-06-3.33043402728739E-08j</v>
      </c>
      <c r="BV263" s="189" t="str">
        <f t="shared" si="279"/>
        <v>-8.13602705276071E-06-0.0000500142816319157j</v>
      </c>
      <c r="BW263" s="189" t="str">
        <f t="shared" si="252"/>
        <v>0.534483920398527-0.498809441805133j</v>
      </c>
      <c r="BX263" s="189" t="str">
        <f t="shared" si="280"/>
        <v>-0.00001-0.000586380971062982j</v>
      </c>
      <c r="BY263" s="189" t="str">
        <f t="shared" si="281"/>
        <v>6.95147594417273-4.82421820036079j</v>
      </c>
      <c r="BZ263" s="136">
        <f t="shared" si="282"/>
        <v>18.548893601783924</v>
      </c>
      <c r="CA263" s="136">
        <f t="shared" si="283"/>
        <v>145.23994225616548</v>
      </c>
      <c r="CB263" s="189" t="str">
        <f t="shared" si="253"/>
        <v>-0.00808579686775058+0.00192997920878363j</v>
      </c>
      <c r="CC263" s="136" t="str">
        <f t="shared" si="254"/>
        <v>-0.000426420147079582+0.00534653617313234j</v>
      </c>
      <c r="CD263" s="136">
        <f t="shared" si="284"/>
        <v>-45.41101151326275</v>
      </c>
      <c r="CE263" s="136">
        <f t="shared" si="285"/>
        <v>-85.439951021938384</v>
      </c>
      <c r="CF263" s="136"/>
      <c r="CG263" s="136">
        <f t="shared" si="286"/>
        <v>46.41101151326275</v>
      </c>
      <c r="CH263" s="136">
        <f t="shared" si="287"/>
        <v>85.439951021938384</v>
      </c>
      <c r="CI263" s="77"/>
      <c r="CJ263" s="189"/>
      <c r="CK263" s="189"/>
      <c r="CL263" s="189"/>
      <c r="CM263" s="77"/>
      <c r="CN263" s="189"/>
      <c r="CO263" s="189"/>
      <c r="CP263" s="189"/>
      <c r="CQ263" s="74"/>
      <c r="CR263" s="75"/>
      <c r="CS263" s="75"/>
      <c r="CT263" s="75"/>
      <c r="CU263" s="74"/>
      <c r="CV263" s="75"/>
      <c r="CW263" s="75"/>
      <c r="CX263" s="75"/>
      <c r="CY263" s="74"/>
      <c r="CZ263" s="75"/>
      <c r="DA263" s="75"/>
      <c r="DB263" s="75"/>
      <c r="DC263" s="74"/>
      <c r="DD263" s="75"/>
      <c r="DE263" s="75"/>
      <c r="DF263" s="75"/>
      <c r="DG263" s="74"/>
      <c r="DH263" s="75"/>
      <c r="DI263" s="75"/>
      <c r="DJ263" s="75"/>
      <c r="DK263" s="74"/>
      <c r="DL263" s="75"/>
      <c r="DM263" s="75"/>
      <c r="DN263" s="75"/>
      <c r="DO263" s="76"/>
    </row>
    <row r="264" spans="1:119" x14ac:dyDescent="0.25">
      <c r="O264" s="136" t="str">
        <f t="shared" si="228"/>
        <v>0.0000293132318474729-0.0397140530904944j</v>
      </c>
      <c r="P264" s="136" t="str">
        <f t="shared" si="229"/>
        <v>0.000207323447251282-0.280885247791316j</v>
      </c>
      <c r="Q264" s="136"/>
      <c r="R264" s="136">
        <f t="shared" si="230"/>
        <v>11.787819253438114</v>
      </c>
      <c r="S264" s="136" t="str">
        <f t="shared" si="231"/>
        <v>1+0.414690230273853j</v>
      </c>
      <c r="T264" s="136" t="str">
        <f t="shared" si="232"/>
        <v>-11612.5297598392+33.7512964020958j</v>
      </c>
      <c r="U264" s="136" t="str">
        <f t="shared" si="255"/>
        <v>-0.0000860093627220667-0.0000359605672841973j</v>
      </c>
      <c r="V264" s="136" t="str">
        <f t="shared" si="256"/>
        <v>-0.00101386282187112-0.000423896667397218j</v>
      </c>
      <c r="W264" s="136"/>
      <c r="X264" s="136" t="str">
        <f t="shared" si="233"/>
        <v>-0.521448371547798+1.58945895609098j</v>
      </c>
      <c r="Y264" s="136">
        <f t="shared" si="257"/>
        <v>4.4689243759013459</v>
      </c>
      <c r="Z264" s="136">
        <f t="shared" si="258"/>
        <v>-71.837065137163734</v>
      </c>
      <c r="AA264" s="136"/>
      <c r="AB264" s="136" t="str">
        <f t="shared" si="234"/>
        <v>-0.000797025108522961-0.000333236686508796j</v>
      </c>
      <c r="AC264" s="136">
        <f t="shared" si="259"/>
        <v>-61.270890532078617</v>
      </c>
      <c r="AD264" s="136">
        <f t="shared" si="260"/>
        <v>22.689834659665024</v>
      </c>
      <c r="AE264" s="136"/>
      <c r="AF264" s="136" t="str">
        <f t="shared" si="261"/>
        <v>-0.000330654907380732+0.000401891260980529j</v>
      </c>
      <c r="AG264" s="136">
        <f t="shared" si="262"/>
        <v>-65.672723571702704</v>
      </c>
      <c r="AH264" s="136">
        <f t="shared" si="263"/>
        <v>-50.554256245250286</v>
      </c>
      <c r="AI264" s="136"/>
      <c r="AJ264" s="136" t="str">
        <f t="shared" si="235"/>
        <v>25.323881296516-1591.14638883029j</v>
      </c>
      <c r="AK264" s="136" t="str">
        <f t="shared" si="236"/>
        <v>18597.4443289362-2893.45801230972j</v>
      </c>
      <c r="AL264" s="136" t="str">
        <f t="shared" si="237"/>
        <v>10000-3536.77651315322j</v>
      </c>
      <c r="AM264" s="136" t="str">
        <f t="shared" si="238"/>
        <v>200.55701239055-1488.69725792815j</v>
      </c>
      <c r="AN264" s="136" t="str">
        <f t="shared" si="264"/>
        <v>10200.5570123906-1488.69725792815j</v>
      </c>
      <c r="AO264" s="136" t="str">
        <f t="shared" si="265"/>
        <v>6587.54859299964-983.859493369118j</v>
      </c>
      <c r="AP264" s="136" t="str">
        <f t="shared" si="266"/>
        <v>0.979267197134873+0.0804481886334262j</v>
      </c>
      <c r="AQ264" s="136" t="str">
        <f t="shared" si="239"/>
        <v>1+100.530964914873j</v>
      </c>
      <c r="AR264" s="136" t="str">
        <f t="shared" si="240"/>
        <v>1+0.200660608612522j</v>
      </c>
      <c r="AS264" s="136" t="str">
        <f t="shared" si="241"/>
        <v>0.000314787583889697j</v>
      </c>
      <c r="AT264" s="136" t="str">
        <f t="shared" si="267"/>
        <v>-0.0000631654681669719+0.000314787583889697j</v>
      </c>
      <c r="AU264" s="179" t="str">
        <f t="shared" si="268"/>
        <v>306387.245438228-64656.5965118447j</v>
      </c>
      <c r="AV264" s="136" t="str">
        <f t="shared" si="242"/>
        <v>297.095393541121-1512.77806550254j</v>
      </c>
      <c r="AW264" s="136"/>
      <c r="AX264" s="136" t="str">
        <f t="shared" si="243"/>
        <v>0.0185684620963201-0.0945486290939087j</v>
      </c>
      <c r="AY264" s="136"/>
      <c r="AZ264" s="136" t="str">
        <f t="shared" si="244"/>
        <v>20.5456980287858-6.14381722830638j</v>
      </c>
      <c r="BA264" s="136" t="str">
        <f t="shared" si="245"/>
        <v>-0.199387481249958-2.05664881972965j</v>
      </c>
      <c r="BB264" s="136">
        <f t="shared" si="269"/>
        <v>6.3038309414556437</v>
      </c>
      <c r="BC264" s="136">
        <f t="shared" si="270"/>
        <v>84.462608069010273</v>
      </c>
      <c r="BD264" s="136" t="str">
        <f t="shared" si="246"/>
        <v>-0.000526434009117566+0.00170564397232172j</v>
      </c>
      <c r="BE264" s="136">
        <f t="shared" si="271"/>
        <v>-54.967059590622938</v>
      </c>
      <c r="BF264" s="136">
        <f t="shared" si="272"/>
        <v>-72.847557271324803</v>
      </c>
      <c r="BG264" s="136"/>
      <c r="BH264" s="136" t="str">
        <f t="shared" si="247"/>
        <v>0.000892477636700852+0.000599908938739121j</v>
      </c>
      <c r="BI264" s="136">
        <f t="shared" si="273"/>
        <v>-59.368892630247039</v>
      </c>
      <c r="BJ264" s="136">
        <f t="shared" si="274"/>
        <v>-146.0916481762402</v>
      </c>
      <c r="BK264" s="136"/>
      <c r="BL264" s="136">
        <f t="shared" si="275"/>
        <v>60.368892630247039</v>
      </c>
      <c r="BM264" s="136">
        <f t="shared" si="276"/>
        <v>146.0916481762402</v>
      </c>
      <c r="BN264" s="136"/>
      <c r="BO264" s="189"/>
      <c r="BP264" s="189" t="str">
        <f t="shared" si="248"/>
        <v>0.00001+0.000628318530717959j</v>
      </c>
      <c r="BQ264" s="189" t="str">
        <f t="shared" si="249"/>
        <v>3.12469082287825E-06+3.10818743809348E-08j</v>
      </c>
      <c r="BR264" s="189" t="str">
        <f t="shared" si="250"/>
        <v>-0.0851233027859653-0.000914640905734935j</v>
      </c>
      <c r="BS264" s="189" t="str">
        <f t="shared" si="251"/>
        <v>0.0000656246908228783+0.00062834961259234j</v>
      </c>
      <c r="BT264" s="189" t="str">
        <f t="shared" si="277"/>
        <v>-5.01147616837157E-06-0.0000535472173547946j</v>
      </c>
      <c r="BU264" s="189" t="str">
        <f t="shared" si="278"/>
        <v>-3.12469082287825E-06-3.10818743809348E-08j</v>
      </c>
      <c r="BV264" s="189" t="str">
        <f t="shared" si="279"/>
        <v>-8.13616699124982E-06-0.0000535782992291755j</v>
      </c>
      <c r="BW264" s="189" t="str">
        <f t="shared" si="252"/>
        <v>0.499999975555426-0.499999999999999j</v>
      </c>
      <c r="BX264" s="189" t="str">
        <f t="shared" si="280"/>
        <v>-0.00001-0.000628318530717959j</v>
      </c>
      <c r="BY264" s="189" t="str">
        <f t="shared" si="281"/>
        <v>6.52436504672205-4.96611399410826j</v>
      </c>
      <c r="BZ264" s="136">
        <f t="shared" si="282"/>
        <v>18.275607047370379</v>
      </c>
      <c r="CA264" s="136">
        <f t="shared" si="283"/>
        <v>142.72290297549634</v>
      </c>
      <c r="CB264" s="189" t="str">
        <f t="shared" si="253"/>
        <v>-0.00685497413162865+0.00178395975534807j</v>
      </c>
      <c r="CC264" s="136" t="str">
        <f t="shared" si="254"/>
        <v>-0.000161475504976738+0.00426415525848843j</v>
      </c>
      <c r="CD264" s="136">
        <f t="shared" si="284"/>
        <v>-47.397116524332333</v>
      </c>
      <c r="CE264" s="136">
        <f t="shared" si="285"/>
        <v>-87.831353269754047</v>
      </c>
      <c r="CF264" s="136"/>
      <c r="CG264" s="136">
        <f t="shared" si="286"/>
        <v>48.397116524332333</v>
      </c>
      <c r="CH264" s="136">
        <f t="shared" si="287"/>
        <v>87.831353269754047</v>
      </c>
      <c r="CI264" s="77"/>
      <c r="CJ264" s="189"/>
      <c r="CK264" s="189"/>
      <c r="CL264" s="189"/>
      <c r="CM264" s="77"/>
      <c r="CN264" s="189"/>
      <c r="CO264" s="189"/>
      <c r="CP264" s="189"/>
      <c r="CQ264" s="74"/>
      <c r="CR264" s="75"/>
      <c r="CS264" s="75"/>
      <c r="CT264" s="75"/>
      <c r="CU264" s="74"/>
      <c r="CV264" s="75"/>
      <c r="CW264" s="75"/>
      <c r="CX264" s="75"/>
      <c r="CY264" s="74"/>
      <c r="CZ264" s="75"/>
      <c r="DA264" s="75"/>
      <c r="DB264" s="75"/>
      <c r="DC264" s="74"/>
      <c r="DD264" s="75"/>
      <c r="DE264" s="75"/>
      <c r="DF264" s="75"/>
      <c r="DG264" s="74"/>
      <c r="DH264" s="75"/>
      <c r="DI264" s="75"/>
      <c r="DJ264" s="75"/>
      <c r="DK264" s="74"/>
      <c r="DL264" s="75"/>
      <c r="DM264" s="75"/>
      <c r="DN264" s="75"/>
      <c r="DO264" s="76"/>
    </row>
    <row r="265" spans="1:119" x14ac:dyDescent="0.25">
      <c r="O265" s="68"/>
      <c r="P265" s="68"/>
      <c r="Q265" s="68"/>
      <c r="R265" s="68"/>
      <c r="S265" s="68"/>
      <c r="T265" s="68"/>
      <c r="U265" s="68"/>
      <c r="V265" s="68"/>
      <c r="W265" s="68"/>
      <c r="X265" s="68"/>
      <c r="Y265" s="68"/>
      <c r="Z265" s="68"/>
      <c r="AA265" s="68"/>
      <c r="AB265" s="68"/>
      <c r="AC265" s="68"/>
      <c r="AD265" s="68"/>
      <c r="AE265" s="68"/>
      <c r="AF265" s="68"/>
      <c r="AG265" s="68"/>
      <c r="AH265" s="68"/>
      <c r="AI265" s="68"/>
      <c r="AJ265" s="68"/>
      <c r="AK265" s="68"/>
      <c r="AL265" s="68"/>
      <c r="AM265" s="68"/>
      <c r="AN265" s="68"/>
      <c r="AO265" s="68"/>
      <c r="AP265" s="68"/>
      <c r="AQ265" s="68"/>
      <c r="AR265" s="68"/>
      <c r="AS265" s="68"/>
      <c r="AT265" s="68"/>
      <c r="AU265" s="71"/>
      <c r="AV265" s="68"/>
      <c r="AW265" s="68"/>
      <c r="AX265" s="68"/>
      <c r="AY265" s="68"/>
      <c r="AZ265" s="68"/>
      <c r="BA265" s="68"/>
      <c r="BB265" s="68"/>
      <c r="BC265" s="68"/>
      <c r="BD265" s="68"/>
      <c r="BE265" s="68"/>
      <c r="BF265" s="68"/>
      <c r="BG265" s="68"/>
      <c r="BH265" s="68"/>
      <c r="BI265" s="68"/>
      <c r="BJ265" s="68"/>
      <c r="BK265" s="123"/>
      <c r="BL265" s="123"/>
      <c r="BM265" s="123"/>
      <c r="BN265" s="122"/>
      <c r="BO265" s="123"/>
      <c r="BP265" s="123"/>
      <c r="BQ265" s="123"/>
      <c r="BR265" s="123"/>
      <c r="BS265" s="123"/>
      <c r="BT265" s="123"/>
      <c r="BU265" s="123"/>
      <c r="BV265" s="123"/>
      <c r="BW265" s="123"/>
      <c r="BX265" s="123"/>
      <c r="BY265" s="123"/>
      <c r="BZ265" s="123"/>
      <c r="CA265" s="122"/>
      <c r="CB265" s="75"/>
      <c r="CC265" s="75"/>
      <c r="CD265" s="75"/>
      <c r="CE265" s="74"/>
      <c r="CF265" s="75"/>
      <c r="CG265" s="75"/>
      <c r="CH265" s="75"/>
      <c r="CI265" s="74"/>
      <c r="CJ265" s="75"/>
      <c r="CK265" s="75"/>
      <c r="CL265" s="75"/>
      <c r="CM265" s="74"/>
      <c r="CN265" s="75"/>
      <c r="CO265" s="75"/>
      <c r="CP265" s="75"/>
      <c r="CQ265" s="74"/>
      <c r="CR265" s="75"/>
      <c r="CS265" s="75"/>
      <c r="CT265" s="75"/>
      <c r="CU265" s="74"/>
      <c r="CV265" s="75"/>
      <c r="CW265" s="75"/>
      <c r="CX265" s="75"/>
      <c r="CY265" s="74"/>
      <c r="CZ265" s="75"/>
      <c r="DA265" s="75"/>
      <c r="DB265" s="75"/>
      <c r="DC265" s="74"/>
      <c r="DD265" s="75"/>
      <c r="DE265" s="75"/>
      <c r="DF265" s="75"/>
      <c r="DG265" s="74"/>
      <c r="DH265" s="75"/>
      <c r="DI265" s="75"/>
      <c r="DJ265" s="75"/>
      <c r="DK265" s="76"/>
    </row>
    <row r="266" spans="1:119" x14ac:dyDescent="0.25">
      <c r="O266" s="68"/>
      <c r="P266" s="68"/>
      <c r="Q266" s="68"/>
      <c r="R266" s="68"/>
      <c r="S266" s="68"/>
      <c r="T266" s="68"/>
      <c r="U266" s="68"/>
      <c r="V266" s="68"/>
      <c r="W266" s="68"/>
      <c r="X266" s="68"/>
      <c r="Y266" s="68"/>
      <c r="Z266" s="68"/>
      <c r="AA266" s="68"/>
      <c r="AB266" s="68"/>
      <c r="AC266" s="68"/>
      <c r="AD266" s="68"/>
      <c r="AE266" s="68"/>
      <c r="AF266" s="68"/>
      <c r="AG266" s="68"/>
      <c r="AH266" s="68"/>
      <c r="AI266" s="68"/>
      <c r="AJ266" s="68"/>
      <c r="AK266" s="68"/>
      <c r="AL266" s="68"/>
      <c r="AM266" s="68"/>
      <c r="AN266" s="68"/>
      <c r="AO266" s="68"/>
      <c r="AP266" s="68"/>
      <c r="AQ266" s="68"/>
      <c r="AR266" s="68"/>
      <c r="AS266" s="68"/>
      <c r="AT266" s="68"/>
      <c r="AU266" s="71"/>
      <c r="AV266" s="68"/>
      <c r="AW266" s="68"/>
      <c r="AX266" s="68"/>
      <c r="AY266" s="68"/>
      <c r="AZ266" s="68"/>
      <c r="BA266" s="68"/>
      <c r="BB266" s="68"/>
      <c r="BC266" s="68"/>
      <c r="BD266" s="68"/>
      <c r="BE266" s="68"/>
      <c r="BF266" s="68"/>
      <c r="BG266" s="68"/>
      <c r="BH266" s="68"/>
      <c r="BI266" s="68"/>
      <c r="BJ266" s="68"/>
      <c r="BK266" s="75"/>
      <c r="BL266" s="75"/>
      <c r="BM266" s="75"/>
      <c r="BN266" s="74"/>
      <c r="BO266" s="75"/>
      <c r="BP266" s="75"/>
      <c r="BQ266" s="75"/>
      <c r="BR266" s="75"/>
      <c r="BS266" s="75"/>
      <c r="BT266" s="75"/>
      <c r="BU266" s="75"/>
      <c r="BV266" s="75"/>
      <c r="BW266" s="75"/>
      <c r="BX266" s="75"/>
      <c r="BY266" s="75"/>
      <c r="BZ266" s="75"/>
      <c r="CA266" s="74"/>
      <c r="CB266" s="75"/>
      <c r="CC266" s="75"/>
      <c r="CD266" s="75"/>
      <c r="CE266" s="74"/>
      <c r="CF266" s="75"/>
      <c r="CG266" s="75"/>
      <c r="CH266" s="75"/>
      <c r="CI266" s="74"/>
      <c r="CJ266" s="75"/>
      <c r="CK266" s="75"/>
      <c r="CL266" s="75"/>
      <c r="CM266" s="74"/>
      <c r="CN266" s="75"/>
      <c r="CO266" s="75"/>
      <c r="CP266" s="75"/>
      <c r="CQ266" s="74"/>
      <c r="CR266" s="75"/>
      <c r="CS266" s="75"/>
      <c r="CT266" s="75"/>
      <c r="CU266" s="74"/>
      <c r="CV266" s="75"/>
      <c r="CW266" s="75"/>
      <c r="CX266" s="75"/>
      <c r="CY266" s="74"/>
      <c r="CZ266" s="75"/>
      <c r="DA266" s="75"/>
      <c r="DB266" s="75"/>
      <c r="DC266" s="74"/>
      <c r="DD266" s="75"/>
      <c r="DE266" s="75"/>
      <c r="DF266" s="75"/>
      <c r="DG266" s="74"/>
      <c r="DH266" s="75"/>
      <c r="DI266" s="75"/>
      <c r="DJ266" s="75"/>
      <c r="DK266" s="76"/>
    </row>
    <row r="267" spans="1:119" x14ac:dyDescent="0.25">
      <c r="O267" s="68"/>
      <c r="P267" s="68"/>
      <c r="Q267" s="68"/>
      <c r="R267" s="68"/>
      <c r="S267" s="68"/>
      <c r="T267" s="68"/>
      <c r="U267" s="68"/>
      <c r="V267" s="68"/>
      <c r="W267" s="68"/>
      <c r="X267" s="68"/>
      <c r="Y267" s="68"/>
      <c r="Z267" s="68"/>
      <c r="AA267" s="68"/>
      <c r="AB267" s="68"/>
      <c r="AC267" s="68"/>
      <c r="AD267" s="68"/>
      <c r="AE267" s="68"/>
      <c r="AF267" s="68"/>
      <c r="AG267" s="68"/>
      <c r="AH267" s="68"/>
      <c r="AI267" s="68"/>
      <c r="AJ267" s="68"/>
      <c r="AK267" s="68"/>
      <c r="AL267" s="68"/>
      <c r="AM267" s="68"/>
      <c r="AN267" s="68"/>
      <c r="AO267" s="68"/>
      <c r="AP267" s="68"/>
      <c r="AQ267" s="68"/>
      <c r="AR267" s="68"/>
      <c r="AS267" s="68"/>
      <c r="AT267" s="68"/>
      <c r="AU267" s="71"/>
      <c r="AV267" s="68"/>
      <c r="AW267" s="68"/>
      <c r="AX267" s="68"/>
      <c r="AY267" s="68"/>
      <c r="AZ267" s="68"/>
      <c r="BA267" s="68"/>
      <c r="BB267" s="68"/>
      <c r="BC267" s="68"/>
      <c r="BD267" s="68"/>
      <c r="BE267" s="68"/>
      <c r="BF267" s="68"/>
      <c r="BG267" s="68"/>
      <c r="BH267" s="68"/>
      <c r="BI267" s="68"/>
      <c r="BJ267" s="68"/>
      <c r="BK267" s="75"/>
      <c r="BL267" s="75"/>
      <c r="BM267" s="75"/>
      <c r="BN267" s="74"/>
      <c r="BO267" s="75"/>
      <c r="BP267" s="75"/>
      <c r="BQ267" s="75"/>
      <c r="BR267" s="75"/>
      <c r="BS267" s="75"/>
      <c r="BT267" s="75"/>
      <c r="BU267" s="75"/>
      <c r="BV267" s="75"/>
      <c r="BW267" s="75"/>
      <c r="BX267" s="75"/>
      <c r="BY267" s="75"/>
      <c r="BZ267" s="75"/>
      <c r="CA267" s="74"/>
      <c r="CB267" s="75"/>
      <c r="CC267" s="75"/>
      <c r="CD267" s="75"/>
      <c r="CE267" s="74"/>
      <c r="CF267" s="75"/>
      <c r="CG267" s="75"/>
      <c r="CH267" s="75"/>
      <c r="CI267" s="74"/>
      <c r="CJ267" s="75"/>
      <c r="CK267" s="75"/>
      <c r="CL267" s="75"/>
      <c r="CM267" s="74"/>
      <c r="CN267" s="75"/>
      <c r="CO267" s="75"/>
      <c r="CP267" s="75"/>
      <c r="CQ267" s="74"/>
      <c r="CR267" s="75"/>
      <c r="CS267" s="75"/>
      <c r="CT267" s="75"/>
      <c r="CU267" s="74"/>
      <c r="CV267" s="75"/>
      <c r="CW267" s="75"/>
      <c r="CX267" s="75"/>
      <c r="CY267" s="74"/>
      <c r="CZ267" s="75"/>
      <c r="DA267" s="75"/>
      <c r="DB267" s="75"/>
      <c r="DC267" s="74"/>
      <c r="DD267" s="75"/>
      <c r="DE267" s="75"/>
      <c r="DF267" s="75"/>
      <c r="DG267" s="74"/>
      <c r="DH267" s="75"/>
      <c r="DI267" s="75"/>
      <c r="DJ267" s="75"/>
      <c r="DK267" s="76"/>
    </row>
    <row r="268" spans="1:119" x14ac:dyDescent="0.25">
      <c r="O268" s="68"/>
      <c r="P268" s="68"/>
      <c r="Q268" s="68"/>
      <c r="R268" s="68"/>
      <c r="S268" s="68"/>
      <c r="T268" s="68"/>
      <c r="U268" s="68"/>
      <c r="V268" s="68"/>
      <c r="W268" s="68"/>
      <c r="X268" s="68"/>
      <c r="Y268" s="68"/>
      <c r="Z268" s="68"/>
      <c r="AA268" s="68"/>
      <c r="AB268" s="68"/>
      <c r="AC268" s="68"/>
      <c r="AD268" s="68"/>
      <c r="AE268" s="68"/>
      <c r="AF268" s="68"/>
      <c r="AG268" s="68"/>
      <c r="AH268" s="68"/>
      <c r="AI268" s="68"/>
      <c r="AJ268" s="68"/>
      <c r="AK268" s="68"/>
      <c r="AL268" s="68"/>
      <c r="AM268" s="68"/>
      <c r="AN268" s="68"/>
      <c r="AO268" s="68"/>
      <c r="AP268" s="68"/>
      <c r="AQ268" s="68"/>
      <c r="AR268" s="68"/>
      <c r="AS268" s="68"/>
      <c r="AT268" s="68"/>
      <c r="AU268" s="71"/>
      <c r="AV268" s="68"/>
      <c r="AW268" s="68"/>
      <c r="AX268" s="68"/>
      <c r="AY268" s="68"/>
      <c r="AZ268" s="68"/>
      <c r="BA268" s="68"/>
      <c r="BB268" s="68"/>
      <c r="BC268" s="68"/>
      <c r="BD268" s="68"/>
      <c r="BE268" s="68"/>
      <c r="BF268" s="68"/>
      <c r="BG268" s="68"/>
      <c r="BH268" s="68"/>
      <c r="BI268" s="68"/>
      <c r="BJ268" s="68"/>
      <c r="BK268" s="75"/>
      <c r="BL268" s="75"/>
      <c r="BM268" s="75"/>
      <c r="BN268" s="74"/>
      <c r="BO268" s="75"/>
      <c r="BP268" s="75"/>
      <c r="BQ268" s="75"/>
      <c r="BR268" s="75"/>
      <c r="BS268" s="75"/>
      <c r="BT268" s="75"/>
      <c r="BU268" s="75"/>
      <c r="BV268" s="75"/>
      <c r="BW268" s="75"/>
      <c r="BX268" s="75"/>
      <c r="BY268" s="75"/>
      <c r="BZ268" s="75"/>
      <c r="CA268" s="74"/>
      <c r="CB268" s="75"/>
      <c r="CC268" s="75"/>
      <c r="CD268" s="75"/>
      <c r="CE268" s="74"/>
      <c r="CF268" s="75"/>
      <c r="CG268" s="75"/>
      <c r="CH268" s="75"/>
      <c r="CI268" s="74"/>
      <c r="CJ268" s="75"/>
      <c r="CK268" s="75"/>
      <c r="CL268" s="75"/>
      <c r="CM268" s="74"/>
      <c r="CN268" s="75"/>
      <c r="CO268" s="75"/>
      <c r="CP268" s="75"/>
      <c r="CQ268" s="74"/>
      <c r="CR268" s="75"/>
      <c r="CS268" s="75"/>
      <c r="CT268" s="75"/>
      <c r="CU268" s="74"/>
      <c r="CV268" s="75"/>
      <c r="CW268" s="75"/>
      <c r="CX268" s="75"/>
      <c r="CY268" s="74"/>
      <c r="CZ268" s="75"/>
      <c r="DA268" s="75"/>
      <c r="DB268" s="75"/>
      <c r="DC268" s="74"/>
      <c r="DD268" s="75"/>
      <c r="DE268" s="75"/>
      <c r="DF268" s="75"/>
      <c r="DG268" s="74"/>
      <c r="DH268" s="75"/>
      <c r="DI268" s="75"/>
      <c r="DJ268" s="75"/>
      <c r="DK268" s="76"/>
    </row>
    <row r="269" spans="1:119" x14ac:dyDescent="0.25">
      <c r="O269" s="68"/>
      <c r="P269" s="68"/>
      <c r="Q269" s="68"/>
      <c r="R269" s="68"/>
      <c r="S269" s="68"/>
      <c r="T269" s="68"/>
      <c r="U269" s="68"/>
      <c r="V269" s="68"/>
      <c r="W269" s="68"/>
      <c r="X269" s="68"/>
      <c r="Y269" s="68"/>
      <c r="Z269" s="68"/>
      <c r="AA269" s="68"/>
      <c r="AB269" s="68"/>
      <c r="AC269" s="68"/>
      <c r="AD269" s="68"/>
      <c r="AE269" s="68"/>
      <c r="AF269" s="68"/>
      <c r="AG269" s="68"/>
      <c r="AH269" s="68"/>
      <c r="AI269" s="68"/>
      <c r="AJ269" s="68"/>
      <c r="AK269" s="68"/>
      <c r="AL269" s="68"/>
      <c r="AM269" s="68"/>
      <c r="AN269" s="68"/>
      <c r="AO269" s="68"/>
      <c r="AP269" s="68"/>
      <c r="AQ269" s="68"/>
      <c r="AR269" s="68"/>
      <c r="AS269" s="68"/>
      <c r="AT269" s="68"/>
      <c r="AU269" s="71"/>
      <c r="AV269" s="68"/>
      <c r="AW269" s="68"/>
      <c r="AX269" s="68"/>
      <c r="AY269" s="68"/>
      <c r="AZ269" s="68"/>
      <c r="BA269" s="68"/>
      <c r="BB269" s="68"/>
      <c r="BC269" s="68"/>
      <c r="BD269" s="68"/>
      <c r="BE269" s="68"/>
      <c r="BF269" s="68"/>
      <c r="BG269" s="68"/>
      <c r="BH269" s="68"/>
      <c r="BI269" s="68"/>
      <c r="BJ269" s="68"/>
      <c r="BK269" s="75"/>
      <c r="BL269" s="75"/>
      <c r="BM269" s="75"/>
      <c r="BN269" s="74"/>
      <c r="BO269" s="75"/>
      <c r="BP269" s="75"/>
      <c r="BQ269" s="75"/>
      <c r="BR269" s="75"/>
      <c r="BS269" s="75"/>
      <c r="BT269" s="75"/>
      <c r="BU269" s="75"/>
      <c r="BV269" s="75"/>
      <c r="BW269" s="75"/>
      <c r="BX269" s="75"/>
      <c r="BY269" s="75"/>
      <c r="BZ269" s="75"/>
      <c r="CA269" s="74"/>
      <c r="CB269" s="75"/>
      <c r="CC269" s="75"/>
      <c r="CD269" s="75"/>
      <c r="CE269" s="74"/>
      <c r="CF269" s="75"/>
      <c r="CG269" s="75"/>
      <c r="CH269" s="75"/>
      <c r="CI269" s="74"/>
      <c r="CJ269" s="75"/>
      <c r="CK269" s="75"/>
      <c r="CL269" s="75"/>
      <c r="CM269" s="74"/>
      <c r="CN269" s="75"/>
      <c r="CO269" s="75"/>
      <c r="CP269" s="75"/>
      <c r="CQ269" s="74"/>
      <c r="CR269" s="75"/>
      <c r="CS269" s="75"/>
      <c r="CT269" s="75"/>
      <c r="CU269" s="74"/>
      <c r="CV269" s="75"/>
      <c r="CW269" s="75"/>
      <c r="CX269" s="75"/>
      <c r="CY269" s="74"/>
      <c r="CZ269" s="75"/>
      <c r="DA269" s="75"/>
      <c r="DB269" s="75"/>
      <c r="DC269" s="74"/>
      <c r="DD269" s="75"/>
      <c r="DE269" s="75"/>
      <c r="DF269" s="75"/>
      <c r="DG269" s="74"/>
      <c r="DH269" s="75"/>
      <c r="DI269" s="75"/>
      <c r="DJ269" s="75"/>
      <c r="DK269" s="76"/>
    </row>
    <row r="270" spans="1:119" x14ac:dyDescent="0.25">
      <c r="O270" s="68"/>
      <c r="P270" s="68"/>
      <c r="Q270" s="68"/>
      <c r="R270" s="68"/>
      <c r="S270" s="68"/>
      <c r="T270" s="68"/>
      <c r="U270" s="68"/>
      <c r="V270" s="68"/>
      <c r="W270" s="68"/>
      <c r="X270" s="68"/>
      <c r="Y270" s="68"/>
      <c r="Z270" s="68"/>
      <c r="AA270" s="68"/>
      <c r="AB270" s="68"/>
      <c r="AC270" s="68"/>
      <c r="AD270" s="68"/>
      <c r="AE270" s="68"/>
      <c r="AF270" s="68"/>
      <c r="AG270" s="68"/>
      <c r="AH270" s="68"/>
      <c r="AI270" s="68"/>
      <c r="AJ270" s="68"/>
      <c r="AK270" s="68"/>
      <c r="AL270" s="68"/>
      <c r="AM270" s="68"/>
      <c r="AN270" s="68"/>
      <c r="AO270" s="68"/>
      <c r="AP270" s="68"/>
      <c r="AQ270" s="68"/>
      <c r="AR270" s="68"/>
      <c r="AS270" s="68"/>
      <c r="AT270" s="68"/>
      <c r="AU270" s="71"/>
      <c r="AV270" s="68"/>
      <c r="AW270" s="68"/>
      <c r="AX270" s="68"/>
      <c r="AY270" s="68"/>
      <c r="AZ270" s="68"/>
      <c r="BA270" s="68"/>
      <c r="BB270" s="68"/>
      <c r="BC270" s="68"/>
      <c r="BD270" s="68"/>
      <c r="BE270" s="68"/>
      <c r="BF270" s="68"/>
      <c r="BG270" s="68"/>
      <c r="BH270" s="68"/>
      <c r="BI270" s="68"/>
      <c r="BJ270" s="68"/>
      <c r="BK270" s="75"/>
      <c r="BL270" s="75"/>
      <c r="BM270" s="75"/>
      <c r="BN270" s="74"/>
      <c r="BO270" s="75"/>
      <c r="BP270" s="75"/>
      <c r="BQ270" s="75"/>
      <c r="BR270" s="75"/>
      <c r="BS270" s="75"/>
      <c r="BT270" s="75"/>
      <c r="BU270" s="75"/>
      <c r="BV270" s="75"/>
      <c r="BW270" s="75"/>
      <c r="BX270" s="75"/>
      <c r="BY270" s="75"/>
      <c r="BZ270" s="75"/>
      <c r="CA270" s="74"/>
      <c r="CB270" s="75"/>
      <c r="CC270" s="75"/>
      <c r="CD270" s="75"/>
      <c r="CE270" s="74"/>
      <c r="CF270" s="75"/>
      <c r="CG270" s="75"/>
      <c r="CH270" s="75"/>
      <c r="CI270" s="74"/>
      <c r="CJ270" s="75"/>
      <c r="CK270" s="75"/>
      <c r="CL270" s="75"/>
      <c r="CM270" s="74"/>
      <c r="CN270" s="75"/>
      <c r="CO270" s="75"/>
      <c r="CP270" s="75"/>
      <c r="CQ270" s="74"/>
      <c r="CR270" s="75"/>
      <c r="CS270" s="75"/>
      <c r="CT270" s="75"/>
      <c r="CU270" s="74"/>
      <c r="CV270" s="75"/>
      <c r="CW270" s="75"/>
      <c r="CX270" s="75"/>
      <c r="CY270" s="74"/>
      <c r="CZ270" s="75"/>
      <c r="DA270" s="75"/>
      <c r="DB270" s="75"/>
      <c r="DC270" s="74"/>
      <c r="DD270" s="75"/>
      <c r="DE270" s="75"/>
      <c r="DF270" s="75"/>
      <c r="DG270" s="74"/>
      <c r="DH270" s="75"/>
      <c r="DI270" s="75"/>
      <c r="DJ270" s="75"/>
      <c r="DK270" s="76"/>
    </row>
    <row r="271" spans="1:119" x14ac:dyDescent="0.25">
      <c r="O271" s="68"/>
      <c r="P271" s="68"/>
      <c r="Q271" s="68"/>
      <c r="R271" s="68"/>
      <c r="S271" s="68"/>
      <c r="T271" s="68"/>
      <c r="U271" s="68"/>
      <c r="V271" s="68"/>
      <c r="W271" s="68"/>
      <c r="X271" s="68"/>
      <c r="Y271" s="68"/>
      <c r="Z271" s="68"/>
      <c r="AA271" s="68"/>
      <c r="AB271" s="68"/>
      <c r="AC271" s="68"/>
      <c r="AD271" s="68"/>
      <c r="AE271" s="68"/>
      <c r="AF271" s="68"/>
      <c r="AG271" s="68"/>
      <c r="AH271" s="68"/>
      <c r="AI271" s="68"/>
      <c r="AJ271" s="68"/>
      <c r="AK271" s="68"/>
      <c r="AL271" s="68"/>
      <c r="AM271" s="68"/>
      <c r="AN271" s="68"/>
      <c r="AO271" s="68"/>
      <c r="AP271" s="68"/>
      <c r="AQ271" s="68"/>
      <c r="AR271" s="68"/>
      <c r="AS271" s="68"/>
      <c r="AT271" s="68"/>
      <c r="AU271" s="71"/>
      <c r="AV271" s="68"/>
      <c r="AW271" s="68"/>
      <c r="AX271" s="68"/>
      <c r="AY271" s="68"/>
      <c r="AZ271" s="68"/>
      <c r="BA271" s="68"/>
      <c r="BB271" s="68"/>
      <c r="BC271" s="68"/>
      <c r="BD271" s="68"/>
      <c r="BE271" s="68"/>
      <c r="BF271" s="68"/>
      <c r="BG271" s="68"/>
      <c r="BH271" s="68"/>
      <c r="BI271" s="68"/>
      <c r="BJ271" s="68"/>
      <c r="BK271" s="75"/>
      <c r="BL271" s="75"/>
      <c r="BM271" s="75"/>
      <c r="BN271" s="74"/>
      <c r="BO271" s="75"/>
      <c r="BP271" s="75"/>
      <c r="BQ271" s="75"/>
      <c r="BR271" s="75"/>
      <c r="BS271" s="75"/>
      <c r="BT271" s="75"/>
      <c r="BU271" s="75"/>
      <c r="BV271" s="75"/>
      <c r="BW271" s="75"/>
      <c r="BX271" s="75"/>
      <c r="BY271" s="75"/>
      <c r="BZ271" s="75"/>
      <c r="CA271" s="74"/>
      <c r="CB271" s="75"/>
      <c r="CC271" s="75"/>
      <c r="CD271" s="75"/>
      <c r="CE271" s="74"/>
      <c r="CF271" s="75"/>
      <c r="CG271" s="75"/>
      <c r="CH271" s="75"/>
      <c r="CI271" s="74"/>
      <c r="CJ271" s="75"/>
      <c r="CK271" s="75"/>
      <c r="CL271" s="75"/>
      <c r="CM271" s="74"/>
      <c r="CN271" s="75"/>
      <c r="CO271" s="75"/>
      <c r="CP271" s="75"/>
      <c r="CQ271" s="74"/>
      <c r="CR271" s="75"/>
      <c r="CS271" s="75"/>
      <c r="CT271" s="75"/>
      <c r="CU271" s="74"/>
      <c r="CV271" s="75"/>
      <c r="CW271" s="75"/>
      <c r="CX271" s="75"/>
      <c r="CY271" s="74"/>
      <c r="CZ271" s="75"/>
      <c r="DA271" s="75"/>
      <c r="DB271" s="75"/>
      <c r="DC271" s="74"/>
      <c r="DD271" s="75"/>
      <c r="DE271" s="75"/>
      <c r="DF271" s="75"/>
      <c r="DG271" s="74"/>
      <c r="DH271" s="75"/>
      <c r="DI271" s="75"/>
      <c r="DJ271" s="75"/>
      <c r="DK271" s="76"/>
    </row>
    <row r="272" spans="1:119" x14ac:dyDescent="0.25">
      <c r="O272" s="68"/>
      <c r="P272" s="68"/>
      <c r="Q272" s="68"/>
      <c r="R272" s="68"/>
      <c r="S272" s="68"/>
      <c r="T272" s="68"/>
      <c r="U272" s="68"/>
      <c r="V272" s="68"/>
      <c r="W272" s="68"/>
      <c r="X272" s="68"/>
      <c r="Y272" s="68"/>
      <c r="Z272" s="68"/>
      <c r="AA272" s="68"/>
      <c r="AB272" s="68"/>
      <c r="AC272" s="68"/>
      <c r="AD272" s="68"/>
      <c r="AE272" s="68"/>
      <c r="AF272" s="68"/>
      <c r="AG272" s="68"/>
      <c r="AH272" s="68"/>
      <c r="AI272" s="68"/>
      <c r="AJ272" s="68"/>
      <c r="AK272" s="68"/>
      <c r="AL272" s="68"/>
      <c r="AM272" s="68"/>
      <c r="AN272" s="68"/>
      <c r="AO272" s="68"/>
      <c r="AP272" s="68"/>
      <c r="AQ272" s="68"/>
      <c r="AR272" s="68"/>
      <c r="AS272" s="68"/>
      <c r="AT272" s="68"/>
      <c r="AU272" s="71"/>
      <c r="AV272" s="68"/>
      <c r="AW272" s="68"/>
      <c r="AX272" s="68"/>
      <c r="AY272" s="68"/>
      <c r="AZ272" s="68"/>
      <c r="BA272" s="68"/>
      <c r="BB272" s="68"/>
      <c r="BC272" s="68"/>
      <c r="BD272" s="68"/>
      <c r="BE272" s="68"/>
      <c r="BF272" s="68"/>
      <c r="BG272" s="68"/>
      <c r="BH272" s="68"/>
      <c r="BI272" s="68"/>
      <c r="BJ272" s="68"/>
      <c r="BK272" s="75"/>
      <c r="BL272" s="75"/>
      <c r="BM272" s="75"/>
      <c r="BN272" s="74"/>
      <c r="BO272" s="75"/>
      <c r="BP272" s="75"/>
      <c r="BQ272" s="75"/>
      <c r="BR272" s="75"/>
      <c r="BS272" s="75"/>
      <c r="BT272" s="75"/>
      <c r="BU272" s="75"/>
      <c r="BV272" s="75"/>
      <c r="BW272" s="75"/>
      <c r="BX272" s="75"/>
      <c r="BY272" s="75"/>
      <c r="BZ272" s="75"/>
      <c r="CA272" s="74"/>
      <c r="CB272" s="75"/>
      <c r="CC272" s="75"/>
      <c r="CD272" s="75"/>
      <c r="CE272" s="74"/>
      <c r="CF272" s="75"/>
      <c r="CG272" s="75"/>
      <c r="CH272" s="75"/>
      <c r="CI272" s="74"/>
      <c r="CJ272" s="75"/>
      <c r="CK272" s="75"/>
      <c r="CL272" s="75"/>
      <c r="CM272" s="74"/>
      <c r="CN272" s="75"/>
      <c r="CO272" s="75"/>
      <c r="CP272" s="75"/>
      <c r="CQ272" s="74"/>
      <c r="CR272" s="75"/>
      <c r="CS272" s="75"/>
      <c r="CT272" s="75"/>
      <c r="CU272" s="74"/>
      <c r="CV272" s="75"/>
      <c r="CW272" s="75"/>
      <c r="CX272" s="75"/>
      <c r="CY272" s="74"/>
      <c r="CZ272" s="75"/>
      <c r="DA272" s="75"/>
      <c r="DB272" s="75"/>
      <c r="DC272" s="74"/>
      <c r="DD272" s="75"/>
      <c r="DE272" s="75"/>
      <c r="DF272" s="75"/>
      <c r="DG272" s="74"/>
      <c r="DH272" s="75"/>
      <c r="DI272" s="75"/>
      <c r="DJ272" s="75"/>
      <c r="DK272" s="76"/>
    </row>
    <row r="273" spans="63:115" x14ac:dyDescent="0.25">
      <c r="BK273" s="75"/>
      <c r="BL273" s="75"/>
      <c r="BM273" s="75"/>
      <c r="BN273" s="74"/>
      <c r="BO273" s="75"/>
      <c r="BP273" s="75"/>
      <c r="BQ273" s="75"/>
      <c r="BR273" s="75"/>
      <c r="BS273" s="75"/>
      <c r="BT273" s="75"/>
      <c r="BU273" s="75"/>
      <c r="BV273" s="75"/>
      <c r="BW273" s="75"/>
      <c r="BX273" s="75"/>
      <c r="BY273" s="75"/>
      <c r="BZ273" s="75"/>
      <c r="CA273" s="74"/>
      <c r="CB273" s="75"/>
      <c r="CC273" s="75"/>
      <c r="CD273" s="75"/>
      <c r="CE273" s="74"/>
      <c r="CF273" s="75"/>
      <c r="CG273" s="75"/>
      <c r="CH273" s="75"/>
      <c r="CI273" s="74"/>
      <c r="CJ273" s="75"/>
      <c r="CK273" s="75"/>
      <c r="CL273" s="75"/>
      <c r="CM273" s="74"/>
      <c r="CN273" s="75"/>
      <c r="CO273" s="75"/>
      <c r="CP273" s="75"/>
      <c r="CQ273" s="74"/>
      <c r="CR273" s="75"/>
      <c r="CS273" s="75"/>
      <c r="CT273" s="75"/>
      <c r="CU273" s="74"/>
      <c r="CV273" s="75"/>
      <c r="CW273" s="75"/>
      <c r="CX273" s="75"/>
      <c r="CY273" s="74"/>
      <c r="CZ273" s="75"/>
      <c r="DA273" s="75"/>
      <c r="DB273" s="75"/>
      <c r="DC273" s="74"/>
      <c r="DD273" s="75"/>
      <c r="DE273" s="75"/>
      <c r="DF273" s="75"/>
      <c r="DG273" s="74"/>
      <c r="DH273" s="75"/>
      <c r="DI273" s="75"/>
      <c r="DJ273" s="75"/>
      <c r="DK273" s="76"/>
    </row>
    <row r="274" spans="63:115" x14ac:dyDescent="0.25">
      <c r="BK274" s="75"/>
      <c r="BL274" s="75"/>
      <c r="BM274" s="75"/>
      <c r="BN274" s="74"/>
      <c r="BO274" s="75"/>
      <c r="BP274" s="75"/>
      <c r="BQ274" s="75"/>
      <c r="BR274" s="75"/>
      <c r="BS274" s="75"/>
      <c r="BT274" s="75"/>
      <c r="BU274" s="75"/>
      <c r="BV274" s="75"/>
      <c r="BW274" s="75"/>
      <c r="BX274" s="75"/>
      <c r="BY274" s="75"/>
      <c r="BZ274" s="75"/>
      <c r="CA274" s="74"/>
      <c r="CB274" s="75"/>
      <c r="CC274" s="75"/>
      <c r="CD274" s="75"/>
      <c r="CE274" s="74"/>
      <c r="CF274" s="75"/>
      <c r="CG274" s="75"/>
      <c r="CH274" s="75"/>
      <c r="CI274" s="74"/>
      <c r="CJ274" s="75"/>
      <c r="CK274" s="75"/>
      <c r="CL274" s="75"/>
      <c r="CM274" s="74"/>
      <c r="CN274" s="75"/>
      <c r="CO274" s="75"/>
      <c r="CP274" s="75"/>
      <c r="CQ274" s="74"/>
      <c r="CR274" s="75"/>
      <c r="CS274" s="75"/>
      <c r="CT274" s="75"/>
      <c r="CU274" s="74"/>
      <c r="CV274" s="75"/>
      <c r="CW274" s="75"/>
      <c r="CX274" s="75"/>
      <c r="CY274" s="74"/>
      <c r="CZ274" s="75"/>
      <c r="DA274" s="75"/>
      <c r="DB274" s="75"/>
      <c r="DC274" s="74"/>
      <c r="DD274" s="75"/>
      <c r="DE274" s="75"/>
      <c r="DF274" s="75"/>
      <c r="DG274" s="74"/>
      <c r="DH274" s="75"/>
      <c r="DI274" s="75"/>
      <c r="DJ274" s="75"/>
      <c r="DK274" s="76"/>
    </row>
    <row r="275" spans="63:115" x14ac:dyDescent="0.25">
      <c r="BK275" s="75"/>
      <c r="BL275" s="75"/>
      <c r="BM275" s="75"/>
      <c r="BN275" s="74"/>
      <c r="BO275" s="75"/>
      <c r="BP275" s="75"/>
      <c r="BQ275" s="75"/>
      <c r="BR275" s="75"/>
      <c r="BS275" s="75"/>
      <c r="BT275" s="75"/>
      <c r="BU275" s="75"/>
      <c r="BV275" s="75"/>
      <c r="BW275" s="75"/>
      <c r="BX275" s="75"/>
      <c r="BY275" s="75"/>
      <c r="BZ275" s="75"/>
      <c r="CA275" s="74"/>
      <c r="CB275" s="75"/>
      <c r="CC275" s="75"/>
      <c r="CD275" s="75"/>
      <c r="CE275" s="74"/>
      <c r="CF275" s="75"/>
      <c r="CG275" s="75"/>
      <c r="CH275" s="75"/>
      <c r="CI275" s="74"/>
      <c r="CJ275" s="75"/>
      <c r="CK275" s="75"/>
      <c r="CL275" s="75"/>
      <c r="CM275" s="74"/>
      <c r="CN275" s="75"/>
      <c r="CO275" s="75"/>
      <c r="CP275" s="75"/>
      <c r="CQ275" s="74"/>
      <c r="CR275" s="75"/>
      <c r="CS275" s="75"/>
      <c r="CT275" s="75"/>
      <c r="CU275" s="74"/>
      <c r="CV275" s="75"/>
      <c r="CW275" s="75"/>
      <c r="CX275" s="75"/>
      <c r="CY275" s="74"/>
      <c r="CZ275" s="75"/>
      <c r="DA275" s="75"/>
      <c r="DB275" s="75"/>
      <c r="DC275" s="74"/>
      <c r="DD275" s="75"/>
      <c r="DE275" s="75"/>
      <c r="DF275" s="75"/>
      <c r="DG275" s="74"/>
      <c r="DH275" s="75"/>
      <c r="DI275" s="75"/>
      <c r="DJ275" s="75"/>
      <c r="DK275" s="76"/>
    </row>
    <row r="276" spans="63:115" x14ac:dyDescent="0.25">
      <c r="BK276" s="75"/>
      <c r="BL276" s="75"/>
      <c r="BM276" s="75"/>
      <c r="BN276" s="74"/>
      <c r="BO276" s="75"/>
      <c r="BP276" s="75"/>
      <c r="BQ276" s="75"/>
      <c r="BR276" s="75"/>
      <c r="BS276" s="75"/>
      <c r="BT276" s="75"/>
      <c r="BU276" s="75"/>
      <c r="BV276" s="75"/>
      <c r="BW276" s="75"/>
      <c r="BX276" s="75"/>
      <c r="BY276" s="75"/>
      <c r="BZ276" s="75"/>
      <c r="CA276" s="74"/>
      <c r="CB276" s="75"/>
      <c r="CC276" s="75"/>
      <c r="CD276" s="75"/>
      <c r="CE276" s="74"/>
      <c r="CF276" s="75"/>
      <c r="CG276" s="75"/>
      <c r="CH276" s="75"/>
      <c r="CI276" s="74"/>
      <c r="CJ276" s="75"/>
      <c r="CK276" s="75"/>
      <c r="CL276" s="75"/>
      <c r="CM276" s="74"/>
      <c r="CN276" s="75"/>
      <c r="CO276" s="75"/>
      <c r="CP276" s="75"/>
      <c r="CQ276" s="74"/>
      <c r="CR276" s="75"/>
      <c r="CS276" s="75"/>
      <c r="CT276" s="75"/>
      <c r="CU276" s="74"/>
      <c r="CV276" s="75"/>
      <c r="CW276" s="75"/>
      <c r="CX276" s="75"/>
      <c r="CY276" s="74"/>
      <c r="CZ276" s="75"/>
      <c r="DA276" s="75"/>
      <c r="DB276" s="75"/>
      <c r="DC276" s="74"/>
      <c r="DD276" s="75"/>
      <c r="DE276" s="75"/>
      <c r="DF276" s="75"/>
      <c r="DG276" s="74"/>
      <c r="DH276" s="75"/>
      <c r="DI276" s="75"/>
      <c r="DJ276" s="75"/>
      <c r="DK276" s="76"/>
    </row>
    <row r="277" spans="63:115" x14ac:dyDescent="0.25">
      <c r="BK277" s="75"/>
      <c r="BL277" s="75"/>
      <c r="BM277" s="75"/>
      <c r="BN277" s="74"/>
      <c r="BO277" s="75"/>
      <c r="BP277" s="75"/>
      <c r="BQ277" s="75"/>
      <c r="BR277" s="75"/>
      <c r="BS277" s="75"/>
      <c r="BT277" s="75"/>
      <c r="BU277" s="75"/>
      <c r="BV277" s="75"/>
      <c r="BW277" s="75"/>
      <c r="BX277" s="75"/>
      <c r="BY277" s="75"/>
      <c r="BZ277" s="75"/>
      <c r="CA277" s="74"/>
      <c r="CB277" s="75"/>
      <c r="CC277" s="75"/>
      <c r="CD277" s="75"/>
      <c r="CE277" s="74"/>
      <c r="CF277" s="75"/>
      <c r="CG277" s="75"/>
      <c r="CH277" s="75"/>
      <c r="CI277" s="74"/>
      <c r="CJ277" s="75"/>
      <c r="CK277" s="75"/>
      <c r="CL277" s="75"/>
      <c r="CM277" s="74"/>
      <c r="CN277" s="75"/>
      <c r="CO277" s="75"/>
      <c r="CP277" s="75"/>
      <c r="CQ277" s="74"/>
      <c r="CR277" s="75"/>
      <c r="CS277" s="75"/>
      <c r="CT277" s="75"/>
      <c r="CU277" s="74"/>
      <c r="CV277" s="75"/>
      <c r="CW277" s="75"/>
      <c r="CX277" s="75"/>
      <c r="CY277" s="74"/>
      <c r="CZ277" s="75"/>
      <c r="DA277" s="75"/>
      <c r="DB277" s="75"/>
      <c r="DC277" s="74"/>
      <c r="DD277" s="75"/>
      <c r="DE277" s="75"/>
      <c r="DF277" s="75"/>
      <c r="DG277" s="74"/>
      <c r="DH277" s="75"/>
      <c r="DI277" s="75"/>
      <c r="DJ277" s="75"/>
      <c r="DK277" s="76"/>
    </row>
    <row r="278" spans="63:115" x14ac:dyDescent="0.25">
      <c r="BK278" s="75"/>
      <c r="BL278" s="75"/>
      <c r="BM278" s="75"/>
      <c r="BN278" s="74"/>
      <c r="BO278" s="75"/>
      <c r="BP278" s="75"/>
      <c r="BQ278" s="75"/>
      <c r="BR278" s="75"/>
      <c r="BS278" s="75"/>
      <c r="BT278" s="75"/>
      <c r="BU278" s="75"/>
      <c r="BV278" s="75"/>
      <c r="BW278" s="75"/>
      <c r="BX278" s="75"/>
      <c r="BY278" s="75"/>
      <c r="BZ278" s="75"/>
      <c r="CA278" s="74"/>
      <c r="CB278" s="75"/>
      <c r="CC278" s="75"/>
      <c r="CD278" s="75"/>
      <c r="CE278" s="74"/>
      <c r="CF278" s="75"/>
      <c r="CG278" s="75"/>
      <c r="CH278" s="75"/>
      <c r="CI278" s="74"/>
      <c r="CJ278" s="75"/>
      <c r="CK278" s="75"/>
      <c r="CL278" s="75"/>
      <c r="CM278" s="74"/>
      <c r="CN278" s="75"/>
      <c r="CO278" s="75"/>
      <c r="CP278" s="75"/>
      <c r="CQ278" s="74"/>
      <c r="CR278" s="75"/>
      <c r="CS278" s="75"/>
      <c r="CT278" s="75"/>
      <c r="CU278" s="74"/>
      <c r="CV278" s="75"/>
      <c r="CW278" s="75"/>
      <c r="CX278" s="75"/>
      <c r="CY278" s="74"/>
      <c r="CZ278" s="75"/>
      <c r="DA278" s="75"/>
      <c r="DB278" s="75"/>
      <c r="DC278" s="74"/>
      <c r="DD278" s="75"/>
      <c r="DE278" s="75"/>
      <c r="DF278" s="75"/>
      <c r="DG278" s="74"/>
      <c r="DH278" s="75"/>
      <c r="DI278" s="75"/>
      <c r="DJ278" s="75"/>
      <c r="DK278" s="76"/>
    </row>
    <row r="279" spans="63:115" x14ac:dyDescent="0.25">
      <c r="BK279" s="75"/>
      <c r="BL279" s="75"/>
      <c r="BM279" s="75"/>
      <c r="BN279" s="74"/>
      <c r="BO279" s="75"/>
      <c r="BP279" s="75"/>
      <c r="BQ279" s="75"/>
      <c r="BR279" s="75"/>
      <c r="BS279" s="75"/>
      <c r="BT279" s="75"/>
      <c r="BU279" s="75"/>
      <c r="BV279" s="75"/>
      <c r="BW279" s="75"/>
      <c r="BX279" s="75"/>
      <c r="BY279" s="75"/>
      <c r="BZ279" s="75"/>
      <c r="CA279" s="74"/>
      <c r="CB279" s="75"/>
      <c r="CC279" s="75"/>
      <c r="CD279" s="75"/>
      <c r="CE279" s="74"/>
      <c r="CF279" s="75"/>
      <c r="CG279" s="75"/>
      <c r="CH279" s="75"/>
      <c r="CI279" s="74"/>
      <c r="CJ279" s="75"/>
      <c r="CK279" s="75"/>
      <c r="CL279" s="75"/>
      <c r="CM279" s="74"/>
      <c r="CN279" s="75"/>
      <c r="CO279" s="75"/>
      <c r="CP279" s="75"/>
      <c r="CQ279" s="74"/>
      <c r="CR279" s="75"/>
      <c r="CS279" s="75"/>
      <c r="CT279" s="75"/>
      <c r="CU279" s="74"/>
      <c r="CV279" s="75"/>
      <c r="CW279" s="75"/>
      <c r="CX279" s="75"/>
      <c r="CY279" s="74"/>
      <c r="CZ279" s="75"/>
      <c r="DA279" s="75"/>
      <c r="DB279" s="75"/>
      <c r="DC279" s="74"/>
      <c r="DD279" s="75"/>
      <c r="DE279" s="75"/>
      <c r="DF279" s="75"/>
      <c r="DG279" s="74"/>
      <c r="DH279" s="75"/>
      <c r="DI279" s="75"/>
      <c r="DJ279" s="75"/>
      <c r="DK279" s="76"/>
    </row>
    <row r="280" spans="63:115" x14ac:dyDescent="0.25">
      <c r="BK280" s="75"/>
      <c r="BL280" s="75"/>
      <c r="BM280" s="75"/>
      <c r="BN280" s="73"/>
      <c r="BO280" s="75"/>
      <c r="BP280" s="75"/>
      <c r="BQ280" s="75"/>
      <c r="BR280" s="75"/>
      <c r="BS280" s="75"/>
      <c r="BT280" s="75"/>
      <c r="BU280" s="75"/>
      <c r="BV280" s="75"/>
      <c r="BW280" s="75"/>
      <c r="BX280" s="75"/>
      <c r="BY280" s="75"/>
      <c r="BZ280" s="75"/>
      <c r="CA280" s="73"/>
      <c r="CB280" s="75"/>
      <c r="CC280" s="75"/>
      <c r="CD280" s="75"/>
      <c r="CE280" s="73"/>
      <c r="CF280" s="75"/>
      <c r="CG280" s="75"/>
      <c r="CH280" s="75"/>
      <c r="CI280" s="73"/>
      <c r="CJ280" s="75"/>
      <c r="CK280" s="75"/>
      <c r="CL280" s="75"/>
      <c r="CM280" s="73"/>
      <c r="CN280" s="75"/>
      <c r="CO280" s="75"/>
      <c r="CP280" s="75"/>
      <c r="CQ280" s="73"/>
      <c r="CR280" s="75"/>
      <c r="CS280" s="75"/>
      <c r="CT280" s="75"/>
      <c r="CU280" s="73"/>
      <c r="CV280" s="75"/>
      <c r="CW280" s="75"/>
      <c r="CX280" s="75"/>
      <c r="CY280" s="73"/>
      <c r="CZ280" s="75"/>
      <c r="DA280" s="75"/>
      <c r="DB280" s="75"/>
      <c r="DC280" s="73"/>
      <c r="DD280" s="75"/>
      <c r="DE280" s="75"/>
      <c r="DF280" s="75"/>
      <c r="DG280" s="73"/>
      <c r="DH280" s="75"/>
      <c r="DI280" s="75"/>
      <c r="DJ280" s="75"/>
      <c r="DK280" s="76"/>
    </row>
    <row r="281" spans="63:115" x14ac:dyDescent="0.25">
      <c r="BK281" s="75"/>
      <c r="BL281" s="75"/>
      <c r="BM281" s="75"/>
      <c r="BN281" s="73"/>
      <c r="BO281" s="75"/>
      <c r="BP281" s="75"/>
      <c r="BQ281" s="75"/>
      <c r="BR281" s="75"/>
      <c r="BS281" s="75"/>
      <c r="BT281" s="75"/>
      <c r="BU281" s="75"/>
      <c r="BV281" s="75"/>
      <c r="BW281" s="75"/>
      <c r="BX281" s="75"/>
      <c r="BY281" s="75"/>
      <c r="BZ281" s="75"/>
      <c r="CA281" s="73"/>
      <c r="CB281" s="75"/>
      <c r="CC281" s="75"/>
      <c r="CD281" s="75"/>
      <c r="CE281" s="73"/>
      <c r="CF281" s="75"/>
      <c r="CG281" s="75"/>
      <c r="CH281" s="75"/>
      <c r="CI281" s="73"/>
      <c r="CJ281" s="75"/>
      <c r="CK281" s="75"/>
      <c r="CL281" s="75"/>
      <c r="CM281" s="73"/>
      <c r="CN281" s="75"/>
      <c r="CO281" s="75"/>
      <c r="CP281" s="75"/>
      <c r="CQ281" s="73"/>
      <c r="CR281" s="75"/>
      <c r="CS281" s="75"/>
      <c r="CT281" s="75"/>
      <c r="CU281" s="73"/>
      <c r="CV281" s="75"/>
      <c r="CW281" s="75"/>
      <c r="CX281" s="75"/>
      <c r="CY281" s="73"/>
      <c r="CZ281" s="75"/>
      <c r="DA281" s="75"/>
      <c r="DB281" s="75"/>
      <c r="DC281" s="73"/>
      <c r="DD281" s="75"/>
      <c r="DE281" s="75"/>
      <c r="DF281" s="75"/>
      <c r="DG281" s="73"/>
      <c r="DH281" s="75"/>
      <c r="DI281" s="75"/>
      <c r="DJ281" s="75"/>
      <c r="DK281" s="76"/>
    </row>
    <row r="282" spans="63:115" x14ac:dyDescent="0.25">
      <c r="BK282" s="75"/>
      <c r="BL282" s="75"/>
      <c r="BM282" s="75"/>
      <c r="BN282" s="73"/>
      <c r="BO282" s="75"/>
      <c r="BP282" s="75"/>
      <c r="BQ282" s="75"/>
      <c r="BR282" s="75"/>
      <c r="BS282" s="75"/>
      <c r="BT282" s="75"/>
      <c r="BU282" s="75"/>
      <c r="BV282" s="75"/>
      <c r="BW282" s="75"/>
      <c r="BX282" s="75"/>
      <c r="BY282" s="75"/>
      <c r="BZ282" s="75"/>
      <c r="CA282" s="73"/>
      <c r="CB282" s="75"/>
      <c r="CC282" s="75"/>
      <c r="CD282" s="75"/>
      <c r="CE282" s="73"/>
      <c r="CF282" s="75"/>
      <c r="CG282" s="75"/>
      <c r="CH282" s="75"/>
      <c r="CI282" s="73"/>
      <c r="CJ282" s="75"/>
      <c r="CK282" s="75"/>
      <c r="CL282" s="75"/>
      <c r="CM282" s="73"/>
      <c r="CN282" s="75"/>
      <c r="CO282" s="75"/>
      <c r="CP282" s="75"/>
      <c r="CQ282" s="73"/>
      <c r="CR282" s="75"/>
      <c r="CS282" s="75"/>
      <c r="CT282" s="75"/>
      <c r="CU282" s="73"/>
      <c r="CV282" s="75"/>
      <c r="CW282" s="75"/>
      <c r="CX282" s="75"/>
      <c r="CY282" s="73"/>
      <c r="CZ282" s="75"/>
      <c r="DA282" s="75"/>
      <c r="DB282" s="75"/>
      <c r="DC282" s="73"/>
      <c r="DD282" s="75"/>
      <c r="DE282" s="75"/>
      <c r="DF282" s="75"/>
      <c r="DG282" s="73"/>
      <c r="DH282" s="75"/>
      <c r="DI282" s="75"/>
      <c r="DJ282" s="75"/>
      <c r="DK282" s="76"/>
    </row>
    <row r="283" spans="63:115" x14ac:dyDescent="0.25">
      <c r="BK283" s="75"/>
      <c r="BL283" s="75"/>
      <c r="BM283" s="75"/>
      <c r="BN283" s="73"/>
      <c r="BO283" s="75"/>
      <c r="BP283" s="75"/>
      <c r="BQ283" s="75"/>
      <c r="BR283" s="75"/>
      <c r="BS283" s="75"/>
      <c r="BT283" s="75"/>
      <c r="BU283" s="75"/>
      <c r="BV283" s="75"/>
      <c r="BW283" s="75"/>
      <c r="BX283" s="75"/>
      <c r="BY283" s="75"/>
      <c r="BZ283" s="75"/>
      <c r="CA283" s="73"/>
      <c r="CB283" s="75"/>
      <c r="CC283" s="75"/>
      <c r="CD283" s="75"/>
      <c r="CE283" s="73"/>
      <c r="CF283" s="75"/>
      <c r="CG283" s="75"/>
      <c r="CH283" s="75"/>
      <c r="CI283" s="73"/>
      <c r="CJ283" s="75"/>
      <c r="CK283" s="75"/>
      <c r="CL283" s="75"/>
      <c r="CM283" s="73"/>
      <c r="CN283" s="75"/>
      <c r="CO283" s="75"/>
      <c r="CP283" s="75"/>
      <c r="CQ283" s="73"/>
      <c r="CR283" s="75"/>
      <c r="CS283" s="75"/>
      <c r="CT283" s="75"/>
      <c r="CU283" s="73"/>
      <c r="CV283" s="75"/>
      <c r="CW283" s="75"/>
      <c r="CX283" s="75"/>
      <c r="CY283" s="73"/>
      <c r="CZ283" s="75"/>
      <c r="DA283" s="75"/>
      <c r="DB283" s="75"/>
      <c r="DC283" s="73"/>
      <c r="DD283" s="75"/>
      <c r="DE283" s="75"/>
      <c r="DF283" s="75"/>
      <c r="DG283" s="73"/>
      <c r="DH283" s="75"/>
      <c r="DI283" s="75"/>
      <c r="DJ283" s="75"/>
      <c r="DK283" s="76"/>
    </row>
    <row r="284" spans="63:115" x14ac:dyDescent="0.25">
      <c r="BK284" s="75"/>
      <c r="BL284" s="75"/>
      <c r="BM284" s="75"/>
      <c r="BN284" s="73"/>
      <c r="BO284" s="75"/>
      <c r="BP284" s="75"/>
      <c r="BQ284" s="75"/>
      <c r="BR284" s="75"/>
      <c r="BS284" s="75"/>
      <c r="BT284" s="75"/>
      <c r="BU284" s="75"/>
      <c r="BV284" s="75"/>
      <c r="BW284" s="75"/>
      <c r="BX284" s="75"/>
      <c r="BY284" s="75"/>
      <c r="BZ284" s="75"/>
      <c r="CA284" s="73"/>
      <c r="CB284" s="75"/>
      <c r="CC284" s="75"/>
      <c r="CD284" s="75"/>
      <c r="CE284" s="73"/>
      <c r="CF284" s="75"/>
      <c r="CG284" s="75"/>
      <c r="CH284" s="75"/>
      <c r="CI284" s="73"/>
      <c r="CJ284" s="75"/>
      <c r="CK284" s="75"/>
      <c r="CL284" s="75"/>
      <c r="CM284" s="73"/>
      <c r="CN284" s="75"/>
      <c r="CO284" s="75"/>
      <c r="CP284" s="75"/>
      <c r="CQ284" s="73"/>
      <c r="CR284" s="75"/>
      <c r="CS284" s="75"/>
      <c r="CT284" s="75"/>
      <c r="CU284" s="73"/>
      <c r="CV284" s="75"/>
      <c r="CW284" s="75"/>
      <c r="CX284" s="75"/>
      <c r="CY284" s="73"/>
      <c r="CZ284" s="75"/>
      <c r="DA284" s="75"/>
      <c r="DB284" s="75"/>
      <c r="DC284" s="73"/>
      <c r="DD284" s="75"/>
      <c r="DE284" s="75"/>
      <c r="DF284" s="75"/>
      <c r="DG284" s="73"/>
      <c r="DH284" s="75"/>
      <c r="DI284" s="75"/>
      <c r="DJ284" s="75"/>
      <c r="DK284" s="76"/>
    </row>
    <row r="285" spans="63:115" x14ac:dyDescent="0.25">
      <c r="BK285" s="75"/>
      <c r="BL285" s="75"/>
      <c r="BM285" s="75"/>
      <c r="BN285" s="73"/>
      <c r="BO285" s="75"/>
      <c r="BP285" s="75"/>
      <c r="BQ285" s="75"/>
      <c r="BR285" s="75"/>
      <c r="BS285" s="75"/>
      <c r="BT285" s="75"/>
      <c r="BU285" s="75"/>
      <c r="BV285" s="75"/>
      <c r="BW285" s="75"/>
      <c r="BX285" s="75"/>
      <c r="BY285" s="75"/>
      <c r="BZ285" s="75"/>
      <c r="CA285" s="73"/>
      <c r="CB285" s="75"/>
      <c r="CC285" s="75"/>
      <c r="CD285" s="75"/>
      <c r="CE285" s="73"/>
      <c r="CF285" s="75"/>
      <c r="CG285" s="75"/>
      <c r="CH285" s="75"/>
      <c r="CI285" s="73"/>
      <c r="CJ285" s="75"/>
      <c r="CK285" s="75"/>
      <c r="CL285" s="75"/>
      <c r="CM285" s="73"/>
      <c r="CN285" s="75"/>
      <c r="CO285" s="75"/>
      <c r="CP285" s="75"/>
      <c r="CQ285" s="73"/>
      <c r="CR285" s="75"/>
      <c r="CS285" s="75"/>
      <c r="CT285" s="75"/>
      <c r="CU285" s="73"/>
      <c r="CV285" s="75"/>
      <c r="CW285" s="75"/>
      <c r="CX285" s="75"/>
      <c r="CY285" s="73"/>
      <c r="CZ285" s="75"/>
      <c r="DA285" s="75"/>
      <c r="DB285" s="75"/>
      <c r="DC285" s="73"/>
      <c r="DD285" s="75"/>
      <c r="DE285" s="75"/>
      <c r="DF285" s="75"/>
      <c r="DG285" s="73"/>
      <c r="DH285" s="75"/>
      <c r="DI285" s="75"/>
      <c r="DJ285" s="75"/>
      <c r="DK285" s="76"/>
    </row>
    <row r="286" spans="63:115" x14ac:dyDescent="0.25">
      <c r="BK286" s="75"/>
      <c r="BL286" s="75"/>
      <c r="BM286" s="75"/>
      <c r="BN286" s="73"/>
      <c r="BO286" s="75"/>
      <c r="BP286" s="75"/>
      <c r="BQ286" s="75"/>
      <c r="BR286" s="75"/>
      <c r="BS286" s="75"/>
      <c r="BT286" s="75"/>
      <c r="BU286" s="75"/>
      <c r="BV286" s="75"/>
      <c r="BW286" s="75"/>
      <c r="BX286" s="75"/>
      <c r="BY286" s="75"/>
      <c r="BZ286" s="75"/>
      <c r="CA286" s="73"/>
      <c r="CB286" s="75"/>
      <c r="CC286" s="75"/>
      <c r="CD286" s="75"/>
      <c r="CE286" s="73"/>
      <c r="CF286" s="75"/>
      <c r="CG286" s="75"/>
      <c r="CH286" s="75"/>
      <c r="CI286" s="73"/>
      <c r="CJ286" s="75"/>
      <c r="CK286" s="75"/>
      <c r="CL286" s="75"/>
      <c r="CM286" s="73"/>
      <c r="CN286" s="75"/>
      <c r="CO286" s="75"/>
      <c r="CP286" s="75"/>
      <c r="CQ286" s="73"/>
      <c r="CR286" s="75"/>
      <c r="CS286" s="75"/>
      <c r="CT286" s="75"/>
      <c r="CU286" s="73"/>
      <c r="CV286" s="75"/>
      <c r="CW286" s="75"/>
      <c r="CX286" s="75"/>
      <c r="CY286" s="73"/>
      <c r="CZ286" s="75"/>
      <c r="DA286" s="75"/>
      <c r="DB286" s="75"/>
      <c r="DC286" s="73"/>
      <c r="DD286" s="75"/>
      <c r="DE286" s="75"/>
      <c r="DF286" s="75"/>
      <c r="DG286" s="73"/>
      <c r="DH286" s="75"/>
      <c r="DI286" s="75"/>
      <c r="DJ286" s="75"/>
      <c r="DK286" s="76"/>
    </row>
    <row r="287" spans="63:115" x14ac:dyDescent="0.25">
      <c r="BK287" s="75"/>
      <c r="BL287" s="75"/>
      <c r="BM287" s="75"/>
      <c r="BN287" s="73"/>
      <c r="BO287" s="75"/>
      <c r="BP287" s="75"/>
      <c r="BQ287" s="75"/>
      <c r="BR287" s="75"/>
      <c r="BS287" s="75"/>
      <c r="BT287" s="75"/>
      <c r="BU287" s="75"/>
      <c r="BV287" s="75"/>
      <c r="BW287" s="75"/>
      <c r="BX287" s="75"/>
      <c r="BY287" s="75"/>
      <c r="BZ287" s="75"/>
      <c r="CA287" s="73"/>
      <c r="CB287" s="75"/>
      <c r="CC287" s="75"/>
      <c r="CD287" s="75"/>
      <c r="CE287" s="73"/>
      <c r="CF287" s="75"/>
      <c r="CG287" s="75"/>
      <c r="CH287" s="75"/>
      <c r="CI287" s="73"/>
      <c r="CJ287" s="75"/>
      <c r="CK287" s="75"/>
      <c r="CL287" s="75"/>
      <c r="CM287" s="73"/>
      <c r="CN287" s="75"/>
      <c r="CO287" s="75"/>
      <c r="CP287" s="75"/>
      <c r="CQ287" s="73"/>
      <c r="CR287" s="75"/>
      <c r="CS287" s="75"/>
      <c r="CT287" s="75"/>
      <c r="CU287" s="73"/>
      <c r="CV287" s="75"/>
      <c r="CW287" s="75"/>
      <c r="CX287" s="75"/>
      <c r="CY287" s="73"/>
      <c r="CZ287" s="75"/>
      <c r="DA287" s="75"/>
      <c r="DB287" s="75"/>
      <c r="DC287" s="73"/>
      <c r="DD287" s="75"/>
      <c r="DE287" s="75"/>
      <c r="DF287" s="75"/>
      <c r="DG287" s="73"/>
      <c r="DH287" s="75"/>
      <c r="DI287" s="75"/>
      <c r="DJ287" s="75"/>
      <c r="DK287" s="76"/>
    </row>
    <row r="288" spans="63:115" x14ac:dyDescent="0.25">
      <c r="BK288" s="75"/>
      <c r="BL288" s="75"/>
      <c r="BM288" s="75"/>
      <c r="BN288" s="73"/>
      <c r="BO288" s="75"/>
      <c r="BP288" s="75"/>
      <c r="BQ288" s="75"/>
      <c r="BR288" s="75"/>
      <c r="BS288" s="75"/>
      <c r="BT288" s="75"/>
      <c r="BU288" s="75"/>
      <c r="BV288" s="75"/>
      <c r="BW288" s="75"/>
      <c r="BX288" s="75"/>
      <c r="BY288" s="75"/>
      <c r="BZ288" s="75"/>
      <c r="CA288" s="73"/>
      <c r="CB288" s="75"/>
      <c r="CC288" s="75"/>
      <c r="CD288" s="75"/>
      <c r="CE288" s="73"/>
      <c r="CF288" s="75"/>
      <c r="CG288" s="75"/>
      <c r="CH288" s="75"/>
      <c r="CI288" s="73"/>
      <c r="CJ288" s="75"/>
      <c r="CK288" s="75"/>
      <c r="CL288" s="75"/>
      <c r="CM288" s="73"/>
      <c r="CN288" s="75"/>
      <c r="CO288" s="75"/>
      <c r="CP288" s="75"/>
      <c r="CQ288" s="73"/>
      <c r="CR288" s="75"/>
      <c r="CS288" s="75"/>
      <c r="CT288" s="75"/>
      <c r="CU288" s="73"/>
      <c r="CV288" s="75"/>
      <c r="CW288" s="75"/>
      <c r="CX288" s="75"/>
      <c r="CY288" s="73"/>
      <c r="CZ288" s="75"/>
      <c r="DA288" s="75"/>
      <c r="DB288" s="75"/>
      <c r="DC288" s="73"/>
      <c r="DD288" s="75"/>
      <c r="DE288" s="75"/>
      <c r="DF288" s="75"/>
      <c r="DG288" s="73"/>
      <c r="DH288" s="75"/>
      <c r="DI288" s="75"/>
      <c r="DJ288" s="75"/>
      <c r="DK288" s="76"/>
    </row>
    <row r="289" spans="63:115" x14ac:dyDescent="0.25">
      <c r="BK289" s="75"/>
      <c r="BL289" s="75"/>
      <c r="BM289" s="75"/>
      <c r="BN289" s="73"/>
      <c r="BO289" s="75"/>
      <c r="BP289" s="75"/>
      <c r="BQ289" s="75"/>
      <c r="BR289" s="75"/>
      <c r="BS289" s="75"/>
      <c r="BT289" s="75"/>
      <c r="BU289" s="75"/>
      <c r="BV289" s="75"/>
      <c r="BW289" s="75"/>
      <c r="BX289" s="75"/>
      <c r="BY289" s="75"/>
      <c r="BZ289" s="75"/>
      <c r="CA289" s="73"/>
      <c r="CB289" s="75"/>
      <c r="CC289" s="75"/>
      <c r="CD289" s="75"/>
      <c r="CE289" s="73"/>
      <c r="CF289" s="75"/>
      <c r="CG289" s="75"/>
      <c r="CH289" s="75"/>
      <c r="CI289" s="73"/>
      <c r="CJ289" s="75"/>
      <c r="CK289" s="75"/>
      <c r="CL289" s="75"/>
      <c r="CM289" s="73"/>
      <c r="CN289" s="75"/>
      <c r="CO289" s="75"/>
      <c r="CP289" s="75"/>
      <c r="CQ289" s="73"/>
      <c r="CR289" s="75"/>
      <c r="CS289" s="75"/>
      <c r="CT289" s="75"/>
      <c r="CU289" s="73"/>
      <c r="CV289" s="75"/>
      <c r="CW289" s="75"/>
      <c r="CX289" s="75"/>
      <c r="CY289" s="73"/>
      <c r="CZ289" s="75"/>
      <c r="DA289" s="75"/>
      <c r="DB289" s="75"/>
      <c r="DC289" s="73"/>
      <c r="DD289" s="75"/>
      <c r="DE289" s="75"/>
      <c r="DF289" s="75"/>
      <c r="DG289" s="73"/>
      <c r="DH289" s="75"/>
      <c r="DI289" s="75"/>
      <c r="DJ289" s="75"/>
      <c r="DK289" s="76"/>
    </row>
    <row r="290" spans="63:115" x14ac:dyDescent="0.25">
      <c r="BK290" s="75"/>
      <c r="BL290" s="75"/>
      <c r="BM290" s="75"/>
      <c r="BN290" s="73"/>
      <c r="BO290" s="75"/>
      <c r="BP290" s="75"/>
      <c r="BQ290" s="75"/>
      <c r="BR290" s="75"/>
      <c r="BS290" s="75"/>
      <c r="BT290" s="75"/>
      <c r="BU290" s="75"/>
      <c r="BV290" s="75"/>
      <c r="BW290" s="75"/>
      <c r="BX290" s="75"/>
      <c r="BY290" s="75"/>
      <c r="BZ290" s="75"/>
      <c r="CA290" s="73"/>
      <c r="CB290" s="75"/>
      <c r="CC290" s="75"/>
      <c r="CD290" s="75"/>
      <c r="CE290" s="73"/>
      <c r="CF290" s="75"/>
      <c r="CG290" s="75"/>
      <c r="CH290" s="75"/>
      <c r="CI290" s="73"/>
      <c r="CJ290" s="75"/>
      <c r="CK290" s="75"/>
      <c r="CL290" s="75"/>
      <c r="CM290" s="73"/>
      <c r="CN290" s="75"/>
      <c r="CO290" s="75"/>
      <c r="CP290" s="75"/>
      <c r="CQ290" s="73"/>
      <c r="CR290" s="75"/>
      <c r="CS290" s="75"/>
      <c r="CT290" s="75"/>
      <c r="CU290" s="73"/>
      <c r="CV290" s="75"/>
      <c r="CW290" s="75"/>
      <c r="CX290" s="75"/>
      <c r="CY290" s="73"/>
      <c r="CZ290" s="75"/>
      <c r="DA290" s="75"/>
      <c r="DB290" s="75"/>
      <c r="DC290" s="73"/>
      <c r="DD290" s="75"/>
      <c r="DE290" s="75"/>
      <c r="DF290" s="75"/>
      <c r="DG290" s="73"/>
      <c r="DH290" s="75"/>
      <c r="DI290" s="75"/>
      <c r="DJ290" s="75"/>
      <c r="DK290" s="76"/>
    </row>
    <row r="291" spans="63:115" x14ac:dyDescent="0.25">
      <c r="BK291" s="75"/>
      <c r="BL291" s="75"/>
      <c r="BM291" s="75"/>
      <c r="BN291" s="73"/>
      <c r="BO291" s="75"/>
      <c r="BP291" s="75"/>
      <c r="BQ291" s="75"/>
      <c r="BR291" s="75"/>
      <c r="BS291" s="75"/>
      <c r="BT291" s="75"/>
      <c r="BU291" s="75"/>
      <c r="BV291" s="75"/>
      <c r="BW291" s="75"/>
      <c r="BX291" s="75"/>
      <c r="BY291" s="75"/>
      <c r="BZ291" s="75"/>
      <c r="CA291" s="73"/>
      <c r="CB291" s="75"/>
      <c r="CC291" s="75"/>
      <c r="CD291" s="75"/>
      <c r="CE291" s="73"/>
      <c r="CF291" s="75"/>
      <c r="CG291" s="75"/>
      <c r="CH291" s="75"/>
      <c r="CI291" s="73"/>
      <c r="CJ291" s="75"/>
      <c r="CK291" s="75"/>
      <c r="CL291" s="75"/>
      <c r="CM291" s="73"/>
      <c r="CN291" s="75"/>
      <c r="CO291" s="75"/>
      <c r="CP291" s="75"/>
      <c r="CQ291" s="73"/>
      <c r="CR291" s="75"/>
      <c r="CS291" s="75"/>
      <c r="CT291" s="75"/>
      <c r="CU291" s="73"/>
      <c r="CV291" s="75"/>
      <c r="CW291" s="75"/>
      <c r="CX291" s="75"/>
      <c r="CY291" s="73"/>
      <c r="CZ291" s="75"/>
      <c r="DA291" s="75"/>
      <c r="DB291" s="75"/>
      <c r="DC291" s="73"/>
      <c r="DD291" s="75"/>
      <c r="DE291" s="75"/>
      <c r="DF291" s="75"/>
      <c r="DG291" s="73"/>
      <c r="DH291" s="75"/>
      <c r="DI291" s="75"/>
      <c r="DJ291" s="75"/>
      <c r="DK291" s="76"/>
    </row>
    <row r="292" spans="63:115" x14ac:dyDescent="0.25">
      <c r="BK292" s="75"/>
      <c r="BL292" s="75"/>
      <c r="BM292" s="75"/>
      <c r="BN292" s="73"/>
      <c r="BO292" s="75"/>
      <c r="BP292" s="75"/>
      <c r="BQ292" s="75"/>
      <c r="BR292" s="75"/>
      <c r="BS292" s="75"/>
      <c r="BT292" s="75"/>
      <c r="BU292" s="75"/>
      <c r="BV292" s="75"/>
      <c r="BW292" s="75"/>
      <c r="BX292" s="75"/>
      <c r="BY292" s="75"/>
      <c r="BZ292" s="75"/>
      <c r="CA292" s="73"/>
      <c r="CB292" s="75"/>
      <c r="CC292" s="75"/>
      <c r="CD292" s="75"/>
      <c r="CE292" s="73"/>
      <c r="CF292" s="75"/>
      <c r="CG292" s="75"/>
      <c r="CH292" s="75"/>
      <c r="CI292" s="73"/>
      <c r="CJ292" s="75"/>
      <c r="CK292" s="75"/>
      <c r="CL292" s="75"/>
      <c r="CM292" s="73"/>
      <c r="CN292" s="75"/>
      <c r="CO292" s="75"/>
      <c r="CP292" s="75"/>
      <c r="CQ292" s="73"/>
      <c r="CR292" s="75"/>
      <c r="CS292" s="75"/>
      <c r="CT292" s="75"/>
      <c r="CU292" s="73"/>
      <c r="CV292" s="75"/>
      <c r="CW292" s="75"/>
      <c r="CX292" s="75"/>
      <c r="CY292" s="73"/>
      <c r="CZ292" s="75"/>
      <c r="DA292" s="75"/>
      <c r="DB292" s="75"/>
      <c r="DC292" s="73"/>
      <c r="DD292" s="75"/>
      <c r="DE292" s="75"/>
      <c r="DF292" s="75"/>
      <c r="DG292" s="73"/>
      <c r="DH292" s="75"/>
      <c r="DI292" s="75"/>
      <c r="DJ292" s="75"/>
      <c r="DK292" s="76"/>
    </row>
    <row r="293" spans="63:115" x14ac:dyDescent="0.25">
      <c r="BK293" s="75"/>
      <c r="BL293" s="75"/>
      <c r="BM293" s="75"/>
      <c r="BN293" s="73"/>
      <c r="BO293" s="75"/>
      <c r="BP293" s="75"/>
      <c r="BQ293" s="75"/>
      <c r="BR293" s="75"/>
      <c r="BS293" s="75"/>
      <c r="BT293" s="75"/>
      <c r="BU293" s="75"/>
      <c r="BV293" s="75"/>
      <c r="BW293" s="75"/>
      <c r="BX293" s="75"/>
      <c r="BY293" s="75"/>
      <c r="BZ293" s="75"/>
      <c r="CA293" s="73"/>
      <c r="CB293" s="75"/>
      <c r="CC293" s="75"/>
      <c r="CD293" s="75"/>
      <c r="CE293" s="73"/>
      <c r="CF293" s="75"/>
      <c r="CG293" s="75"/>
      <c r="CH293" s="75"/>
      <c r="CI293" s="73"/>
      <c r="CJ293" s="75"/>
      <c r="CK293" s="75"/>
      <c r="CL293" s="75"/>
      <c r="CM293" s="73"/>
      <c r="CN293" s="75"/>
      <c r="CO293" s="75"/>
      <c r="CP293" s="75"/>
      <c r="CQ293" s="73"/>
      <c r="CR293" s="75"/>
      <c r="CS293" s="75"/>
      <c r="CT293" s="75"/>
      <c r="CU293" s="73"/>
      <c r="CV293" s="75"/>
      <c r="CW293" s="75"/>
      <c r="CX293" s="75"/>
      <c r="CY293" s="73"/>
      <c r="CZ293" s="75"/>
      <c r="DA293" s="75"/>
      <c r="DB293" s="75"/>
      <c r="DC293" s="73"/>
      <c r="DD293" s="75"/>
      <c r="DE293" s="75"/>
      <c r="DF293" s="75"/>
      <c r="DG293" s="73"/>
      <c r="DH293" s="75"/>
      <c r="DI293" s="75"/>
      <c r="DJ293" s="75"/>
      <c r="DK293" s="76"/>
    </row>
    <row r="294" spans="63:115" x14ac:dyDescent="0.25">
      <c r="BK294" s="75"/>
      <c r="BL294" s="75"/>
      <c r="BM294" s="75"/>
      <c r="BN294" s="73"/>
      <c r="BO294" s="75"/>
      <c r="BP294" s="75"/>
      <c r="BQ294" s="75"/>
      <c r="BR294" s="75"/>
      <c r="BS294" s="75"/>
      <c r="BT294" s="75"/>
      <c r="BU294" s="75"/>
      <c r="BV294" s="75"/>
      <c r="BW294" s="75"/>
      <c r="BX294" s="75"/>
      <c r="BY294" s="75"/>
      <c r="BZ294" s="75"/>
      <c r="CA294" s="73"/>
      <c r="CB294" s="75"/>
      <c r="CC294" s="75"/>
      <c r="CD294" s="75"/>
      <c r="CE294" s="73"/>
      <c r="CF294" s="75"/>
      <c r="CG294" s="75"/>
      <c r="CH294" s="75"/>
      <c r="CI294" s="73"/>
      <c r="CJ294" s="75"/>
      <c r="CK294" s="75"/>
      <c r="CL294" s="75"/>
      <c r="CM294" s="73"/>
      <c r="CN294" s="75"/>
      <c r="CO294" s="75"/>
      <c r="CP294" s="75"/>
      <c r="CQ294" s="73"/>
      <c r="CR294" s="75"/>
      <c r="CS294" s="75"/>
      <c r="CT294" s="75"/>
      <c r="CU294" s="73"/>
      <c r="CV294" s="75"/>
      <c r="CW294" s="75"/>
      <c r="CX294" s="75"/>
      <c r="CY294" s="73"/>
      <c r="CZ294" s="75"/>
      <c r="DA294" s="75"/>
      <c r="DB294" s="75"/>
      <c r="DC294" s="73"/>
      <c r="DD294" s="75"/>
      <c r="DE294" s="75"/>
      <c r="DF294" s="75"/>
      <c r="DG294" s="73"/>
      <c r="DH294" s="75"/>
      <c r="DI294" s="75"/>
      <c r="DJ294" s="75"/>
      <c r="DK294" s="76"/>
    </row>
    <row r="295" spans="63:115" x14ac:dyDescent="0.25">
      <c r="BK295" s="75"/>
      <c r="BL295" s="75"/>
      <c r="BM295" s="75"/>
      <c r="BN295" s="73"/>
      <c r="BO295" s="75"/>
      <c r="BP295" s="75"/>
      <c r="BQ295" s="75"/>
      <c r="BR295" s="75"/>
      <c r="BS295" s="75"/>
      <c r="BT295" s="75"/>
      <c r="BU295" s="75"/>
      <c r="BV295" s="75"/>
      <c r="BW295" s="75"/>
      <c r="BX295" s="75"/>
      <c r="BY295" s="75"/>
      <c r="BZ295" s="75"/>
      <c r="CA295" s="73"/>
      <c r="CB295" s="75"/>
      <c r="CC295" s="75"/>
      <c r="CD295" s="75"/>
      <c r="CE295" s="73"/>
      <c r="CF295" s="75"/>
      <c r="CG295" s="75"/>
      <c r="CH295" s="75"/>
      <c r="CI295" s="73"/>
      <c r="CJ295" s="75"/>
      <c r="CK295" s="75"/>
      <c r="CL295" s="75"/>
      <c r="CM295" s="73"/>
      <c r="CN295" s="75"/>
      <c r="CO295" s="75"/>
      <c r="CP295" s="75"/>
      <c r="CQ295" s="73"/>
      <c r="CR295" s="75"/>
      <c r="CS295" s="75"/>
      <c r="CT295" s="75"/>
      <c r="CU295" s="73"/>
      <c r="CV295" s="75"/>
      <c r="CW295" s="75"/>
      <c r="CX295" s="75"/>
      <c r="CY295" s="73"/>
      <c r="CZ295" s="75"/>
      <c r="DA295" s="75"/>
      <c r="DB295" s="75"/>
      <c r="DC295" s="73"/>
      <c r="DD295" s="75"/>
      <c r="DE295" s="75"/>
      <c r="DF295" s="75"/>
      <c r="DG295" s="73"/>
      <c r="DH295" s="75"/>
      <c r="DI295" s="75"/>
      <c r="DJ295" s="75"/>
      <c r="DK295" s="76"/>
    </row>
    <row r="296" spans="63:115" x14ac:dyDescent="0.25">
      <c r="BK296" s="75"/>
      <c r="BL296" s="75"/>
      <c r="BM296" s="75"/>
      <c r="BN296" s="73"/>
      <c r="BO296" s="75"/>
      <c r="BP296" s="75"/>
      <c r="BQ296" s="75"/>
      <c r="BR296" s="75"/>
      <c r="BS296" s="75"/>
      <c r="BT296" s="75"/>
      <c r="BU296" s="75"/>
      <c r="BV296" s="75"/>
      <c r="BW296" s="75"/>
      <c r="BX296" s="75"/>
      <c r="BY296" s="75"/>
      <c r="BZ296" s="75"/>
      <c r="CA296" s="73"/>
      <c r="CB296" s="75"/>
      <c r="CC296" s="75"/>
      <c r="CD296" s="75"/>
      <c r="CE296" s="73"/>
      <c r="CF296" s="75"/>
      <c r="CG296" s="75"/>
      <c r="CH296" s="75"/>
      <c r="CI296" s="73"/>
      <c r="CJ296" s="75"/>
      <c r="CK296" s="75"/>
      <c r="CL296" s="75"/>
      <c r="CM296" s="73"/>
      <c r="CN296" s="75"/>
      <c r="CO296" s="75"/>
      <c r="CP296" s="75"/>
      <c r="CQ296" s="73"/>
      <c r="CR296" s="75"/>
      <c r="CS296" s="75"/>
      <c r="CT296" s="75"/>
      <c r="CU296" s="73"/>
      <c r="CV296" s="75"/>
      <c r="CW296" s="75"/>
      <c r="CX296" s="75"/>
      <c r="CY296" s="73"/>
      <c r="CZ296" s="75"/>
      <c r="DA296" s="75"/>
      <c r="DB296" s="75"/>
      <c r="DC296" s="73"/>
      <c r="DD296" s="75"/>
      <c r="DE296" s="75"/>
      <c r="DF296" s="75"/>
      <c r="DG296" s="73"/>
      <c r="DH296" s="75"/>
      <c r="DI296" s="75"/>
      <c r="DJ296" s="75"/>
      <c r="DK296" s="76"/>
    </row>
    <row r="297" spans="63:115" x14ac:dyDescent="0.25">
      <c r="BK297" s="75"/>
      <c r="BL297" s="75"/>
      <c r="BM297" s="75"/>
      <c r="BN297" s="73"/>
      <c r="BO297" s="75"/>
      <c r="BP297" s="75"/>
      <c r="BQ297" s="75"/>
      <c r="BR297" s="75"/>
      <c r="BS297" s="75"/>
      <c r="BT297" s="75"/>
      <c r="BU297" s="75"/>
      <c r="BV297" s="75"/>
      <c r="BW297" s="75"/>
      <c r="BX297" s="75"/>
      <c r="BY297" s="75"/>
      <c r="BZ297" s="75"/>
      <c r="CA297" s="73"/>
      <c r="CB297" s="75"/>
      <c r="CC297" s="75"/>
      <c r="CD297" s="75"/>
      <c r="CE297" s="73"/>
      <c r="CF297" s="75"/>
      <c r="CG297" s="75"/>
      <c r="CH297" s="75"/>
      <c r="CI297" s="73"/>
      <c r="CJ297" s="75"/>
      <c r="CK297" s="75"/>
      <c r="CL297" s="75"/>
      <c r="CM297" s="73"/>
      <c r="CN297" s="75"/>
      <c r="CO297" s="75"/>
      <c r="CP297" s="75"/>
      <c r="CQ297" s="73"/>
      <c r="CR297" s="75"/>
      <c r="CS297" s="75"/>
      <c r="CT297" s="75"/>
      <c r="CU297" s="73"/>
      <c r="CV297" s="75"/>
      <c r="CW297" s="75"/>
      <c r="CX297" s="75"/>
      <c r="CY297" s="73"/>
      <c r="CZ297" s="75"/>
      <c r="DA297" s="75"/>
      <c r="DB297" s="75"/>
      <c r="DC297" s="73"/>
      <c r="DD297" s="75"/>
      <c r="DE297" s="75"/>
      <c r="DF297" s="75"/>
      <c r="DG297" s="73"/>
      <c r="DH297" s="75"/>
      <c r="DI297" s="75"/>
      <c r="DJ297" s="75"/>
      <c r="DK297" s="76"/>
    </row>
    <row r="298" spans="63:115" x14ac:dyDescent="0.25">
      <c r="BK298" s="75"/>
      <c r="BL298" s="75"/>
      <c r="BM298" s="75"/>
      <c r="BN298" s="73"/>
      <c r="BO298" s="75"/>
      <c r="BP298" s="75"/>
      <c r="BQ298" s="75"/>
      <c r="BR298" s="75"/>
      <c r="BS298" s="75"/>
      <c r="BT298" s="75"/>
      <c r="BU298" s="75"/>
      <c r="BV298" s="75"/>
      <c r="BW298" s="75"/>
      <c r="BX298" s="75"/>
      <c r="BY298" s="75"/>
      <c r="BZ298" s="75"/>
      <c r="CA298" s="73"/>
      <c r="CB298" s="75"/>
      <c r="CC298" s="75"/>
      <c r="CD298" s="75"/>
      <c r="CE298" s="73"/>
      <c r="CF298" s="75"/>
      <c r="CG298" s="75"/>
      <c r="CH298" s="75"/>
      <c r="CI298" s="73"/>
      <c r="CJ298" s="75"/>
      <c r="CK298" s="75"/>
      <c r="CL298" s="75"/>
      <c r="CM298" s="73"/>
      <c r="CN298" s="75"/>
      <c r="CO298" s="75"/>
      <c r="CP298" s="75"/>
      <c r="CQ298" s="73"/>
      <c r="CR298" s="75"/>
      <c r="CS298" s="75"/>
      <c r="CT298" s="75"/>
      <c r="CU298" s="73"/>
      <c r="CV298" s="75"/>
      <c r="CW298" s="75"/>
      <c r="CX298" s="75"/>
      <c r="CY298" s="73"/>
      <c r="CZ298" s="75"/>
      <c r="DA298" s="75"/>
      <c r="DB298" s="75"/>
      <c r="DC298" s="73"/>
      <c r="DD298" s="75"/>
      <c r="DE298" s="75"/>
      <c r="DF298" s="75"/>
      <c r="DG298" s="73"/>
      <c r="DH298" s="75"/>
      <c r="DI298" s="75"/>
      <c r="DJ298" s="75"/>
      <c r="DK298" s="76"/>
    </row>
    <row r="299" spans="63:115" x14ac:dyDescent="0.25">
      <c r="BK299" s="75"/>
      <c r="BL299" s="75"/>
      <c r="BM299" s="75"/>
      <c r="BN299" s="73"/>
      <c r="BO299" s="75"/>
      <c r="BP299" s="75"/>
      <c r="BQ299" s="75"/>
      <c r="BR299" s="75"/>
      <c r="BS299" s="75"/>
      <c r="BT299" s="75"/>
      <c r="BU299" s="75"/>
      <c r="BV299" s="75"/>
      <c r="BW299" s="75"/>
      <c r="BX299" s="75"/>
      <c r="BY299" s="75"/>
      <c r="BZ299" s="75"/>
      <c r="CA299" s="73"/>
      <c r="CB299" s="75"/>
      <c r="CC299" s="75"/>
      <c r="CD299" s="75"/>
      <c r="CE299" s="73"/>
      <c r="CF299" s="75"/>
      <c r="CG299" s="75"/>
      <c r="CH299" s="75"/>
      <c r="CI299" s="73"/>
      <c r="CJ299" s="75"/>
      <c r="CK299" s="75"/>
      <c r="CL299" s="75"/>
      <c r="CM299" s="73"/>
      <c r="CN299" s="75"/>
      <c r="CO299" s="75"/>
      <c r="CP299" s="75"/>
      <c r="CQ299" s="73"/>
      <c r="CR299" s="75"/>
      <c r="CS299" s="75"/>
      <c r="CT299" s="75"/>
      <c r="CU299" s="73"/>
      <c r="CV299" s="75"/>
      <c r="CW299" s="75"/>
      <c r="CX299" s="75"/>
      <c r="CY299" s="73"/>
      <c r="CZ299" s="75"/>
      <c r="DA299" s="75"/>
      <c r="DB299" s="75"/>
      <c r="DC299" s="73"/>
      <c r="DD299" s="75"/>
      <c r="DE299" s="75"/>
      <c r="DF299" s="75"/>
      <c r="DG299" s="73"/>
      <c r="DH299" s="75"/>
      <c r="DI299" s="75"/>
      <c r="DJ299" s="75"/>
      <c r="DK299" s="76"/>
    </row>
    <row r="300" spans="63:115" x14ac:dyDescent="0.25">
      <c r="BK300" s="75"/>
      <c r="BL300" s="75"/>
      <c r="BM300" s="75"/>
      <c r="BN300" s="73"/>
      <c r="BO300" s="75"/>
      <c r="BP300" s="75"/>
      <c r="BQ300" s="75"/>
      <c r="BR300" s="75"/>
      <c r="BS300" s="75"/>
      <c r="BT300" s="75"/>
      <c r="BU300" s="75"/>
      <c r="BV300" s="75"/>
      <c r="BW300" s="75"/>
      <c r="BX300" s="75"/>
      <c r="BY300" s="75"/>
      <c r="BZ300" s="75"/>
      <c r="CA300" s="73"/>
      <c r="CB300" s="75"/>
      <c r="CC300" s="75"/>
      <c r="CD300" s="75"/>
      <c r="CE300" s="73"/>
      <c r="CF300" s="75"/>
      <c r="CG300" s="75"/>
      <c r="CH300" s="75"/>
      <c r="CI300" s="73"/>
      <c r="CJ300" s="75"/>
      <c r="CK300" s="75"/>
      <c r="CL300" s="75"/>
      <c r="CM300" s="73"/>
      <c r="CN300" s="75"/>
      <c r="CO300" s="75"/>
      <c r="CP300" s="75"/>
      <c r="CQ300" s="73"/>
      <c r="CR300" s="75"/>
      <c r="CS300" s="75"/>
      <c r="CT300" s="75"/>
      <c r="CU300" s="73"/>
      <c r="CV300" s="75"/>
      <c r="CW300" s="75"/>
      <c r="CX300" s="75"/>
      <c r="CY300" s="73"/>
      <c r="CZ300" s="75"/>
      <c r="DA300" s="75"/>
      <c r="DB300" s="75"/>
      <c r="DC300" s="73"/>
      <c r="DD300" s="75"/>
      <c r="DE300" s="75"/>
      <c r="DF300" s="75"/>
      <c r="DG300" s="73"/>
      <c r="DH300" s="75"/>
      <c r="DI300" s="75"/>
      <c r="DJ300" s="75"/>
      <c r="DK300" s="76"/>
    </row>
    <row r="301" spans="63:115" x14ac:dyDescent="0.25">
      <c r="BK301" s="75"/>
      <c r="BL301" s="75"/>
      <c r="BM301" s="75"/>
      <c r="BN301" s="73"/>
      <c r="BO301" s="75"/>
      <c r="BP301" s="75"/>
      <c r="BQ301" s="75"/>
      <c r="BR301" s="75"/>
      <c r="BS301" s="75"/>
      <c r="BT301" s="75"/>
      <c r="BU301" s="75"/>
      <c r="BV301" s="75"/>
      <c r="BW301" s="75"/>
      <c r="BX301" s="75"/>
      <c r="BY301" s="75"/>
      <c r="BZ301" s="75"/>
      <c r="CA301" s="73"/>
      <c r="CB301" s="75"/>
      <c r="CC301" s="75"/>
      <c r="CD301" s="75"/>
      <c r="CE301" s="73"/>
      <c r="CF301" s="75"/>
      <c r="CG301" s="75"/>
      <c r="CH301" s="75"/>
      <c r="CI301" s="73"/>
      <c r="CJ301" s="75"/>
      <c r="CK301" s="75"/>
      <c r="CL301" s="75"/>
      <c r="CM301" s="73"/>
      <c r="CN301" s="75"/>
      <c r="CO301" s="75"/>
      <c r="CP301" s="75"/>
      <c r="CQ301" s="73"/>
      <c r="CR301" s="75"/>
      <c r="CS301" s="75"/>
      <c r="CT301" s="75"/>
      <c r="CU301" s="73"/>
      <c r="CV301" s="75"/>
      <c r="CW301" s="75"/>
      <c r="CX301" s="75"/>
      <c r="CY301" s="73"/>
      <c r="CZ301" s="75"/>
      <c r="DA301" s="75"/>
      <c r="DB301" s="75"/>
      <c r="DC301" s="73"/>
      <c r="DD301" s="75"/>
      <c r="DE301" s="75"/>
      <c r="DF301" s="75"/>
      <c r="DG301" s="73"/>
      <c r="DH301" s="75"/>
      <c r="DI301" s="75"/>
      <c r="DJ301" s="75"/>
      <c r="DK301" s="76"/>
    </row>
    <row r="302" spans="63:115" x14ac:dyDescent="0.25">
      <c r="BK302" s="75"/>
      <c r="BL302" s="75"/>
      <c r="BM302" s="75"/>
      <c r="BN302" s="73"/>
      <c r="BO302" s="75"/>
      <c r="BP302" s="75"/>
      <c r="BQ302" s="75"/>
      <c r="BR302" s="75"/>
      <c r="BS302" s="75"/>
      <c r="BT302" s="75"/>
      <c r="BU302" s="75"/>
      <c r="BV302" s="75"/>
      <c r="BW302" s="75"/>
      <c r="BX302" s="75"/>
      <c r="BY302" s="75"/>
      <c r="BZ302" s="75"/>
      <c r="CA302" s="73"/>
      <c r="CB302" s="75"/>
      <c r="CC302" s="75"/>
      <c r="CD302" s="75"/>
      <c r="CE302" s="73"/>
      <c r="CF302" s="75"/>
      <c r="CG302" s="75"/>
      <c r="CH302" s="75"/>
      <c r="CI302" s="73"/>
      <c r="CJ302" s="75"/>
      <c r="CK302" s="75"/>
      <c r="CL302" s="75"/>
      <c r="CM302" s="73"/>
      <c r="CN302" s="75"/>
      <c r="CO302" s="75"/>
      <c r="CP302" s="75"/>
      <c r="CQ302" s="73"/>
      <c r="CR302" s="75"/>
      <c r="CS302" s="75"/>
      <c r="CT302" s="75"/>
      <c r="CU302" s="73"/>
      <c r="CV302" s="75"/>
      <c r="CW302" s="75"/>
      <c r="CX302" s="75"/>
      <c r="CY302" s="73"/>
      <c r="CZ302" s="75"/>
      <c r="DA302" s="75"/>
      <c r="DB302" s="75"/>
      <c r="DC302" s="73"/>
      <c r="DD302" s="75"/>
      <c r="DE302" s="75"/>
      <c r="DF302" s="75"/>
      <c r="DG302" s="73"/>
      <c r="DH302" s="75"/>
      <c r="DI302" s="75"/>
      <c r="DJ302" s="75"/>
      <c r="DK302" s="76"/>
    </row>
    <row r="303" spans="63:115" x14ac:dyDescent="0.25">
      <c r="BK303" s="75"/>
      <c r="BL303" s="75"/>
      <c r="BM303" s="75"/>
      <c r="BN303" s="73"/>
      <c r="BO303" s="75"/>
      <c r="BP303" s="75"/>
      <c r="BQ303" s="75"/>
      <c r="BR303" s="75"/>
      <c r="BS303" s="75"/>
      <c r="BT303" s="75"/>
      <c r="BU303" s="75"/>
      <c r="BV303" s="75"/>
      <c r="BW303" s="75"/>
      <c r="BX303" s="75"/>
      <c r="BY303" s="75"/>
      <c r="BZ303" s="75"/>
      <c r="CA303" s="73"/>
      <c r="CB303" s="75"/>
      <c r="CC303" s="75"/>
      <c r="CD303" s="75"/>
      <c r="CE303" s="73"/>
      <c r="CF303" s="75"/>
      <c r="CG303" s="75"/>
      <c r="CH303" s="75"/>
      <c r="CI303" s="73"/>
      <c r="CJ303" s="75"/>
      <c r="CK303" s="75"/>
      <c r="CL303" s="75"/>
      <c r="CM303" s="73"/>
      <c r="CN303" s="75"/>
      <c r="CO303" s="75"/>
      <c r="CP303" s="75"/>
      <c r="CQ303" s="73"/>
      <c r="CR303" s="75"/>
      <c r="CS303" s="75"/>
      <c r="CT303" s="75"/>
      <c r="CU303" s="73"/>
      <c r="CV303" s="75"/>
      <c r="CW303" s="75"/>
      <c r="CX303" s="75"/>
      <c r="CY303" s="73"/>
      <c r="CZ303" s="75"/>
      <c r="DA303" s="75"/>
      <c r="DB303" s="75"/>
      <c r="DC303" s="73"/>
      <c r="DD303" s="75"/>
      <c r="DE303" s="75"/>
      <c r="DF303" s="75"/>
      <c r="DG303" s="73"/>
      <c r="DH303" s="75"/>
      <c r="DI303" s="75"/>
      <c r="DJ303" s="75"/>
      <c r="DK303" s="76"/>
    </row>
    <row r="304" spans="63:115" x14ac:dyDescent="0.25">
      <c r="BK304" s="75"/>
      <c r="BL304" s="75"/>
      <c r="BM304" s="75"/>
      <c r="BN304" s="73"/>
      <c r="BO304" s="75"/>
      <c r="BP304" s="75"/>
      <c r="BQ304" s="75"/>
      <c r="BR304" s="75"/>
      <c r="BS304" s="75"/>
      <c r="BT304" s="75"/>
      <c r="BU304" s="75"/>
      <c r="BV304" s="75"/>
      <c r="BW304" s="75"/>
      <c r="BX304" s="75"/>
      <c r="BY304" s="75"/>
      <c r="BZ304" s="75"/>
      <c r="CA304" s="73"/>
      <c r="CB304" s="75"/>
      <c r="CC304" s="75"/>
      <c r="CD304" s="75"/>
      <c r="CE304" s="73"/>
      <c r="CF304" s="75"/>
      <c r="CG304" s="75"/>
      <c r="CH304" s="75"/>
      <c r="CI304" s="73"/>
      <c r="CJ304" s="75"/>
      <c r="CK304" s="75"/>
      <c r="CL304" s="75"/>
      <c r="CM304" s="73"/>
      <c r="CN304" s="75"/>
      <c r="CO304" s="75"/>
      <c r="CP304" s="75"/>
      <c r="CQ304" s="73"/>
      <c r="CR304" s="75"/>
      <c r="CS304" s="75"/>
      <c r="CT304" s="75"/>
      <c r="CU304" s="73"/>
      <c r="CV304" s="75"/>
      <c r="CW304" s="75"/>
      <c r="CX304" s="75"/>
      <c r="CY304" s="73"/>
      <c r="CZ304" s="75"/>
      <c r="DA304" s="75"/>
      <c r="DB304" s="75"/>
      <c r="DC304" s="73"/>
      <c r="DD304" s="75"/>
      <c r="DE304" s="75"/>
      <c r="DF304" s="75"/>
      <c r="DG304" s="73"/>
      <c r="DH304" s="75"/>
      <c r="DI304" s="75"/>
      <c r="DJ304" s="75"/>
      <c r="DK304" s="76"/>
    </row>
    <row r="305" spans="63:115" x14ac:dyDescent="0.25">
      <c r="BK305" s="75"/>
      <c r="BL305" s="75"/>
      <c r="BM305" s="75"/>
      <c r="BN305" s="73"/>
      <c r="BO305" s="75"/>
      <c r="BP305" s="75"/>
      <c r="BQ305" s="75"/>
      <c r="BR305" s="75"/>
      <c r="BS305" s="75"/>
      <c r="BT305" s="75"/>
      <c r="BU305" s="75"/>
      <c r="BV305" s="75"/>
      <c r="BW305" s="75"/>
      <c r="BX305" s="75"/>
      <c r="BY305" s="75"/>
      <c r="BZ305" s="75"/>
      <c r="CA305" s="73"/>
      <c r="CB305" s="75"/>
      <c r="CC305" s="75"/>
      <c r="CD305" s="75"/>
      <c r="CE305" s="73"/>
      <c r="CF305" s="75"/>
      <c r="CG305" s="75"/>
      <c r="CH305" s="75"/>
      <c r="CI305" s="73"/>
      <c r="CJ305" s="75"/>
      <c r="CK305" s="75"/>
      <c r="CL305" s="75"/>
      <c r="CM305" s="73"/>
      <c r="CN305" s="75"/>
      <c r="CO305" s="75"/>
      <c r="CP305" s="75"/>
      <c r="CQ305" s="73"/>
      <c r="CR305" s="75"/>
      <c r="CS305" s="75"/>
      <c r="CT305" s="75"/>
      <c r="CU305" s="73"/>
      <c r="CV305" s="75"/>
      <c r="CW305" s="75"/>
      <c r="CX305" s="75"/>
      <c r="CY305" s="73"/>
      <c r="CZ305" s="75"/>
      <c r="DA305" s="75"/>
      <c r="DB305" s="75"/>
      <c r="DC305" s="73"/>
      <c r="DD305" s="75"/>
      <c r="DE305" s="75"/>
      <c r="DF305" s="75"/>
      <c r="DG305" s="73"/>
      <c r="DH305" s="75"/>
      <c r="DI305" s="75"/>
      <c r="DJ305" s="75"/>
      <c r="DK305" s="76"/>
    </row>
    <row r="306" spans="63:115" x14ac:dyDescent="0.25">
      <c r="BK306" s="75"/>
      <c r="BL306" s="75"/>
      <c r="BM306" s="75"/>
      <c r="BN306" s="73"/>
      <c r="BO306" s="75"/>
      <c r="BP306" s="75"/>
      <c r="BQ306" s="75"/>
      <c r="BR306" s="75"/>
      <c r="BS306" s="75"/>
      <c r="BT306" s="75"/>
      <c r="BU306" s="75"/>
      <c r="BV306" s="75"/>
      <c r="BW306" s="75"/>
      <c r="BX306" s="75"/>
      <c r="BY306" s="75"/>
      <c r="BZ306" s="75"/>
      <c r="CA306" s="73"/>
      <c r="CB306" s="75"/>
      <c r="CC306" s="75"/>
      <c r="CD306" s="75"/>
      <c r="CE306" s="73"/>
      <c r="CF306" s="75"/>
      <c r="CG306" s="75"/>
      <c r="CH306" s="75"/>
      <c r="CI306" s="73"/>
      <c r="CJ306" s="75"/>
      <c r="CK306" s="75"/>
      <c r="CL306" s="75"/>
      <c r="CM306" s="73"/>
      <c r="CN306" s="75"/>
      <c r="CO306" s="75"/>
      <c r="CP306" s="75"/>
      <c r="CQ306" s="73"/>
      <c r="CR306" s="75"/>
      <c r="CS306" s="75"/>
      <c r="CT306" s="75"/>
      <c r="CU306" s="73"/>
      <c r="CV306" s="75"/>
      <c r="CW306" s="75"/>
      <c r="CX306" s="75"/>
      <c r="CY306" s="73"/>
      <c r="CZ306" s="75"/>
      <c r="DA306" s="75"/>
      <c r="DB306" s="75"/>
      <c r="DC306" s="73"/>
      <c r="DD306" s="75"/>
      <c r="DE306" s="75"/>
      <c r="DF306" s="75"/>
      <c r="DG306" s="73"/>
      <c r="DH306" s="75"/>
      <c r="DI306" s="75"/>
      <c r="DJ306" s="75"/>
      <c r="DK306" s="76"/>
    </row>
    <row r="307" spans="63:115" x14ac:dyDescent="0.25">
      <c r="BK307" s="75"/>
      <c r="BL307" s="75"/>
      <c r="BM307" s="75"/>
      <c r="BN307" s="73"/>
      <c r="BO307" s="75"/>
      <c r="BP307" s="75"/>
      <c r="BQ307" s="75"/>
      <c r="BR307" s="75"/>
      <c r="BS307" s="75"/>
      <c r="BT307" s="75"/>
      <c r="BU307" s="75"/>
      <c r="BV307" s="75"/>
      <c r="BW307" s="75"/>
      <c r="BX307" s="75"/>
      <c r="BY307" s="75"/>
      <c r="BZ307" s="75"/>
      <c r="CA307" s="73"/>
      <c r="CB307" s="75"/>
      <c r="CC307" s="75"/>
      <c r="CD307" s="75"/>
      <c r="CE307" s="73"/>
      <c r="CF307" s="75"/>
      <c r="CG307" s="75"/>
      <c r="CH307" s="75"/>
      <c r="CI307" s="73"/>
      <c r="CJ307" s="75"/>
      <c r="CK307" s="75"/>
      <c r="CL307" s="75"/>
      <c r="CM307" s="73"/>
      <c r="CN307" s="75"/>
      <c r="CO307" s="75"/>
      <c r="CP307" s="75"/>
      <c r="CQ307" s="73"/>
      <c r="CR307" s="75"/>
      <c r="CS307" s="75"/>
      <c r="CT307" s="75"/>
      <c r="CU307" s="73"/>
      <c r="CV307" s="75"/>
      <c r="CW307" s="75"/>
      <c r="CX307" s="75"/>
      <c r="CY307" s="73"/>
      <c r="CZ307" s="75"/>
      <c r="DA307" s="75"/>
      <c r="DB307" s="75"/>
      <c r="DC307" s="73"/>
      <c r="DD307" s="75"/>
      <c r="DE307" s="75"/>
      <c r="DF307" s="75"/>
      <c r="DG307" s="73"/>
      <c r="DH307" s="75"/>
      <c r="DI307" s="75"/>
      <c r="DJ307" s="75"/>
      <c r="DK307" s="76"/>
    </row>
    <row r="308" spans="63:115" x14ac:dyDescent="0.25">
      <c r="BK308" s="75"/>
      <c r="BL308" s="75"/>
      <c r="BM308" s="75"/>
      <c r="BN308" s="73"/>
      <c r="BO308" s="75"/>
      <c r="BP308" s="75"/>
      <c r="BQ308" s="75"/>
      <c r="BR308" s="75"/>
      <c r="BS308" s="75"/>
      <c r="BT308" s="75"/>
      <c r="BU308" s="75"/>
      <c r="BV308" s="75"/>
      <c r="BW308" s="75"/>
      <c r="BX308" s="75"/>
      <c r="BY308" s="75"/>
      <c r="BZ308" s="75"/>
      <c r="CA308" s="73"/>
      <c r="CB308" s="75"/>
      <c r="CC308" s="75"/>
      <c r="CD308" s="75"/>
      <c r="CE308" s="73"/>
      <c r="CF308" s="75"/>
      <c r="CG308" s="75"/>
      <c r="CH308" s="75"/>
      <c r="CI308" s="73"/>
      <c r="CJ308" s="75"/>
      <c r="CK308" s="75"/>
      <c r="CL308" s="75"/>
      <c r="CM308" s="73"/>
      <c r="CN308" s="75"/>
      <c r="CO308" s="75"/>
      <c r="CP308" s="75"/>
      <c r="CQ308" s="73"/>
      <c r="CR308" s="75"/>
      <c r="CS308" s="75"/>
      <c r="CT308" s="75"/>
      <c r="CU308" s="73"/>
      <c r="CV308" s="75"/>
      <c r="CW308" s="75"/>
      <c r="CX308" s="75"/>
      <c r="CY308" s="73"/>
      <c r="CZ308" s="75"/>
      <c r="DA308" s="75"/>
      <c r="DB308" s="75"/>
      <c r="DC308" s="73"/>
      <c r="DD308" s="75"/>
      <c r="DE308" s="75"/>
      <c r="DF308" s="75"/>
      <c r="DG308" s="73"/>
      <c r="DH308" s="75"/>
      <c r="DI308" s="75"/>
      <c r="DJ308" s="75"/>
      <c r="DK308" s="76"/>
    </row>
    <row r="309" spans="63:115" x14ac:dyDescent="0.25">
      <c r="BK309" s="75"/>
      <c r="BL309" s="75"/>
      <c r="BM309" s="75"/>
      <c r="BN309" s="73"/>
      <c r="BO309" s="75"/>
      <c r="BP309" s="75"/>
      <c r="BQ309" s="75"/>
      <c r="BR309" s="75"/>
      <c r="BS309" s="75"/>
      <c r="BT309" s="75"/>
      <c r="BU309" s="75"/>
      <c r="BV309" s="75"/>
      <c r="BW309" s="75"/>
      <c r="BX309" s="75"/>
      <c r="BY309" s="75"/>
      <c r="BZ309" s="75"/>
      <c r="CA309" s="73"/>
      <c r="CB309" s="75"/>
      <c r="CC309" s="75"/>
      <c r="CD309" s="75"/>
      <c r="CE309" s="73"/>
      <c r="CF309" s="75"/>
      <c r="CG309" s="75"/>
      <c r="CH309" s="75"/>
      <c r="CI309" s="73"/>
      <c r="CJ309" s="75"/>
      <c r="CK309" s="75"/>
      <c r="CL309" s="75"/>
      <c r="CM309" s="73"/>
      <c r="CN309" s="75"/>
      <c r="CO309" s="75"/>
      <c r="CP309" s="75"/>
      <c r="CQ309" s="73"/>
      <c r="CR309" s="75"/>
      <c r="CS309" s="75"/>
      <c r="CT309" s="75"/>
      <c r="CU309" s="73"/>
      <c r="CV309" s="75"/>
      <c r="CW309" s="75"/>
      <c r="CX309" s="75"/>
      <c r="CY309" s="73"/>
      <c r="CZ309" s="75"/>
      <c r="DA309" s="75"/>
      <c r="DB309" s="75"/>
      <c r="DC309" s="73"/>
      <c r="DD309" s="75"/>
      <c r="DE309" s="75"/>
      <c r="DF309" s="75"/>
      <c r="DG309" s="73"/>
      <c r="DH309" s="75"/>
      <c r="DI309" s="75"/>
      <c r="DJ309" s="75"/>
      <c r="DK309" s="76"/>
    </row>
    <row r="310" spans="63:115" x14ac:dyDescent="0.25">
      <c r="BK310" s="75"/>
      <c r="BL310" s="75"/>
      <c r="BM310" s="75"/>
      <c r="BN310" s="73"/>
      <c r="BO310" s="75"/>
      <c r="BP310" s="75"/>
      <c r="BQ310" s="75"/>
      <c r="BR310" s="75"/>
      <c r="BS310" s="75"/>
      <c r="BT310" s="75"/>
      <c r="BU310" s="75"/>
      <c r="BV310" s="75"/>
      <c r="BW310" s="75"/>
      <c r="BX310" s="75"/>
      <c r="BY310" s="75"/>
      <c r="BZ310" s="75"/>
      <c r="CA310" s="73"/>
      <c r="CB310" s="75"/>
      <c r="CC310" s="75"/>
      <c r="CD310" s="75"/>
      <c r="CE310" s="73"/>
      <c r="CF310" s="75"/>
      <c r="CG310" s="75"/>
      <c r="CH310" s="75"/>
      <c r="CI310" s="73"/>
      <c r="CJ310" s="75"/>
      <c r="CK310" s="75"/>
      <c r="CL310" s="75"/>
      <c r="CM310" s="73"/>
      <c r="CN310" s="75"/>
      <c r="CO310" s="75"/>
      <c r="CP310" s="75"/>
      <c r="CQ310" s="73"/>
      <c r="CR310" s="75"/>
      <c r="CS310" s="75"/>
      <c r="CT310" s="75"/>
      <c r="CU310" s="73"/>
      <c r="CV310" s="75"/>
      <c r="CW310" s="75"/>
      <c r="CX310" s="75"/>
      <c r="CY310" s="73"/>
      <c r="CZ310" s="75"/>
      <c r="DA310" s="75"/>
      <c r="DB310" s="75"/>
      <c r="DC310" s="73"/>
      <c r="DD310" s="75"/>
      <c r="DE310" s="75"/>
      <c r="DF310" s="75"/>
      <c r="DG310" s="73"/>
      <c r="DH310" s="75"/>
      <c r="DI310" s="75"/>
      <c r="DJ310" s="75"/>
      <c r="DK310" s="76"/>
    </row>
    <row r="311" spans="63:115" x14ac:dyDescent="0.25">
      <c r="BK311" s="75"/>
      <c r="BL311" s="75"/>
      <c r="BM311" s="75"/>
      <c r="BN311" s="73"/>
      <c r="BO311" s="75"/>
      <c r="BP311" s="75"/>
      <c r="BQ311" s="75"/>
      <c r="BR311" s="75"/>
      <c r="BS311" s="75"/>
      <c r="BT311" s="75"/>
      <c r="BU311" s="75"/>
      <c r="BV311" s="75"/>
      <c r="BW311" s="75"/>
      <c r="BX311" s="75"/>
      <c r="BY311" s="75"/>
      <c r="BZ311" s="75"/>
      <c r="CA311" s="73"/>
      <c r="CB311" s="75"/>
      <c r="CC311" s="75"/>
      <c r="CD311" s="75"/>
      <c r="CE311" s="73"/>
      <c r="CF311" s="75"/>
      <c r="CG311" s="75"/>
      <c r="CH311" s="75"/>
      <c r="CI311" s="73"/>
      <c r="CJ311" s="75"/>
      <c r="CK311" s="75"/>
      <c r="CL311" s="75"/>
      <c r="CM311" s="73"/>
      <c r="CN311" s="75"/>
      <c r="CO311" s="75"/>
      <c r="CP311" s="75"/>
      <c r="CQ311" s="73"/>
      <c r="CR311" s="75"/>
      <c r="CS311" s="75"/>
      <c r="CT311" s="75"/>
      <c r="CU311" s="73"/>
      <c r="CV311" s="75"/>
      <c r="CW311" s="75"/>
      <c r="CX311" s="75"/>
      <c r="CY311" s="73"/>
      <c r="CZ311" s="75"/>
      <c r="DA311" s="75"/>
      <c r="DB311" s="75"/>
      <c r="DC311" s="73"/>
      <c r="DD311" s="75"/>
      <c r="DE311" s="75"/>
      <c r="DF311" s="75"/>
      <c r="DG311" s="73"/>
      <c r="DH311" s="75"/>
      <c r="DI311" s="75"/>
      <c r="DJ311" s="75"/>
      <c r="DK311" s="76"/>
    </row>
    <row r="312" spans="63:115" x14ac:dyDescent="0.25">
      <c r="BK312" s="75"/>
      <c r="BL312" s="75"/>
      <c r="BM312" s="75"/>
      <c r="BN312" s="73"/>
      <c r="BO312" s="75"/>
      <c r="BP312" s="75"/>
      <c r="BQ312" s="75"/>
      <c r="BR312" s="75"/>
      <c r="BS312" s="75"/>
      <c r="BT312" s="75"/>
      <c r="BU312" s="75"/>
      <c r="BV312" s="75"/>
      <c r="BW312" s="75"/>
      <c r="BX312" s="75"/>
      <c r="BY312" s="75"/>
      <c r="BZ312" s="75"/>
      <c r="CA312" s="73"/>
      <c r="CB312" s="75"/>
      <c r="CC312" s="75"/>
      <c r="CD312" s="75"/>
      <c r="CE312" s="73"/>
      <c r="CF312" s="75"/>
      <c r="CG312" s="75"/>
      <c r="CH312" s="75"/>
      <c r="CI312" s="73"/>
      <c r="CJ312" s="75"/>
      <c r="CK312" s="75"/>
      <c r="CL312" s="75"/>
      <c r="CM312" s="73"/>
      <c r="CN312" s="75"/>
      <c r="CO312" s="75"/>
      <c r="CP312" s="75"/>
      <c r="CQ312" s="73"/>
      <c r="CR312" s="75"/>
      <c r="CS312" s="75"/>
      <c r="CT312" s="75"/>
      <c r="CU312" s="73"/>
      <c r="CV312" s="75"/>
      <c r="CW312" s="75"/>
      <c r="CX312" s="75"/>
      <c r="CY312" s="73"/>
      <c r="CZ312" s="75"/>
      <c r="DA312" s="75"/>
      <c r="DB312" s="75"/>
      <c r="DC312" s="73"/>
      <c r="DD312" s="75"/>
      <c r="DE312" s="75"/>
      <c r="DF312" s="75"/>
      <c r="DG312" s="73"/>
      <c r="DH312" s="75"/>
      <c r="DI312" s="75"/>
      <c r="DJ312" s="75"/>
      <c r="DK312" s="76"/>
    </row>
    <row r="313" spans="63:115" x14ac:dyDescent="0.25">
      <c r="BK313" s="75"/>
      <c r="BL313" s="75"/>
      <c r="BM313" s="75"/>
      <c r="BN313" s="73"/>
      <c r="BO313" s="75"/>
      <c r="BP313" s="75"/>
      <c r="BQ313" s="75"/>
      <c r="BR313" s="75"/>
      <c r="BS313" s="75"/>
      <c r="BT313" s="75"/>
      <c r="BU313" s="75"/>
      <c r="BV313" s="75"/>
      <c r="BW313" s="75"/>
      <c r="BX313" s="75"/>
      <c r="BY313" s="75"/>
      <c r="BZ313" s="75"/>
      <c r="CA313" s="73"/>
      <c r="CB313" s="75"/>
      <c r="CC313" s="75"/>
      <c r="CD313" s="75"/>
      <c r="CE313" s="73"/>
      <c r="CF313" s="75"/>
      <c r="CG313" s="75"/>
      <c r="CH313" s="75"/>
      <c r="CI313" s="73"/>
      <c r="CJ313" s="75"/>
      <c r="CK313" s="75"/>
      <c r="CL313" s="75"/>
      <c r="CM313" s="73"/>
      <c r="CN313" s="75"/>
      <c r="CO313" s="75"/>
      <c r="CP313" s="75"/>
      <c r="CQ313" s="73"/>
      <c r="CR313" s="75"/>
      <c r="CS313" s="75"/>
      <c r="CT313" s="75"/>
      <c r="CU313" s="73"/>
      <c r="CV313" s="75"/>
      <c r="CW313" s="75"/>
      <c r="CX313" s="75"/>
      <c r="CY313" s="73"/>
      <c r="CZ313" s="75"/>
      <c r="DA313" s="75"/>
      <c r="DB313" s="75"/>
      <c r="DC313" s="73"/>
      <c r="DD313" s="75"/>
      <c r="DE313" s="75"/>
      <c r="DF313" s="75"/>
      <c r="DG313" s="73"/>
      <c r="DH313" s="75"/>
      <c r="DI313" s="75"/>
      <c r="DJ313" s="75"/>
      <c r="DK313" s="76"/>
    </row>
    <row r="314" spans="63:115" x14ac:dyDescent="0.25">
      <c r="BK314" s="75"/>
      <c r="BL314" s="75"/>
      <c r="BM314" s="75"/>
      <c r="BN314" s="73"/>
      <c r="BO314" s="75"/>
      <c r="BP314" s="75"/>
      <c r="BQ314" s="75"/>
      <c r="BR314" s="75"/>
      <c r="BS314" s="75"/>
      <c r="BT314" s="75"/>
      <c r="BU314" s="75"/>
      <c r="BV314" s="75"/>
      <c r="BW314" s="75"/>
      <c r="BX314" s="75"/>
      <c r="BY314" s="75"/>
      <c r="BZ314" s="75"/>
      <c r="CA314" s="73"/>
      <c r="CB314" s="75"/>
      <c r="CC314" s="75"/>
      <c r="CD314" s="75"/>
      <c r="CE314" s="73"/>
      <c r="CF314" s="75"/>
      <c r="CG314" s="75"/>
      <c r="CH314" s="75"/>
      <c r="CI314" s="73"/>
      <c r="CJ314" s="75"/>
      <c r="CK314" s="75"/>
      <c r="CL314" s="75"/>
      <c r="CM314" s="73"/>
      <c r="CN314" s="75"/>
      <c r="CO314" s="75"/>
      <c r="CP314" s="75"/>
      <c r="CQ314" s="73"/>
      <c r="CR314" s="75"/>
      <c r="CS314" s="75"/>
      <c r="CT314" s="75"/>
      <c r="CU314" s="73"/>
      <c r="CV314" s="75"/>
      <c r="CW314" s="75"/>
      <c r="CX314" s="75"/>
      <c r="CY314" s="73"/>
      <c r="CZ314" s="75"/>
      <c r="DA314" s="75"/>
      <c r="DB314" s="75"/>
      <c r="DC314" s="73"/>
      <c r="DD314" s="75"/>
      <c r="DE314" s="75"/>
      <c r="DF314" s="75"/>
      <c r="DG314" s="73"/>
      <c r="DH314" s="75"/>
      <c r="DI314" s="75"/>
      <c r="DJ314" s="75"/>
      <c r="DK314" s="76"/>
    </row>
    <row r="315" spans="63:115" x14ac:dyDescent="0.25">
      <c r="BK315" s="75"/>
      <c r="BL315" s="75"/>
      <c r="BM315" s="75"/>
      <c r="BN315" s="73"/>
      <c r="BO315" s="75"/>
      <c r="BP315" s="75"/>
      <c r="BQ315" s="75"/>
      <c r="BR315" s="75"/>
      <c r="BS315" s="75"/>
      <c r="BT315" s="75"/>
      <c r="BU315" s="75"/>
      <c r="BV315" s="75"/>
      <c r="BW315" s="75"/>
      <c r="BX315" s="75"/>
      <c r="BY315" s="75"/>
      <c r="BZ315" s="75"/>
      <c r="CA315" s="73"/>
      <c r="CB315" s="75"/>
      <c r="CC315" s="75"/>
      <c r="CD315" s="75"/>
      <c r="CE315" s="73"/>
      <c r="CF315" s="75"/>
      <c r="CG315" s="75"/>
      <c r="CH315" s="75"/>
      <c r="CI315" s="73"/>
      <c r="CJ315" s="75"/>
      <c r="CK315" s="75"/>
      <c r="CL315" s="75"/>
      <c r="CM315" s="73"/>
      <c r="CN315" s="75"/>
      <c r="CO315" s="75"/>
      <c r="CP315" s="75"/>
      <c r="CQ315" s="73"/>
      <c r="CR315" s="75"/>
      <c r="CS315" s="75"/>
      <c r="CT315" s="75"/>
      <c r="CU315" s="73"/>
      <c r="CV315" s="75"/>
      <c r="CW315" s="75"/>
      <c r="CX315" s="75"/>
      <c r="CY315" s="73"/>
      <c r="CZ315" s="75"/>
      <c r="DA315" s="75"/>
      <c r="DB315" s="75"/>
      <c r="DC315" s="73"/>
      <c r="DD315" s="75"/>
      <c r="DE315" s="75"/>
      <c r="DF315" s="75"/>
      <c r="DG315" s="73"/>
      <c r="DH315" s="75"/>
      <c r="DI315" s="75"/>
      <c r="DJ315" s="75"/>
      <c r="DK315" s="76"/>
    </row>
    <row r="316" spans="63:115" x14ac:dyDescent="0.25">
      <c r="BK316" s="75"/>
      <c r="BL316" s="75"/>
      <c r="BM316" s="75"/>
      <c r="BN316" s="73"/>
      <c r="BO316" s="75"/>
      <c r="BP316" s="75"/>
      <c r="BQ316" s="75"/>
      <c r="BR316" s="75"/>
      <c r="BS316" s="75"/>
      <c r="BT316" s="75"/>
      <c r="BU316" s="75"/>
      <c r="BV316" s="75"/>
      <c r="BW316" s="75"/>
      <c r="BX316" s="75"/>
      <c r="BY316" s="75"/>
      <c r="BZ316" s="75"/>
      <c r="CA316" s="73"/>
      <c r="CB316" s="75"/>
      <c r="CC316" s="75"/>
      <c r="CD316" s="75"/>
      <c r="CE316" s="73"/>
      <c r="CF316" s="75"/>
      <c r="CG316" s="75"/>
      <c r="CH316" s="75"/>
      <c r="CI316" s="73"/>
      <c r="CJ316" s="75"/>
      <c r="CK316" s="75"/>
      <c r="CL316" s="75"/>
      <c r="CM316" s="73"/>
      <c r="CN316" s="75"/>
      <c r="CO316" s="75"/>
      <c r="CP316" s="75"/>
      <c r="CQ316" s="73"/>
      <c r="CR316" s="75"/>
      <c r="CS316" s="75"/>
      <c r="CT316" s="75"/>
      <c r="CU316" s="73"/>
      <c r="CV316" s="75"/>
      <c r="CW316" s="75"/>
      <c r="CX316" s="75"/>
      <c r="CY316" s="73"/>
      <c r="CZ316" s="75"/>
      <c r="DA316" s="75"/>
      <c r="DB316" s="75"/>
      <c r="DC316" s="73"/>
      <c r="DD316" s="75"/>
      <c r="DE316" s="75"/>
      <c r="DF316" s="75"/>
      <c r="DG316" s="73"/>
      <c r="DH316" s="75"/>
      <c r="DI316" s="75"/>
      <c r="DJ316" s="75"/>
      <c r="DK316" s="76"/>
    </row>
    <row r="317" spans="63:115" x14ac:dyDescent="0.25">
      <c r="BK317" s="75"/>
      <c r="BL317" s="75"/>
      <c r="BM317" s="75"/>
      <c r="BN317" s="73"/>
      <c r="BO317" s="75"/>
      <c r="BP317" s="75"/>
      <c r="BQ317" s="75"/>
      <c r="BR317" s="75"/>
      <c r="BS317" s="75"/>
      <c r="BT317" s="75"/>
      <c r="BU317" s="75"/>
      <c r="BV317" s="75"/>
      <c r="BW317" s="75"/>
      <c r="BX317" s="75"/>
      <c r="BY317" s="75"/>
      <c r="BZ317" s="75"/>
      <c r="CA317" s="73"/>
      <c r="CB317" s="75"/>
      <c r="CC317" s="75"/>
      <c r="CD317" s="75"/>
      <c r="CE317" s="73"/>
      <c r="CF317" s="75"/>
      <c r="CG317" s="75"/>
      <c r="CH317" s="75"/>
      <c r="CI317" s="73"/>
      <c r="CJ317" s="75"/>
      <c r="CK317" s="75"/>
      <c r="CL317" s="75"/>
      <c r="CM317" s="73"/>
      <c r="CN317" s="75"/>
      <c r="CO317" s="75"/>
      <c r="CP317" s="75"/>
      <c r="CQ317" s="73"/>
      <c r="CR317" s="75"/>
      <c r="CS317" s="75"/>
      <c r="CT317" s="75"/>
      <c r="CU317" s="73"/>
      <c r="CV317" s="75"/>
      <c r="CW317" s="75"/>
      <c r="CX317" s="75"/>
      <c r="CY317" s="73"/>
      <c r="CZ317" s="75"/>
      <c r="DA317" s="75"/>
      <c r="DB317" s="75"/>
      <c r="DC317" s="73"/>
      <c r="DD317" s="75"/>
      <c r="DE317" s="75"/>
      <c r="DF317" s="75"/>
      <c r="DG317" s="73"/>
      <c r="DH317" s="75"/>
      <c r="DI317" s="75"/>
      <c r="DJ317" s="75"/>
      <c r="DK317" s="76"/>
    </row>
    <row r="318" spans="63:115" x14ac:dyDescent="0.25">
      <c r="BK318" s="75"/>
      <c r="BL318" s="75"/>
      <c r="BM318" s="75"/>
      <c r="BN318" s="73"/>
      <c r="BO318" s="75"/>
      <c r="BP318" s="75"/>
      <c r="BQ318" s="75"/>
      <c r="BR318" s="75"/>
      <c r="BS318" s="75"/>
      <c r="BT318" s="75"/>
      <c r="BU318" s="75"/>
      <c r="BV318" s="75"/>
      <c r="BW318" s="75"/>
      <c r="BX318" s="75"/>
      <c r="BY318" s="75"/>
      <c r="BZ318" s="75"/>
      <c r="CA318" s="73"/>
      <c r="CB318" s="75"/>
      <c r="CC318" s="75"/>
      <c r="CD318" s="75"/>
      <c r="CE318" s="73"/>
      <c r="CF318" s="75"/>
      <c r="CG318" s="75"/>
      <c r="CH318" s="75"/>
      <c r="CI318" s="73"/>
      <c r="CJ318" s="75"/>
      <c r="CK318" s="75"/>
      <c r="CL318" s="75"/>
      <c r="CM318" s="73"/>
      <c r="CN318" s="75"/>
      <c r="CO318" s="75"/>
      <c r="CP318" s="75"/>
      <c r="CQ318" s="73"/>
      <c r="CR318" s="75"/>
      <c r="CS318" s="75"/>
      <c r="CT318" s="75"/>
      <c r="CU318" s="73"/>
      <c r="CV318" s="75"/>
      <c r="CW318" s="75"/>
      <c r="CX318" s="75"/>
      <c r="CY318" s="73"/>
      <c r="CZ318" s="75"/>
      <c r="DA318" s="75"/>
      <c r="DB318" s="75"/>
      <c r="DC318" s="73"/>
      <c r="DD318" s="75"/>
      <c r="DE318" s="75"/>
      <c r="DF318" s="75"/>
      <c r="DG318" s="73"/>
      <c r="DH318" s="75"/>
      <c r="DI318" s="75"/>
      <c r="DJ318" s="75"/>
      <c r="DK318" s="76"/>
    </row>
    <row r="319" spans="63:115" x14ac:dyDescent="0.25">
      <c r="BK319" s="75"/>
      <c r="BL319" s="75"/>
      <c r="BM319" s="75"/>
      <c r="BN319" s="73"/>
      <c r="BO319" s="75"/>
      <c r="BP319" s="75"/>
      <c r="BQ319" s="75"/>
      <c r="BR319" s="75"/>
      <c r="BS319" s="75"/>
      <c r="BT319" s="75"/>
      <c r="BU319" s="75"/>
      <c r="BV319" s="75"/>
      <c r="BW319" s="75"/>
      <c r="BX319" s="75"/>
      <c r="BY319" s="75"/>
      <c r="BZ319" s="75"/>
      <c r="CA319" s="73"/>
      <c r="CB319" s="75"/>
      <c r="CC319" s="75"/>
      <c r="CD319" s="75"/>
      <c r="CE319" s="73"/>
      <c r="CF319" s="75"/>
      <c r="CG319" s="75"/>
      <c r="CH319" s="75"/>
      <c r="CI319" s="73"/>
      <c r="CJ319" s="75"/>
      <c r="CK319" s="75"/>
      <c r="CL319" s="75"/>
      <c r="CM319" s="73"/>
      <c r="CN319" s="75"/>
      <c r="CO319" s="75"/>
      <c r="CP319" s="75"/>
      <c r="CQ319" s="73"/>
      <c r="CR319" s="75"/>
      <c r="CS319" s="75"/>
      <c r="CT319" s="75"/>
      <c r="CU319" s="73"/>
      <c r="CV319" s="75"/>
      <c r="CW319" s="75"/>
      <c r="CX319" s="75"/>
      <c r="CY319" s="73"/>
      <c r="CZ319" s="75"/>
      <c r="DA319" s="75"/>
      <c r="DB319" s="75"/>
      <c r="DC319" s="73"/>
      <c r="DD319" s="75"/>
      <c r="DE319" s="75"/>
      <c r="DF319" s="75"/>
      <c r="DG319" s="73"/>
      <c r="DH319" s="75"/>
      <c r="DI319" s="75"/>
      <c r="DJ319" s="75"/>
      <c r="DK319" s="76"/>
    </row>
    <row r="320" spans="63:115" x14ac:dyDescent="0.25">
      <c r="BK320" s="75"/>
      <c r="BL320" s="75"/>
      <c r="BM320" s="75"/>
      <c r="BN320" s="73"/>
      <c r="BO320" s="75"/>
      <c r="BP320" s="75"/>
      <c r="BQ320" s="75"/>
      <c r="BR320" s="75"/>
      <c r="BS320" s="75"/>
      <c r="BT320" s="75"/>
      <c r="BU320" s="75"/>
      <c r="BV320" s="75"/>
      <c r="BW320" s="75"/>
      <c r="BX320" s="75"/>
      <c r="BY320" s="75"/>
      <c r="BZ320" s="75"/>
      <c r="CA320" s="73"/>
      <c r="CB320" s="75"/>
      <c r="CC320" s="75"/>
      <c r="CD320" s="75"/>
      <c r="CE320" s="73"/>
      <c r="CF320" s="75"/>
      <c r="CG320" s="75"/>
      <c r="CH320" s="75"/>
      <c r="CI320" s="73"/>
      <c r="CJ320" s="75"/>
      <c r="CK320" s="75"/>
      <c r="CL320" s="75"/>
      <c r="CM320" s="73"/>
      <c r="CN320" s="75"/>
      <c r="CO320" s="75"/>
      <c r="CP320" s="75"/>
      <c r="CQ320" s="73"/>
      <c r="CR320" s="75"/>
      <c r="CS320" s="75"/>
      <c r="CT320" s="75"/>
      <c r="CU320" s="73"/>
      <c r="CV320" s="75"/>
      <c r="CW320" s="75"/>
      <c r="CX320" s="75"/>
      <c r="CY320" s="73"/>
      <c r="CZ320" s="75"/>
      <c r="DA320" s="75"/>
      <c r="DB320" s="75"/>
      <c r="DC320" s="73"/>
      <c r="DD320" s="75"/>
      <c r="DE320" s="75"/>
      <c r="DF320" s="75"/>
      <c r="DG320" s="73"/>
      <c r="DH320" s="75"/>
      <c r="DI320" s="75"/>
      <c r="DJ320" s="75"/>
      <c r="DK320" s="76"/>
    </row>
    <row r="321" spans="63:115" x14ac:dyDescent="0.25">
      <c r="BK321" s="75"/>
      <c r="BL321" s="75"/>
      <c r="BM321" s="75"/>
      <c r="BN321" s="73"/>
      <c r="BO321" s="75"/>
      <c r="BP321" s="75"/>
      <c r="BQ321" s="75"/>
      <c r="BR321" s="75"/>
      <c r="BS321" s="75"/>
      <c r="BT321" s="75"/>
      <c r="BU321" s="75"/>
      <c r="BV321" s="75"/>
      <c r="BW321" s="75"/>
      <c r="BX321" s="75"/>
      <c r="BY321" s="75"/>
      <c r="BZ321" s="75"/>
      <c r="CA321" s="73"/>
      <c r="CB321" s="75"/>
      <c r="CC321" s="75"/>
      <c r="CD321" s="75"/>
      <c r="CE321" s="73"/>
      <c r="CF321" s="75"/>
      <c r="CG321" s="75"/>
      <c r="CH321" s="75"/>
      <c r="CI321" s="73"/>
      <c r="CJ321" s="75"/>
      <c r="CK321" s="75"/>
      <c r="CL321" s="75"/>
      <c r="CM321" s="73"/>
      <c r="CN321" s="75"/>
      <c r="CO321" s="75"/>
      <c r="CP321" s="75"/>
      <c r="CQ321" s="73"/>
      <c r="CR321" s="75"/>
      <c r="CS321" s="75"/>
      <c r="CT321" s="75"/>
      <c r="CU321" s="73"/>
      <c r="CV321" s="75"/>
      <c r="CW321" s="75"/>
      <c r="CX321" s="75"/>
      <c r="CY321" s="73"/>
      <c r="CZ321" s="75"/>
      <c r="DA321" s="75"/>
      <c r="DB321" s="75"/>
      <c r="DC321" s="73"/>
      <c r="DD321" s="75"/>
      <c r="DE321" s="75"/>
      <c r="DF321" s="75"/>
      <c r="DG321" s="73"/>
      <c r="DH321" s="75"/>
      <c r="DI321" s="75"/>
      <c r="DJ321" s="75"/>
      <c r="DK321" s="76"/>
    </row>
    <row r="322" spans="63:115" x14ac:dyDescent="0.25">
      <c r="BK322" s="75"/>
      <c r="BL322" s="75"/>
      <c r="BM322" s="75"/>
      <c r="BN322" s="73"/>
      <c r="BO322" s="75"/>
      <c r="BP322" s="75"/>
      <c r="BQ322" s="75"/>
      <c r="BR322" s="75"/>
      <c r="BS322" s="75"/>
      <c r="BT322" s="75"/>
      <c r="BU322" s="75"/>
      <c r="BV322" s="75"/>
      <c r="BW322" s="75"/>
      <c r="BX322" s="75"/>
      <c r="BY322" s="75"/>
      <c r="BZ322" s="75"/>
      <c r="CA322" s="73"/>
      <c r="CB322" s="75"/>
      <c r="CC322" s="75"/>
      <c r="CD322" s="75"/>
      <c r="CE322" s="73"/>
      <c r="CF322" s="75"/>
      <c r="CG322" s="75"/>
      <c r="CH322" s="75"/>
      <c r="CI322" s="73"/>
      <c r="CJ322" s="75"/>
      <c r="CK322" s="75"/>
      <c r="CL322" s="75"/>
      <c r="CM322" s="73"/>
      <c r="CN322" s="75"/>
      <c r="CO322" s="75"/>
      <c r="CP322" s="75"/>
      <c r="CQ322" s="73"/>
      <c r="CR322" s="75"/>
      <c r="CS322" s="75"/>
      <c r="CT322" s="75"/>
      <c r="CU322" s="73"/>
      <c r="CV322" s="75"/>
      <c r="CW322" s="75"/>
      <c r="CX322" s="75"/>
      <c r="CY322" s="73"/>
      <c r="CZ322" s="75"/>
      <c r="DA322" s="75"/>
      <c r="DB322" s="75"/>
      <c r="DC322" s="73"/>
      <c r="DD322" s="75"/>
      <c r="DE322" s="75"/>
      <c r="DF322" s="75"/>
      <c r="DG322" s="73"/>
      <c r="DH322" s="75"/>
      <c r="DI322" s="75"/>
      <c r="DJ322" s="75"/>
      <c r="DK322" s="76"/>
    </row>
    <row r="323" spans="63:115" x14ac:dyDescent="0.25">
      <c r="BK323" s="75"/>
      <c r="BL323" s="75"/>
      <c r="BM323" s="75"/>
      <c r="BN323" s="73"/>
      <c r="BO323" s="75"/>
      <c r="BP323" s="75"/>
      <c r="BQ323" s="75"/>
      <c r="BR323" s="75"/>
      <c r="BS323" s="75"/>
      <c r="BT323" s="75"/>
      <c r="BU323" s="75"/>
      <c r="BV323" s="75"/>
      <c r="BW323" s="75"/>
      <c r="BX323" s="75"/>
      <c r="BY323" s="75"/>
      <c r="BZ323" s="75"/>
      <c r="CA323" s="73"/>
      <c r="CB323" s="75"/>
      <c r="CC323" s="75"/>
      <c r="CD323" s="75"/>
      <c r="CE323" s="73"/>
      <c r="CF323" s="75"/>
      <c r="CG323" s="75"/>
      <c r="CH323" s="75"/>
      <c r="CI323" s="73"/>
      <c r="CJ323" s="75"/>
      <c r="CK323" s="75"/>
      <c r="CL323" s="75"/>
      <c r="CM323" s="73"/>
      <c r="CN323" s="75"/>
      <c r="CO323" s="75"/>
      <c r="CP323" s="75"/>
      <c r="CQ323" s="73"/>
      <c r="CR323" s="75"/>
      <c r="CS323" s="75"/>
      <c r="CT323" s="75"/>
      <c r="CU323" s="73"/>
      <c r="CV323" s="75"/>
      <c r="CW323" s="75"/>
      <c r="CX323" s="75"/>
      <c r="CY323" s="73"/>
      <c r="CZ323" s="75"/>
      <c r="DA323" s="75"/>
      <c r="DB323" s="75"/>
      <c r="DC323" s="73"/>
      <c r="DD323" s="75"/>
      <c r="DE323" s="75"/>
      <c r="DF323" s="75"/>
      <c r="DG323" s="73"/>
      <c r="DH323" s="75"/>
      <c r="DI323" s="75"/>
      <c r="DJ323" s="75"/>
      <c r="DK323" s="76"/>
    </row>
    <row r="324" spans="63:115" x14ac:dyDescent="0.25">
      <c r="BK324" s="75"/>
      <c r="BL324" s="75"/>
      <c r="BM324" s="75"/>
      <c r="BN324" s="73"/>
      <c r="BO324" s="75"/>
      <c r="BP324" s="75"/>
      <c r="BQ324" s="75"/>
      <c r="BR324" s="75"/>
      <c r="BS324" s="75"/>
      <c r="BT324" s="75"/>
      <c r="BU324" s="75"/>
      <c r="BV324" s="75"/>
      <c r="BW324" s="75"/>
      <c r="BX324" s="75"/>
      <c r="BY324" s="75"/>
      <c r="BZ324" s="75"/>
      <c r="CA324" s="73"/>
      <c r="CB324" s="75"/>
      <c r="CC324" s="75"/>
      <c r="CD324" s="75"/>
      <c r="CE324" s="73"/>
      <c r="CF324" s="75"/>
      <c r="CG324" s="75"/>
      <c r="CH324" s="75"/>
      <c r="CI324" s="73"/>
      <c r="CJ324" s="75"/>
      <c r="CK324" s="75"/>
      <c r="CL324" s="75"/>
      <c r="CM324" s="73"/>
      <c r="CN324" s="75"/>
      <c r="CO324" s="75"/>
      <c r="CP324" s="75"/>
      <c r="CQ324" s="73"/>
      <c r="CR324" s="75"/>
      <c r="CS324" s="75"/>
      <c r="CT324" s="75"/>
      <c r="CU324" s="73"/>
      <c r="CV324" s="75"/>
      <c r="CW324" s="75"/>
      <c r="CX324" s="75"/>
      <c r="CY324" s="73"/>
      <c r="CZ324" s="75"/>
      <c r="DA324" s="75"/>
      <c r="DB324" s="75"/>
      <c r="DC324" s="73"/>
      <c r="DD324" s="75"/>
      <c r="DE324" s="75"/>
      <c r="DF324" s="75"/>
      <c r="DG324" s="73"/>
      <c r="DH324" s="75"/>
      <c r="DI324" s="75"/>
      <c r="DJ324" s="75"/>
      <c r="DK324" s="76"/>
    </row>
    <row r="325" spans="63:115" x14ac:dyDescent="0.25">
      <c r="BK325" s="75"/>
      <c r="BL325" s="75"/>
      <c r="BM325" s="75"/>
      <c r="BN325" s="73"/>
      <c r="BO325" s="75"/>
      <c r="BP325" s="75"/>
      <c r="BQ325" s="75"/>
      <c r="BR325" s="75"/>
      <c r="BS325" s="75"/>
      <c r="BT325" s="75"/>
      <c r="BU325" s="75"/>
      <c r="BV325" s="75"/>
      <c r="BW325" s="75"/>
      <c r="BX325" s="75"/>
      <c r="BY325" s="75"/>
      <c r="BZ325" s="75"/>
      <c r="CA325" s="73"/>
      <c r="CB325" s="75"/>
      <c r="CC325" s="75"/>
      <c r="CD325" s="75"/>
      <c r="CE325" s="73"/>
      <c r="CF325" s="75"/>
      <c r="CG325" s="75"/>
      <c r="CH325" s="75"/>
      <c r="CI325" s="73"/>
      <c r="CJ325" s="75"/>
      <c r="CK325" s="75"/>
      <c r="CL325" s="75"/>
      <c r="CM325" s="73"/>
      <c r="CN325" s="75"/>
      <c r="CO325" s="75"/>
      <c r="CP325" s="75"/>
      <c r="CQ325" s="73"/>
      <c r="CR325" s="75"/>
      <c r="CS325" s="75"/>
      <c r="CT325" s="75"/>
      <c r="CU325" s="73"/>
      <c r="CV325" s="75"/>
      <c r="CW325" s="75"/>
      <c r="CX325" s="75"/>
      <c r="CY325" s="73"/>
      <c r="CZ325" s="75"/>
      <c r="DA325" s="75"/>
      <c r="DB325" s="75"/>
      <c r="DC325" s="73"/>
      <c r="DD325" s="75"/>
      <c r="DE325" s="75"/>
      <c r="DF325" s="75"/>
      <c r="DG325" s="73"/>
      <c r="DH325" s="75"/>
      <c r="DI325" s="75"/>
      <c r="DJ325" s="75"/>
      <c r="DK325" s="76"/>
    </row>
    <row r="326" spans="63:115" x14ac:dyDescent="0.25">
      <c r="BK326" s="75"/>
      <c r="BL326" s="75"/>
      <c r="BM326" s="75"/>
      <c r="BN326" s="73"/>
      <c r="BO326" s="75"/>
      <c r="BP326" s="75"/>
      <c r="BQ326" s="75"/>
      <c r="BR326" s="75"/>
      <c r="BS326" s="75"/>
      <c r="BT326" s="75"/>
      <c r="BU326" s="75"/>
      <c r="BV326" s="75"/>
      <c r="BW326" s="75"/>
      <c r="BX326" s="75"/>
      <c r="BY326" s="75"/>
      <c r="BZ326" s="75"/>
      <c r="CA326" s="73"/>
      <c r="CB326" s="75"/>
      <c r="CC326" s="75"/>
      <c r="CD326" s="75"/>
      <c r="CE326" s="73"/>
      <c r="CF326" s="75"/>
      <c r="CG326" s="75"/>
      <c r="CH326" s="75"/>
      <c r="CI326" s="73"/>
      <c r="CJ326" s="75"/>
      <c r="CK326" s="75"/>
      <c r="CL326" s="75"/>
      <c r="CM326" s="73"/>
      <c r="CN326" s="75"/>
      <c r="CO326" s="75"/>
      <c r="CP326" s="75"/>
      <c r="CQ326" s="73"/>
      <c r="CR326" s="75"/>
      <c r="CS326" s="75"/>
      <c r="CT326" s="75"/>
      <c r="CU326" s="73"/>
      <c r="CV326" s="75"/>
      <c r="CW326" s="75"/>
      <c r="CX326" s="75"/>
      <c r="CY326" s="73"/>
      <c r="CZ326" s="75"/>
      <c r="DA326" s="75"/>
      <c r="DB326" s="75"/>
      <c r="DC326" s="73"/>
      <c r="DD326" s="75"/>
      <c r="DE326" s="75"/>
      <c r="DF326" s="75"/>
      <c r="DG326" s="73"/>
      <c r="DH326" s="75"/>
      <c r="DI326" s="75"/>
      <c r="DJ326" s="75"/>
      <c r="DK326" s="76"/>
    </row>
    <row r="327" spans="63:115" x14ac:dyDescent="0.25">
      <c r="BK327" s="75"/>
      <c r="BL327" s="75"/>
      <c r="BM327" s="75"/>
      <c r="BN327" s="73"/>
      <c r="BO327" s="75"/>
      <c r="BP327" s="75"/>
      <c r="BQ327" s="75"/>
      <c r="BR327" s="75"/>
      <c r="BS327" s="75"/>
      <c r="BT327" s="75"/>
      <c r="BU327" s="75"/>
      <c r="BV327" s="75"/>
      <c r="BW327" s="75"/>
      <c r="BX327" s="75"/>
      <c r="BY327" s="75"/>
      <c r="BZ327" s="75"/>
      <c r="CA327" s="73"/>
      <c r="CB327" s="75"/>
      <c r="CC327" s="75"/>
      <c r="CD327" s="75"/>
      <c r="CE327" s="73"/>
      <c r="CF327" s="75"/>
      <c r="CG327" s="75"/>
      <c r="CH327" s="75"/>
      <c r="CI327" s="73"/>
      <c r="CJ327" s="75"/>
      <c r="CK327" s="75"/>
      <c r="CL327" s="75"/>
      <c r="CM327" s="73"/>
      <c r="CN327" s="75"/>
      <c r="CO327" s="75"/>
      <c r="CP327" s="75"/>
      <c r="CQ327" s="73"/>
      <c r="CR327" s="75"/>
      <c r="CS327" s="75"/>
      <c r="CT327" s="75"/>
      <c r="CU327" s="73"/>
      <c r="CV327" s="75"/>
      <c r="CW327" s="75"/>
      <c r="CX327" s="75"/>
      <c r="CY327" s="73"/>
      <c r="CZ327" s="75"/>
      <c r="DA327" s="75"/>
      <c r="DB327" s="75"/>
      <c r="DC327" s="73"/>
      <c r="DD327" s="75"/>
      <c r="DE327" s="75"/>
      <c r="DF327" s="75"/>
      <c r="DG327" s="73"/>
      <c r="DH327" s="75"/>
      <c r="DI327" s="75"/>
      <c r="DJ327" s="75"/>
      <c r="DK327" s="76"/>
    </row>
    <row r="328" spans="63:115" x14ac:dyDescent="0.25">
      <c r="BK328" s="75"/>
      <c r="BL328" s="75"/>
      <c r="BM328" s="75"/>
      <c r="BN328" s="73"/>
      <c r="BO328" s="75"/>
      <c r="BP328" s="75"/>
      <c r="BQ328" s="75"/>
      <c r="BR328" s="75"/>
      <c r="BS328" s="75"/>
      <c r="BT328" s="75"/>
      <c r="BU328" s="75"/>
      <c r="BV328" s="75"/>
      <c r="BW328" s="75"/>
      <c r="BX328" s="75"/>
      <c r="BY328" s="75"/>
      <c r="BZ328" s="75"/>
      <c r="CA328" s="73"/>
      <c r="CB328" s="75"/>
      <c r="CC328" s="75"/>
      <c r="CD328" s="75"/>
      <c r="CE328" s="73"/>
      <c r="CF328" s="75"/>
      <c r="CG328" s="75"/>
      <c r="CH328" s="75"/>
      <c r="CI328" s="73"/>
      <c r="CJ328" s="75"/>
      <c r="CK328" s="75"/>
      <c r="CL328" s="75"/>
      <c r="CM328" s="73"/>
      <c r="CN328" s="75"/>
      <c r="CO328" s="75"/>
      <c r="CP328" s="75"/>
      <c r="CQ328" s="73"/>
      <c r="CR328" s="75"/>
      <c r="CS328" s="75"/>
      <c r="CT328" s="75"/>
      <c r="CU328" s="73"/>
      <c r="CV328" s="75"/>
      <c r="CW328" s="75"/>
      <c r="CX328" s="75"/>
      <c r="CY328" s="73"/>
      <c r="CZ328" s="75"/>
      <c r="DA328" s="75"/>
      <c r="DB328" s="75"/>
      <c r="DC328" s="73"/>
      <c r="DD328" s="75"/>
      <c r="DE328" s="75"/>
      <c r="DF328" s="75"/>
      <c r="DG328" s="73"/>
      <c r="DH328" s="75"/>
      <c r="DI328" s="75"/>
      <c r="DJ328" s="75"/>
      <c r="DK328" s="76"/>
    </row>
    <row r="329" spans="63:115" x14ac:dyDescent="0.25">
      <c r="BK329" s="75"/>
      <c r="BL329" s="75"/>
      <c r="BM329" s="75"/>
      <c r="BN329" s="73"/>
      <c r="BO329" s="75"/>
      <c r="BP329" s="75"/>
      <c r="BQ329" s="75"/>
      <c r="BR329" s="75"/>
      <c r="BS329" s="75"/>
      <c r="BT329" s="75"/>
      <c r="BU329" s="75"/>
      <c r="BV329" s="75"/>
      <c r="BW329" s="75"/>
      <c r="BX329" s="75"/>
      <c r="BY329" s="75"/>
      <c r="BZ329" s="75"/>
      <c r="CA329" s="73"/>
      <c r="CB329" s="75"/>
      <c r="CC329" s="75"/>
      <c r="CD329" s="75"/>
      <c r="CE329" s="73"/>
      <c r="CF329" s="75"/>
      <c r="CG329" s="75"/>
      <c r="CH329" s="75"/>
      <c r="CI329" s="73"/>
      <c r="CJ329" s="75"/>
      <c r="CK329" s="75"/>
      <c r="CL329" s="75"/>
      <c r="CM329" s="73"/>
      <c r="CN329" s="75"/>
      <c r="CO329" s="75"/>
      <c r="CP329" s="75"/>
      <c r="CQ329" s="73"/>
      <c r="CR329" s="75"/>
      <c r="CS329" s="75"/>
      <c r="CT329" s="75"/>
      <c r="CU329" s="73"/>
      <c r="CV329" s="75"/>
      <c r="CW329" s="75"/>
      <c r="CX329" s="75"/>
      <c r="CY329" s="73"/>
      <c r="CZ329" s="75"/>
      <c r="DA329" s="75"/>
      <c r="DB329" s="75"/>
      <c r="DC329" s="73"/>
      <c r="DD329" s="75"/>
      <c r="DE329" s="75"/>
      <c r="DF329" s="75"/>
      <c r="DG329" s="73"/>
      <c r="DH329" s="75"/>
      <c r="DI329" s="75"/>
      <c r="DJ329" s="75"/>
      <c r="DK329" s="76"/>
    </row>
    <row r="330" spans="63:115" x14ac:dyDescent="0.25">
      <c r="BK330" s="75"/>
      <c r="BL330" s="75"/>
      <c r="BM330" s="75"/>
      <c r="BN330" s="73"/>
      <c r="BO330" s="75"/>
      <c r="BP330" s="75"/>
      <c r="BQ330" s="75"/>
      <c r="BR330" s="75"/>
      <c r="BS330" s="75"/>
      <c r="BT330" s="75"/>
      <c r="BU330" s="75"/>
      <c r="BV330" s="75"/>
      <c r="BW330" s="75"/>
      <c r="BX330" s="75"/>
      <c r="BY330" s="75"/>
      <c r="BZ330" s="75"/>
      <c r="CA330" s="73"/>
      <c r="CB330" s="75"/>
      <c r="CC330" s="75"/>
      <c r="CD330" s="75"/>
      <c r="CE330" s="73"/>
      <c r="CF330" s="75"/>
      <c r="CG330" s="75"/>
      <c r="CH330" s="75"/>
      <c r="CI330" s="73"/>
      <c r="CJ330" s="75"/>
      <c r="CK330" s="75"/>
      <c r="CL330" s="75"/>
      <c r="CM330" s="73"/>
      <c r="CN330" s="75"/>
      <c r="CO330" s="75"/>
      <c r="CP330" s="75"/>
      <c r="CQ330" s="73"/>
      <c r="CR330" s="75"/>
      <c r="CS330" s="75"/>
      <c r="CT330" s="75"/>
      <c r="CU330" s="73"/>
      <c r="CV330" s="75"/>
      <c r="CW330" s="75"/>
      <c r="CX330" s="75"/>
      <c r="CY330" s="73"/>
      <c r="CZ330" s="75"/>
      <c r="DA330" s="75"/>
      <c r="DB330" s="75"/>
      <c r="DC330" s="73"/>
      <c r="DD330" s="75"/>
      <c r="DE330" s="75"/>
      <c r="DF330" s="75"/>
      <c r="DG330" s="73"/>
      <c r="DH330" s="75"/>
      <c r="DI330" s="75"/>
      <c r="DJ330" s="75"/>
      <c r="DK330" s="76"/>
    </row>
    <row r="331" spans="63:115" x14ac:dyDescent="0.25">
      <c r="BK331" s="75"/>
      <c r="BL331" s="75"/>
      <c r="BM331" s="75"/>
      <c r="BN331" s="73"/>
      <c r="BO331" s="75"/>
      <c r="BP331" s="75"/>
      <c r="BQ331" s="75"/>
      <c r="BR331" s="75"/>
      <c r="BS331" s="75"/>
      <c r="BT331" s="75"/>
      <c r="BU331" s="75"/>
      <c r="BV331" s="75"/>
      <c r="BW331" s="75"/>
      <c r="BX331" s="75"/>
      <c r="BY331" s="75"/>
      <c r="BZ331" s="75"/>
      <c r="CA331" s="73"/>
      <c r="CB331" s="75"/>
      <c r="CC331" s="75"/>
      <c r="CD331" s="75"/>
      <c r="CE331" s="73"/>
      <c r="CF331" s="75"/>
      <c r="CG331" s="75"/>
      <c r="CH331" s="75"/>
      <c r="CI331" s="73"/>
      <c r="CJ331" s="75"/>
      <c r="CK331" s="75"/>
      <c r="CL331" s="75"/>
      <c r="CM331" s="73"/>
      <c r="CN331" s="75"/>
      <c r="CO331" s="75"/>
      <c r="CP331" s="75"/>
      <c r="CQ331" s="73"/>
      <c r="CR331" s="75"/>
      <c r="CS331" s="75"/>
      <c r="CT331" s="75"/>
      <c r="CU331" s="73"/>
      <c r="CV331" s="75"/>
      <c r="CW331" s="75"/>
      <c r="CX331" s="75"/>
      <c r="CY331" s="73"/>
      <c r="CZ331" s="75"/>
      <c r="DA331" s="75"/>
      <c r="DB331" s="75"/>
      <c r="DC331" s="73"/>
      <c r="DD331" s="75"/>
      <c r="DE331" s="75"/>
      <c r="DF331" s="75"/>
      <c r="DG331" s="73"/>
      <c r="DH331" s="75"/>
      <c r="DI331" s="75"/>
      <c r="DJ331" s="75"/>
      <c r="DK331" s="76"/>
    </row>
    <row r="332" spans="63:115" x14ac:dyDescent="0.25">
      <c r="BK332" s="75"/>
      <c r="BL332" s="75"/>
      <c r="BM332" s="75"/>
      <c r="BN332" s="73"/>
      <c r="BO332" s="75"/>
      <c r="BP332" s="75"/>
      <c r="BQ332" s="75"/>
      <c r="BR332" s="75"/>
      <c r="BS332" s="75"/>
      <c r="BT332" s="75"/>
      <c r="BU332" s="75"/>
      <c r="BV332" s="75"/>
      <c r="BW332" s="75"/>
      <c r="BX332" s="75"/>
      <c r="BY332" s="75"/>
      <c r="BZ332" s="75"/>
      <c r="CA332" s="73"/>
      <c r="CB332" s="75"/>
      <c r="CC332" s="75"/>
      <c r="CD332" s="75"/>
      <c r="CE332" s="73"/>
      <c r="CF332" s="75"/>
      <c r="CG332" s="75"/>
      <c r="CH332" s="75"/>
      <c r="CI332" s="73"/>
      <c r="CJ332" s="75"/>
      <c r="CK332" s="75"/>
      <c r="CL332" s="75"/>
      <c r="CM332" s="73"/>
      <c r="CN332" s="75"/>
      <c r="CO332" s="75"/>
      <c r="CP332" s="75"/>
      <c r="CQ332" s="73"/>
      <c r="CR332" s="75"/>
      <c r="CS332" s="75"/>
      <c r="CT332" s="75"/>
      <c r="CU332" s="73"/>
      <c r="CV332" s="75"/>
      <c r="CW332" s="75"/>
      <c r="CX332" s="75"/>
      <c r="CY332" s="73"/>
      <c r="CZ332" s="75"/>
      <c r="DA332" s="75"/>
      <c r="DB332" s="75"/>
      <c r="DC332" s="73"/>
      <c r="DD332" s="75"/>
      <c r="DE332" s="75"/>
      <c r="DF332" s="75"/>
      <c r="DG332" s="73"/>
      <c r="DH332" s="75"/>
      <c r="DI332" s="75"/>
      <c r="DJ332" s="75"/>
      <c r="DK332" s="76"/>
    </row>
    <row r="333" spans="63:115" x14ac:dyDescent="0.25">
      <c r="BK333" s="75"/>
      <c r="BL333" s="75"/>
      <c r="BM333" s="75"/>
      <c r="BN333" s="73"/>
      <c r="BO333" s="75"/>
      <c r="BP333" s="75"/>
      <c r="BQ333" s="75"/>
      <c r="BR333" s="75"/>
      <c r="BS333" s="75"/>
      <c r="BT333" s="75"/>
      <c r="BU333" s="75"/>
      <c r="BV333" s="75"/>
      <c r="BW333" s="75"/>
      <c r="BX333" s="75"/>
      <c r="BY333" s="75"/>
      <c r="BZ333" s="75"/>
      <c r="CA333" s="73"/>
      <c r="CB333" s="75"/>
      <c r="CC333" s="75"/>
      <c r="CD333" s="75"/>
      <c r="CE333" s="73"/>
      <c r="CF333" s="75"/>
      <c r="CG333" s="75"/>
      <c r="CH333" s="75"/>
      <c r="CI333" s="73"/>
      <c r="CJ333" s="75"/>
      <c r="CK333" s="75"/>
      <c r="CL333" s="75"/>
      <c r="CM333" s="73"/>
      <c r="CN333" s="75"/>
      <c r="CO333" s="75"/>
      <c r="CP333" s="75"/>
      <c r="CQ333" s="73"/>
      <c r="CR333" s="75"/>
      <c r="CS333" s="75"/>
      <c r="CT333" s="75"/>
      <c r="CU333" s="73"/>
      <c r="CV333" s="75"/>
      <c r="CW333" s="75"/>
      <c r="CX333" s="75"/>
      <c r="CY333" s="73"/>
      <c r="CZ333" s="75"/>
      <c r="DA333" s="75"/>
      <c r="DB333" s="75"/>
      <c r="DC333" s="73"/>
      <c r="DD333" s="75"/>
      <c r="DE333" s="75"/>
      <c r="DF333" s="75"/>
      <c r="DG333" s="73"/>
      <c r="DH333" s="75"/>
      <c r="DI333" s="75"/>
      <c r="DJ333" s="75"/>
      <c r="DK333" s="76"/>
    </row>
    <row r="334" spans="63:115" x14ac:dyDescent="0.25">
      <c r="BK334" s="75"/>
      <c r="BL334" s="75"/>
      <c r="BM334" s="75"/>
      <c r="BN334" s="73"/>
      <c r="BO334" s="75"/>
      <c r="BP334" s="75"/>
      <c r="BQ334" s="75"/>
      <c r="BR334" s="75"/>
      <c r="BS334" s="75"/>
      <c r="BT334" s="75"/>
      <c r="BU334" s="75"/>
      <c r="BV334" s="75"/>
      <c r="BW334" s="75"/>
      <c r="BX334" s="75"/>
      <c r="BY334" s="75"/>
      <c r="BZ334" s="75"/>
      <c r="CA334" s="73"/>
      <c r="CB334" s="75"/>
      <c r="CC334" s="75"/>
      <c r="CD334" s="75"/>
      <c r="CE334" s="73"/>
      <c r="CF334" s="75"/>
      <c r="CG334" s="75"/>
      <c r="CH334" s="75"/>
      <c r="CI334" s="73"/>
      <c r="CJ334" s="75"/>
      <c r="CK334" s="75"/>
      <c r="CL334" s="75"/>
      <c r="CM334" s="73"/>
      <c r="CN334" s="75"/>
      <c r="CO334" s="75"/>
      <c r="CP334" s="75"/>
      <c r="CQ334" s="73"/>
      <c r="CR334" s="75"/>
      <c r="CS334" s="75"/>
      <c r="CT334" s="75"/>
      <c r="CU334" s="73"/>
      <c r="CV334" s="75"/>
      <c r="CW334" s="75"/>
      <c r="CX334" s="75"/>
      <c r="CY334" s="73"/>
      <c r="CZ334" s="75"/>
      <c r="DA334" s="75"/>
      <c r="DB334" s="75"/>
      <c r="DC334" s="73"/>
      <c r="DD334" s="75"/>
      <c r="DE334" s="75"/>
      <c r="DF334" s="75"/>
      <c r="DG334" s="73"/>
      <c r="DH334" s="75"/>
      <c r="DI334" s="75"/>
      <c r="DJ334" s="75"/>
      <c r="DK334" s="76"/>
    </row>
    <row r="335" spans="63:115" x14ac:dyDescent="0.25">
      <c r="BK335" s="75"/>
      <c r="BL335" s="75"/>
      <c r="BM335" s="75"/>
      <c r="BN335" s="73"/>
      <c r="BO335" s="75"/>
      <c r="BP335" s="75"/>
      <c r="BQ335" s="75"/>
      <c r="BR335" s="75"/>
      <c r="BS335" s="75"/>
      <c r="BT335" s="75"/>
      <c r="BU335" s="75"/>
      <c r="BV335" s="75"/>
      <c r="BW335" s="75"/>
      <c r="BX335" s="75"/>
      <c r="BY335" s="75"/>
      <c r="BZ335" s="75"/>
      <c r="CA335" s="73"/>
      <c r="CB335" s="75"/>
      <c r="CC335" s="75"/>
      <c r="CD335" s="75"/>
      <c r="CE335" s="73"/>
      <c r="CF335" s="75"/>
      <c r="CG335" s="75"/>
      <c r="CH335" s="75"/>
      <c r="CI335" s="73"/>
      <c r="CJ335" s="75"/>
      <c r="CK335" s="75"/>
      <c r="CL335" s="75"/>
      <c r="CM335" s="73"/>
      <c r="CN335" s="75"/>
      <c r="CO335" s="75"/>
      <c r="CP335" s="75"/>
      <c r="CQ335" s="73"/>
      <c r="CR335" s="75"/>
      <c r="CS335" s="75"/>
      <c r="CT335" s="75"/>
      <c r="CU335" s="73"/>
      <c r="CV335" s="75"/>
      <c r="CW335" s="75"/>
      <c r="CX335" s="75"/>
      <c r="CY335" s="73"/>
      <c r="CZ335" s="75"/>
      <c r="DA335" s="75"/>
      <c r="DB335" s="75"/>
      <c r="DC335" s="73"/>
      <c r="DD335" s="75"/>
      <c r="DE335" s="75"/>
      <c r="DF335" s="75"/>
      <c r="DG335" s="73"/>
      <c r="DH335" s="75"/>
      <c r="DI335" s="75"/>
      <c r="DJ335" s="75"/>
      <c r="DK335" s="76"/>
    </row>
    <row r="336" spans="63:115" x14ac:dyDescent="0.25">
      <c r="BK336" s="75"/>
      <c r="BL336" s="75"/>
      <c r="BM336" s="75"/>
      <c r="BN336" s="73"/>
      <c r="BO336" s="75"/>
      <c r="BP336" s="75"/>
      <c r="BQ336" s="75"/>
      <c r="BR336" s="75"/>
      <c r="BS336" s="75"/>
      <c r="BT336" s="75"/>
      <c r="BU336" s="75"/>
      <c r="BV336" s="75"/>
      <c r="BW336" s="75"/>
      <c r="BX336" s="75"/>
      <c r="BY336" s="75"/>
      <c r="BZ336" s="75"/>
      <c r="CA336" s="73"/>
      <c r="CB336" s="75"/>
      <c r="CC336" s="75"/>
      <c r="CD336" s="75"/>
      <c r="CE336" s="73"/>
      <c r="CF336" s="75"/>
      <c r="CG336" s="75"/>
      <c r="CH336" s="75"/>
      <c r="CI336" s="73"/>
      <c r="CJ336" s="75"/>
      <c r="CK336" s="75"/>
      <c r="CL336" s="75"/>
      <c r="CM336" s="73"/>
      <c r="CN336" s="75"/>
      <c r="CO336" s="75"/>
      <c r="CP336" s="75"/>
      <c r="CQ336" s="73"/>
      <c r="CR336" s="75"/>
      <c r="CS336" s="75"/>
      <c r="CT336" s="75"/>
      <c r="CU336" s="73"/>
      <c r="CV336" s="75"/>
      <c r="CW336" s="75"/>
      <c r="CX336" s="75"/>
      <c r="CY336" s="73"/>
      <c r="CZ336" s="75"/>
      <c r="DA336" s="75"/>
      <c r="DB336" s="75"/>
      <c r="DC336" s="73"/>
      <c r="DD336" s="75"/>
      <c r="DE336" s="75"/>
      <c r="DF336" s="75"/>
      <c r="DG336" s="73"/>
      <c r="DH336" s="75"/>
      <c r="DI336" s="75"/>
      <c r="DJ336" s="75"/>
      <c r="DK336" s="76"/>
    </row>
    <row r="337" spans="63:115" x14ac:dyDescent="0.25">
      <c r="BK337" s="75"/>
      <c r="BL337" s="75"/>
      <c r="BM337" s="75"/>
      <c r="BN337" s="73"/>
      <c r="BO337" s="75"/>
      <c r="BP337" s="75"/>
      <c r="BQ337" s="75"/>
      <c r="BR337" s="75"/>
      <c r="BS337" s="75"/>
      <c r="BT337" s="75"/>
      <c r="BU337" s="75"/>
      <c r="BV337" s="75"/>
      <c r="BW337" s="75"/>
      <c r="BX337" s="75"/>
      <c r="BY337" s="75"/>
      <c r="BZ337" s="75"/>
      <c r="CA337" s="73"/>
      <c r="CB337" s="75"/>
      <c r="CC337" s="75"/>
      <c r="CD337" s="75"/>
      <c r="CE337" s="73"/>
      <c r="CF337" s="75"/>
      <c r="CG337" s="75"/>
      <c r="CH337" s="75"/>
      <c r="CI337" s="73"/>
      <c r="CJ337" s="75"/>
      <c r="CK337" s="75"/>
      <c r="CL337" s="75"/>
      <c r="CM337" s="73"/>
      <c r="CN337" s="75"/>
      <c r="CO337" s="75"/>
      <c r="CP337" s="75"/>
      <c r="CQ337" s="73"/>
      <c r="CR337" s="75"/>
      <c r="CS337" s="75"/>
      <c r="CT337" s="75"/>
      <c r="CU337" s="73"/>
      <c r="CV337" s="75"/>
      <c r="CW337" s="75"/>
      <c r="CX337" s="75"/>
      <c r="CY337" s="73"/>
      <c r="CZ337" s="75"/>
      <c r="DA337" s="75"/>
      <c r="DB337" s="75"/>
      <c r="DC337" s="73"/>
      <c r="DD337" s="75"/>
      <c r="DE337" s="75"/>
      <c r="DF337" s="75"/>
      <c r="DG337" s="73"/>
      <c r="DH337" s="75"/>
      <c r="DI337" s="75"/>
      <c r="DJ337" s="75"/>
      <c r="DK337" s="76"/>
    </row>
    <row r="338" spans="63:115" x14ac:dyDescent="0.25">
      <c r="BK338" s="75"/>
      <c r="BL338" s="75"/>
      <c r="BM338" s="75"/>
      <c r="BN338" s="73"/>
      <c r="BO338" s="75"/>
      <c r="BP338" s="75"/>
      <c r="BQ338" s="75"/>
      <c r="BR338" s="75"/>
      <c r="BS338" s="75"/>
      <c r="BT338" s="75"/>
      <c r="BU338" s="75"/>
      <c r="BV338" s="75"/>
      <c r="BW338" s="75"/>
      <c r="BX338" s="75"/>
      <c r="BY338" s="75"/>
      <c r="BZ338" s="75"/>
      <c r="CA338" s="73"/>
      <c r="CB338" s="75"/>
      <c r="CC338" s="75"/>
      <c r="CD338" s="75"/>
      <c r="CE338" s="73"/>
      <c r="CF338" s="75"/>
      <c r="CG338" s="75"/>
      <c r="CH338" s="75"/>
      <c r="CI338" s="73"/>
      <c r="CJ338" s="75"/>
      <c r="CK338" s="75"/>
      <c r="CL338" s="75"/>
      <c r="CM338" s="73"/>
      <c r="CN338" s="75"/>
      <c r="CO338" s="75"/>
      <c r="CP338" s="75"/>
      <c r="CQ338" s="73"/>
      <c r="CR338" s="75"/>
      <c r="CS338" s="75"/>
      <c r="CT338" s="75"/>
      <c r="CU338" s="73"/>
      <c r="CV338" s="75"/>
      <c r="CW338" s="75"/>
      <c r="CX338" s="75"/>
      <c r="CY338" s="73"/>
      <c r="CZ338" s="75"/>
      <c r="DA338" s="75"/>
      <c r="DB338" s="75"/>
      <c r="DC338" s="73"/>
      <c r="DD338" s="75"/>
      <c r="DE338" s="75"/>
      <c r="DF338" s="75"/>
      <c r="DG338" s="73"/>
      <c r="DH338" s="75"/>
      <c r="DI338" s="75"/>
      <c r="DJ338" s="75"/>
      <c r="DK338" s="76"/>
    </row>
    <row r="339" spans="63:115" x14ac:dyDescent="0.25">
      <c r="BK339" s="75"/>
      <c r="BL339" s="75"/>
      <c r="BM339" s="75"/>
      <c r="BN339" s="73"/>
      <c r="BO339" s="75"/>
      <c r="BP339" s="75"/>
      <c r="BQ339" s="75"/>
      <c r="BR339" s="75"/>
      <c r="BS339" s="75"/>
      <c r="BT339" s="75"/>
      <c r="BU339" s="75"/>
      <c r="BV339" s="75"/>
      <c r="BW339" s="75"/>
      <c r="BX339" s="75"/>
      <c r="BY339" s="75"/>
      <c r="BZ339" s="75"/>
      <c r="CA339" s="73"/>
      <c r="CB339" s="75"/>
      <c r="CC339" s="75"/>
      <c r="CD339" s="75"/>
      <c r="CE339" s="73"/>
      <c r="CF339" s="75"/>
      <c r="CG339" s="75"/>
      <c r="CH339" s="75"/>
      <c r="CI339" s="73"/>
      <c r="CJ339" s="75"/>
      <c r="CK339" s="75"/>
      <c r="CL339" s="75"/>
      <c r="CM339" s="73"/>
      <c r="CN339" s="75"/>
      <c r="CO339" s="75"/>
      <c r="CP339" s="75"/>
      <c r="CQ339" s="73"/>
      <c r="CR339" s="75"/>
      <c r="CS339" s="75"/>
      <c r="CT339" s="75"/>
      <c r="CU339" s="73"/>
      <c r="CV339" s="75"/>
      <c r="CW339" s="75"/>
      <c r="CX339" s="75"/>
      <c r="CY339" s="73"/>
      <c r="CZ339" s="75"/>
      <c r="DA339" s="75"/>
      <c r="DB339" s="75"/>
      <c r="DC339" s="73"/>
      <c r="DD339" s="75"/>
      <c r="DE339" s="75"/>
      <c r="DF339" s="75"/>
      <c r="DG339" s="73"/>
      <c r="DH339" s="75"/>
      <c r="DI339" s="75"/>
      <c r="DJ339" s="75"/>
      <c r="DK339" s="76"/>
    </row>
    <row r="340" spans="63:115" x14ac:dyDescent="0.25">
      <c r="BK340" s="75"/>
      <c r="BL340" s="75"/>
      <c r="BM340" s="75"/>
      <c r="BN340" s="73"/>
      <c r="BO340" s="75"/>
      <c r="BP340" s="75"/>
      <c r="BQ340" s="75"/>
      <c r="BR340" s="75"/>
      <c r="BS340" s="75"/>
      <c r="BT340" s="75"/>
      <c r="BU340" s="75"/>
      <c r="BV340" s="75"/>
      <c r="BW340" s="75"/>
      <c r="BX340" s="75"/>
      <c r="BY340" s="75"/>
      <c r="BZ340" s="75"/>
      <c r="CA340" s="73"/>
      <c r="CB340" s="75"/>
      <c r="CC340" s="75"/>
      <c r="CD340" s="75"/>
      <c r="CE340" s="73"/>
      <c r="CF340" s="75"/>
      <c r="CG340" s="75"/>
      <c r="CH340" s="75"/>
      <c r="CI340" s="73"/>
      <c r="CJ340" s="75"/>
      <c r="CK340" s="75"/>
      <c r="CL340" s="75"/>
      <c r="CM340" s="73"/>
      <c r="CN340" s="75"/>
      <c r="CO340" s="75"/>
      <c r="CP340" s="75"/>
      <c r="CQ340" s="73"/>
      <c r="CR340" s="75"/>
      <c r="CS340" s="75"/>
      <c r="CT340" s="75"/>
      <c r="CU340" s="73"/>
      <c r="CV340" s="75"/>
      <c r="CW340" s="75"/>
      <c r="CX340" s="75"/>
      <c r="CY340" s="73"/>
      <c r="CZ340" s="75"/>
      <c r="DA340" s="75"/>
      <c r="DB340" s="75"/>
      <c r="DC340" s="73"/>
      <c r="DD340" s="75"/>
      <c r="DE340" s="75"/>
      <c r="DF340" s="75"/>
      <c r="DG340" s="73"/>
      <c r="DH340" s="75"/>
      <c r="DI340" s="75"/>
      <c r="DJ340" s="75"/>
      <c r="DK340" s="76"/>
    </row>
    <row r="341" spans="63:115" x14ac:dyDescent="0.25">
      <c r="BK341" s="75"/>
      <c r="BL341" s="75"/>
      <c r="BM341" s="75"/>
      <c r="BN341" s="73"/>
      <c r="BO341" s="75"/>
      <c r="BP341" s="75"/>
      <c r="BQ341" s="75"/>
      <c r="BR341" s="75"/>
      <c r="BS341" s="75"/>
      <c r="BT341" s="75"/>
      <c r="BU341" s="75"/>
      <c r="BV341" s="75"/>
      <c r="BW341" s="75"/>
      <c r="BX341" s="75"/>
      <c r="BY341" s="75"/>
      <c r="BZ341" s="75"/>
      <c r="CA341" s="73"/>
      <c r="CB341" s="75"/>
      <c r="CC341" s="75"/>
      <c r="CD341" s="75"/>
      <c r="CE341" s="73"/>
      <c r="CF341" s="75"/>
      <c r="CG341" s="75"/>
      <c r="CH341" s="75"/>
      <c r="CI341" s="73"/>
      <c r="CJ341" s="75"/>
      <c r="CK341" s="75"/>
      <c r="CL341" s="75"/>
      <c r="CM341" s="73"/>
      <c r="CN341" s="75"/>
      <c r="CO341" s="75"/>
      <c r="CP341" s="75"/>
      <c r="CQ341" s="73"/>
      <c r="CR341" s="75"/>
      <c r="CS341" s="75"/>
      <c r="CT341" s="75"/>
      <c r="CU341" s="73"/>
      <c r="CV341" s="75"/>
      <c r="CW341" s="75"/>
      <c r="CX341" s="75"/>
      <c r="CY341" s="73"/>
      <c r="CZ341" s="75"/>
      <c r="DA341" s="75"/>
      <c r="DB341" s="75"/>
      <c r="DC341" s="73"/>
      <c r="DD341" s="75"/>
      <c r="DE341" s="75"/>
      <c r="DF341" s="75"/>
      <c r="DG341" s="73"/>
      <c r="DH341" s="75"/>
      <c r="DI341" s="75"/>
      <c r="DJ341" s="75"/>
      <c r="DK341" s="76"/>
    </row>
    <row r="342" spans="63:115" x14ac:dyDescent="0.25">
      <c r="BK342" s="75"/>
      <c r="BL342" s="75"/>
      <c r="BM342" s="75"/>
      <c r="BN342" s="73"/>
      <c r="BO342" s="75"/>
      <c r="BP342" s="75"/>
      <c r="BQ342" s="75"/>
      <c r="BR342" s="75"/>
      <c r="BS342" s="75"/>
      <c r="BT342" s="75"/>
      <c r="BU342" s="75"/>
      <c r="BV342" s="75"/>
      <c r="BW342" s="75"/>
      <c r="BX342" s="75"/>
      <c r="BY342" s="75"/>
      <c r="BZ342" s="75"/>
      <c r="CA342" s="73"/>
      <c r="CB342" s="75"/>
      <c r="CC342" s="75"/>
      <c r="CD342" s="75"/>
      <c r="CE342" s="73"/>
      <c r="CF342" s="75"/>
      <c r="CG342" s="75"/>
      <c r="CH342" s="75"/>
      <c r="CI342" s="73"/>
      <c r="CJ342" s="75"/>
      <c r="CK342" s="75"/>
      <c r="CL342" s="75"/>
      <c r="CM342" s="73"/>
      <c r="CN342" s="75"/>
      <c r="CO342" s="75"/>
      <c r="CP342" s="75"/>
      <c r="CQ342" s="73"/>
      <c r="CR342" s="75"/>
      <c r="CS342" s="75"/>
      <c r="CT342" s="75"/>
      <c r="CU342" s="73"/>
      <c r="CV342" s="75"/>
      <c r="CW342" s="75"/>
      <c r="CX342" s="75"/>
      <c r="CY342" s="73"/>
      <c r="CZ342" s="75"/>
      <c r="DA342" s="75"/>
      <c r="DB342" s="75"/>
      <c r="DC342" s="73"/>
      <c r="DD342" s="75"/>
      <c r="DE342" s="75"/>
      <c r="DF342" s="75"/>
      <c r="DG342" s="73"/>
      <c r="DH342" s="75"/>
      <c r="DI342" s="75"/>
      <c r="DJ342" s="75"/>
      <c r="DK342" s="76"/>
    </row>
    <row r="343" spans="63:115" x14ac:dyDescent="0.25">
      <c r="BK343" s="75"/>
      <c r="BL343" s="75"/>
      <c r="BM343" s="75"/>
      <c r="BN343" s="73"/>
      <c r="BO343" s="75"/>
      <c r="BP343" s="75"/>
      <c r="BQ343" s="75"/>
      <c r="BR343" s="75"/>
      <c r="BS343" s="75"/>
      <c r="BT343" s="75"/>
      <c r="BU343" s="75"/>
      <c r="BV343" s="75"/>
      <c r="BW343" s="75"/>
      <c r="BX343" s="75"/>
      <c r="BY343" s="75"/>
      <c r="BZ343" s="75"/>
      <c r="CA343" s="73"/>
      <c r="CB343" s="75"/>
      <c r="CC343" s="75"/>
      <c r="CD343" s="75"/>
      <c r="CE343" s="73"/>
      <c r="CF343" s="75"/>
      <c r="CG343" s="75"/>
      <c r="CH343" s="75"/>
      <c r="CI343" s="73"/>
      <c r="CJ343" s="75"/>
      <c r="CK343" s="75"/>
      <c r="CL343" s="75"/>
      <c r="CM343" s="73"/>
      <c r="CN343" s="75"/>
      <c r="CO343" s="75"/>
      <c r="CP343" s="75"/>
      <c r="CQ343" s="73"/>
      <c r="CR343" s="75"/>
      <c r="CS343" s="75"/>
      <c r="CT343" s="75"/>
      <c r="CU343" s="73"/>
      <c r="CV343" s="75"/>
      <c r="CW343" s="75"/>
      <c r="CX343" s="75"/>
      <c r="CY343" s="73"/>
      <c r="CZ343" s="75"/>
      <c r="DA343" s="75"/>
      <c r="DB343" s="75"/>
      <c r="DC343" s="73"/>
      <c r="DD343" s="75"/>
      <c r="DE343" s="75"/>
      <c r="DF343" s="75"/>
      <c r="DG343" s="73"/>
      <c r="DH343" s="75"/>
      <c r="DI343" s="75"/>
      <c r="DJ343" s="75"/>
      <c r="DK343" s="76"/>
    </row>
    <row r="344" spans="63:115" x14ac:dyDescent="0.25">
      <c r="BK344" s="75"/>
      <c r="BL344" s="75"/>
      <c r="BM344" s="75"/>
      <c r="BN344" s="73"/>
      <c r="BO344" s="75"/>
      <c r="BP344" s="75"/>
      <c r="BQ344" s="75"/>
      <c r="BR344" s="75"/>
      <c r="BS344" s="75"/>
      <c r="BT344" s="75"/>
      <c r="BU344" s="75"/>
      <c r="BV344" s="75"/>
      <c r="BW344" s="75"/>
      <c r="BX344" s="75"/>
      <c r="BY344" s="75"/>
      <c r="BZ344" s="75"/>
      <c r="CA344" s="73"/>
      <c r="CB344" s="75"/>
      <c r="CC344" s="75"/>
      <c r="CD344" s="75"/>
      <c r="CE344" s="73"/>
      <c r="CF344" s="75"/>
      <c r="CG344" s="75"/>
      <c r="CH344" s="75"/>
      <c r="CI344" s="73"/>
      <c r="CJ344" s="75"/>
      <c r="CK344" s="75"/>
      <c r="CL344" s="75"/>
      <c r="CM344" s="73"/>
      <c r="CN344" s="75"/>
      <c r="CO344" s="75"/>
      <c r="CP344" s="75"/>
      <c r="CQ344" s="73"/>
      <c r="CR344" s="75"/>
      <c r="CS344" s="75"/>
      <c r="CT344" s="75"/>
      <c r="CU344" s="73"/>
      <c r="CV344" s="75"/>
      <c r="CW344" s="75"/>
      <c r="CX344" s="75"/>
      <c r="CY344" s="73"/>
      <c r="CZ344" s="75"/>
      <c r="DA344" s="75"/>
      <c r="DB344" s="75"/>
      <c r="DC344" s="73"/>
      <c r="DD344" s="75"/>
      <c r="DE344" s="75"/>
      <c r="DF344" s="75"/>
      <c r="DG344" s="73"/>
      <c r="DH344" s="75"/>
      <c r="DI344" s="75"/>
      <c r="DJ344" s="75"/>
      <c r="DK344" s="76"/>
    </row>
    <row r="345" spans="63:115" x14ac:dyDescent="0.25">
      <c r="BK345" s="75"/>
      <c r="BL345" s="75"/>
      <c r="BM345" s="75"/>
      <c r="BN345" s="73"/>
      <c r="BO345" s="75"/>
      <c r="BP345" s="75"/>
      <c r="BQ345" s="75"/>
      <c r="BR345" s="75"/>
      <c r="BS345" s="75"/>
      <c r="BT345" s="75"/>
      <c r="BU345" s="75"/>
      <c r="BV345" s="75"/>
      <c r="BW345" s="75"/>
      <c r="BX345" s="75"/>
      <c r="BY345" s="75"/>
      <c r="BZ345" s="75"/>
      <c r="CA345" s="73"/>
      <c r="CB345" s="75"/>
      <c r="CC345" s="75"/>
      <c r="CD345" s="75"/>
      <c r="CE345" s="73"/>
      <c r="CF345" s="75"/>
      <c r="CG345" s="75"/>
      <c r="CH345" s="75"/>
      <c r="CI345" s="73"/>
      <c r="CJ345" s="75"/>
      <c r="CK345" s="75"/>
      <c r="CL345" s="75"/>
      <c r="CM345" s="73"/>
      <c r="CN345" s="75"/>
      <c r="CO345" s="75"/>
      <c r="CP345" s="75"/>
      <c r="CQ345" s="73"/>
      <c r="CR345" s="75"/>
      <c r="CS345" s="75"/>
      <c r="CT345" s="75"/>
      <c r="CU345" s="73"/>
      <c r="CV345" s="75"/>
      <c r="CW345" s="75"/>
      <c r="CX345" s="75"/>
      <c r="CY345" s="73"/>
      <c r="CZ345" s="75"/>
      <c r="DA345" s="75"/>
      <c r="DB345" s="75"/>
      <c r="DC345" s="73"/>
      <c r="DD345" s="75"/>
      <c r="DE345" s="75"/>
      <c r="DF345" s="75"/>
      <c r="DG345" s="73"/>
      <c r="DH345" s="75"/>
      <c r="DI345" s="75"/>
      <c r="DJ345" s="75"/>
      <c r="DK345" s="76"/>
    </row>
    <row r="346" spans="63:115" x14ac:dyDescent="0.25">
      <c r="BK346" s="75"/>
      <c r="BL346" s="75"/>
      <c r="BM346" s="75"/>
      <c r="BN346" s="73"/>
      <c r="BO346" s="75"/>
      <c r="BP346" s="75"/>
      <c r="BQ346" s="75"/>
      <c r="BR346" s="75"/>
      <c r="BS346" s="75"/>
      <c r="BT346" s="75"/>
      <c r="BU346" s="75"/>
      <c r="BV346" s="75"/>
      <c r="BW346" s="75"/>
      <c r="BX346" s="75"/>
      <c r="BY346" s="75"/>
      <c r="BZ346" s="75"/>
      <c r="CA346" s="73"/>
      <c r="CB346" s="75"/>
      <c r="CC346" s="75"/>
      <c r="CD346" s="75"/>
      <c r="CE346" s="73"/>
      <c r="CF346" s="75"/>
      <c r="CG346" s="75"/>
      <c r="CH346" s="75"/>
      <c r="CI346" s="73"/>
      <c r="CJ346" s="75"/>
      <c r="CK346" s="75"/>
      <c r="CL346" s="75"/>
      <c r="CM346" s="73"/>
      <c r="CN346" s="75"/>
      <c r="CO346" s="75"/>
      <c r="CP346" s="75"/>
      <c r="CQ346" s="73"/>
      <c r="CR346" s="75"/>
      <c r="CS346" s="75"/>
      <c r="CT346" s="75"/>
      <c r="CU346" s="73"/>
      <c r="CV346" s="75"/>
      <c r="CW346" s="75"/>
      <c r="CX346" s="75"/>
      <c r="CY346" s="73"/>
      <c r="CZ346" s="75"/>
      <c r="DA346" s="75"/>
      <c r="DB346" s="75"/>
      <c r="DC346" s="73"/>
      <c r="DD346" s="75"/>
      <c r="DE346" s="75"/>
      <c r="DF346" s="75"/>
      <c r="DG346" s="73"/>
      <c r="DH346" s="75"/>
      <c r="DI346" s="75"/>
      <c r="DJ346" s="75"/>
      <c r="DK346" s="76"/>
    </row>
    <row r="347" spans="63:115" x14ac:dyDescent="0.25">
      <c r="BK347" s="75"/>
      <c r="BL347" s="75"/>
      <c r="BM347" s="75"/>
      <c r="BN347" s="73"/>
      <c r="BO347" s="75"/>
      <c r="BP347" s="75"/>
      <c r="BQ347" s="75"/>
      <c r="BR347" s="75"/>
      <c r="BS347" s="75"/>
      <c r="BT347" s="75"/>
      <c r="BU347" s="75"/>
      <c r="BV347" s="75"/>
      <c r="BW347" s="75"/>
      <c r="BX347" s="75"/>
      <c r="BY347" s="75"/>
      <c r="BZ347" s="75"/>
      <c r="CA347" s="73"/>
      <c r="CB347" s="75"/>
      <c r="CC347" s="75"/>
      <c r="CD347" s="75"/>
      <c r="CE347" s="73"/>
      <c r="CF347" s="75"/>
      <c r="CG347" s="75"/>
      <c r="CH347" s="75"/>
      <c r="CI347" s="73"/>
      <c r="CJ347" s="75"/>
      <c r="CK347" s="75"/>
      <c r="CL347" s="75"/>
      <c r="CM347" s="73"/>
      <c r="CN347" s="75"/>
      <c r="CO347" s="75"/>
      <c r="CP347" s="75"/>
      <c r="CQ347" s="73"/>
      <c r="CR347" s="75"/>
      <c r="CS347" s="75"/>
      <c r="CT347" s="75"/>
      <c r="CU347" s="73"/>
      <c r="CV347" s="75"/>
      <c r="CW347" s="75"/>
      <c r="CX347" s="75"/>
      <c r="CY347" s="73"/>
      <c r="CZ347" s="75"/>
      <c r="DA347" s="75"/>
      <c r="DB347" s="75"/>
      <c r="DC347" s="73"/>
      <c r="DD347" s="75"/>
      <c r="DE347" s="75"/>
      <c r="DF347" s="75"/>
      <c r="DG347" s="73"/>
      <c r="DH347" s="75"/>
      <c r="DI347" s="75"/>
      <c r="DJ347" s="75"/>
      <c r="DK347" s="76"/>
    </row>
    <row r="348" spans="63:115" x14ac:dyDescent="0.25">
      <c r="BK348" s="75"/>
      <c r="BL348" s="75"/>
      <c r="BM348" s="75"/>
      <c r="BN348" s="73"/>
      <c r="BO348" s="75"/>
      <c r="BP348" s="75"/>
      <c r="BQ348" s="75"/>
      <c r="BR348" s="75"/>
      <c r="BS348" s="75"/>
      <c r="BT348" s="75"/>
      <c r="BU348" s="75"/>
      <c r="BV348" s="75"/>
      <c r="BW348" s="75"/>
      <c r="BX348" s="75"/>
      <c r="BY348" s="75"/>
      <c r="BZ348" s="75"/>
      <c r="CA348" s="73"/>
      <c r="CB348" s="75"/>
      <c r="CC348" s="75"/>
      <c r="CD348" s="75"/>
      <c r="CE348" s="73"/>
      <c r="CF348" s="75"/>
      <c r="CG348" s="75"/>
      <c r="CH348" s="75"/>
      <c r="CI348" s="73"/>
      <c r="CJ348" s="75"/>
      <c r="CK348" s="75"/>
      <c r="CL348" s="75"/>
      <c r="CM348" s="73"/>
      <c r="CN348" s="75"/>
      <c r="CO348" s="75"/>
      <c r="CP348" s="75"/>
      <c r="CQ348" s="73"/>
      <c r="CR348" s="75"/>
      <c r="CS348" s="75"/>
      <c r="CT348" s="75"/>
      <c r="CU348" s="73"/>
      <c r="CV348" s="75"/>
      <c r="CW348" s="75"/>
      <c r="CX348" s="75"/>
      <c r="CY348" s="73"/>
      <c r="CZ348" s="75"/>
      <c r="DA348" s="75"/>
      <c r="DB348" s="75"/>
      <c r="DC348" s="73"/>
      <c r="DD348" s="75"/>
      <c r="DE348" s="75"/>
      <c r="DF348" s="75"/>
      <c r="DG348" s="73"/>
      <c r="DH348" s="75"/>
      <c r="DI348" s="75"/>
      <c r="DJ348" s="75"/>
      <c r="DK348" s="76"/>
    </row>
    <row r="349" spans="63:115" x14ac:dyDescent="0.25">
      <c r="BK349" s="75"/>
      <c r="BL349" s="75"/>
      <c r="BM349" s="75"/>
      <c r="BN349" s="73"/>
      <c r="BO349" s="75"/>
      <c r="BP349" s="75"/>
      <c r="BQ349" s="75"/>
      <c r="BR349" s="75"/>
      <c r="BS349" s="75"/>
      <c r="BT349" s="75"/>
      <c r="BU349" s="75"/>
      <c r="BV349" s="75"/>
      <c r="BW349" s="75"/>
      <c r="BX349" s="75"/>
      <c r="BY349" s="75"/>
      <c r="BZ349" s="75"/>
      <c r="CA349" s="73"/>
      <c r="CB349" s="75"/>
      <c r="CC349" s="75"/>
      <c r="CD349" s="75"/>
      <c r="CE349" s="73"/>
      <c r="CF349" s="75"/>
      <c r="CG349" s="75"/>
      <c r="CH349" s="75"/>
      <c r="CI349" s="73"/>
      <c r="CJ349" s="75"/>
      <c r="CK349" s="75"/>
      <c r="CL349" s="75"/>
      <c r="CM349" s="73"/>
      <c r="CN349" s="75"/>
      <c r="CO349" s="75"/>
      <c r="CP349" s="75"/>
      <c r="CQ349" s="73"/>
      <c r="CR349" s="75"/>
      <c r="CS349" s="75"/>
      <c r="CT349" s="75"/>
      <c r="CU349" s="73"/>
      <c r="CV349" s="75"/>
      <c r="CW349" s="75"/>
      <c r="CX349" s="75"/>
      <c r="CY349" s="73"/>
      <c r="CZ349" s="75"/>
      <c r="DA349" s="75"/>
      <c r="DB349" s="75"/>
      <c r="DC349" s="73"/>
      <c r="DD349" s="75"/>
      <c r="DE349" s="75"/>
      <c r="DF349" s="75"/>
      <c r="DG349" s="73"/>
      <c r="DH349" s="75"/>
      <c r="DI349" s="75"/>
      <c r="DJ349" s="75"/>
      <c r="DK349" s="76"/>
    </row>
    <row r="350" spans="63:115" x14ac:dyDescent="0.25">
      <c r="BK350" s="75"/>
      <c r="BL350" s="75"/>
      <c r="BM350" s="75"/>
      <c r="BN350" s="73"/>
      <c r="BO350" s="75"/>
      <c r="BP350" s="75"/>
      <c r="BQ350" s="75"/>
      <c r="BR350" s="75"/>
      <c r="BS350" s="75"/>
      <c r="BT350" s="75"/>
      <c r="BU350" s="75"/>
      <c r="BV350" s="75"/>
      <c r="BW350" s="75"/>
      <c r="BX350" s="75"/>
      <c r="BY350" s="75"/>
      <c r="BZ350" s="75"/>
      <c r="CA350" s="73"/>
      <c r="CB350" s="75"/>
      <c r="CC350" s="75"/>
      <c r="CD350" s="75"/>
      <c r="CE350" s="73"/>
      <c r="CF350" s="75"/>
      <c r="CG350" s="75"/>
      <c r="CH350" s="75"/>
      <c r="CI350" s="73"/>
      <c r="CJ350" s="75"/>
      <c r="CK350" s="75"/>
      <c r="CL350" s="75"/>
      <c r="CM350" s="73"/>
      <c r="CN350" s="75"/>
      <c r="CO350" s="75"/>
      <c r="CP350" s="75"/>
      <c r="CQ350" s="73"/>
      <c r="CR350" s="75"/>
      <c r="CS350" s="75"/>
      <c r="CT350" s="75"/>
      <c r="CU350" s="73"/>
      <c r="CV350" s="75"/>
      <c r="CW350" s="75"/>
      <c r="CX350" s="75"/>
      <c r="CY350" s="73"/>
      <c r="CZ350" s="75"/>
      <c r="DA350" s="75"/>
      <c r="DB350" s="75"/>
      <c r="DC350" s="73"/>
      <c r="DD350" s="75"/>
      <c r="DE350" s="75"/>
      <c r="DF350" s="75"/>
      <c r="DG350" s="73"/>
      <c r="DH350" s="75"/>
      <c r="DI350" s="75"/>
      <c r="DJ350" s="75"/>
      <c r="DK350" s="76"/>
    </row>
    <row r="351" spans="63:115" x14ac:dyDescent="0.25">
      <c r="BK351" s="75"/>
      <c r="BL351" s="75"/>
      <c r="BM351" s="75"/>
      <c r="BN351" s="73"/>
      <c r="BO351" s="75"/>
      <c r="BP351" s="75"/>
      <c r="BQ351" s="75"/>
      <c r="BR351" s="75"/>
      <c r="BS351" s="75"/>
      <c r="BT351" s="75"/>
      <c r="BU351" s="75"/>
      <c r="BV351" s="75"/>
      <c r="BW351" s="75"/>
      <c r="BX351" s="75"/>
      <c r="BY351" s="75"/>
      <c r="BZ351" s="75"/>
      <c r="CA351" s="73"/>
      <c r="CB351" s="75"/>
      <c r="CC351" s="75"/>
      <c r="CD351" s="75"/>
      <c r="CE351" s="73"/>
      <c r="CF351" s="75"/>
      <c r="CG351" s="75"/>
      <c r="CH351" s="75"/>
      <c r="CI351" s="73"/>
      <c r="CJ351" s="75"/>
      <c r="CK351" s="75"/>
      <c r="CL351" s="75"/>
      <c r="CM351" s="73"/>
      <c r="CN351" s="75"/>
      <c r="CO351" s="75"/>
      <c r="CP351" s="75"/>
      <c r="CQ351" s="73"/>
      <c r="CR351" s="75"/>
      <c r="CS351" s="75"/>
      <c r="CT351" s="75"/>
      <c r="CU351" s="73"/>
      <c r="CV351" s="75"/>
      <c r="CW351" s="75"/>
      <c r="CX351" s="75"/>
      <c r="CY351" s="73"/>
      <c r="CZ351" s="75"/>
      <c r="DA351" s="75"/>
      <c r="DB351" s="75"/>
      <c r="DC351" s="73"/>
      <c r="DD351" s="75"/>
      <c r="DE351" s="75"/>
      <c r="DF351" s="75"/>
      <c r="DG351" s="73"/>
      <c r="DH351" s="75"/>
      <c r="DI351" s="75"/>
      <c r="DJ351" s="75"/>
      <c r="DK351" s="76"/>
    </row>
    <row r="352" spans="63:115" x14ac:dyDescent="0.25">
      <c r="BK352" s="75"/>
      <c r="BL352" s="75"/>
      <c r="BM352" s="75"/>
      <c r="BN352" s="73"/>
      <c r="BO352" s="75"/>
      <c r="BP352" s="75"/>
      <c r="BQ352" s="75"/>
      <c r="BR352" s="75"/>
      <c r="BS352" s="75"/>
      <c r="BT352" s="75"/>
      <c r="BU352" s="75"/>
      <c r="BV352" s="75"/>
      <c r="BW352" s="75"/>
      <c r="BX352" s="75"/>
      <c r="BY352" s="75"/>
      <c r="BZ352" s="75"/>
      <c r="CA352" s="73"/>
      <c r="CB352" s="75"/>
      <c r="CC352" s="75"/>
      <c r="CD352" s="75"/>
      <c r="CE352" s="73"/>
      <c r="CF352" s="75"/>
      <c r="CG352" s="75"/>
      <c r="CH352" s="75"/>
      <c r="CI352" s="73"/>
      <c r="CJ352" s="75"/>
      <c r="CK352" s="75"/>
      <c r="CL352" s="75"/>
      <c r="CM352" s="73"/>
      <c r="CN352" s="75"/>
      <c r="CO352" s="75"/>
      <c r="CP352" s="75"/>
      <c r="CQ352" s="73"/>
      <c r="CR352" s="75"/>
      <c r="CS352" s="75"/>
      <c r="CT352" s="75"/>
      <c r="CU352" s="73"/>
      <c r="CV352" s="75"/>
      <c r="CW352" s="75"/>
      <c r="CX352" s="75"/>
      <c r="CY352" s="73"/>
      <c r="CZ352" s="75"/>
      <c r="DA352" s="75"/>
      <c r="DB352" s="75"/>
      <c r="DC352" s="73"/>
      <c r="DD352" s="75"/>
      <c r="DE352" s="75"/>
      <c r="DF352" s="75"/>
      <c r="DG352" s="73"/>
      <c r="DH352" s="75"/>
      <c r="DI352" s="75"/>
      <c r="DJ352" s="75"/>
      <c r="DK352" s="76"/>
    </row>
    <row r="353" spans="63:115" x14ac:dyDescent="0.25">
      <c r="BK353" s="75"/>
      <c r="BL353" s="75"/>
      <c r="BM353" s="75"/>
      <c r="BN353" s="73"/>
      <c r="BO353" s="75"/>
      <c r="BP353" s="75"/>
      <c r="BQ353" s="75"/>
      <c r="BR353" s="75"/>
      <c r="BS353" s="75"/>
      <c r="BT353" s="75"/>
      <c r="BU353" s="75"/>
      <c r="BV353" s="75"/>
      <c r="BW353" s="75"/>
      <c r="BX353" s="75"/>
      <c r="BY353" s="75"/>
      <c r="BZ353" s="75"/>
      <c r="CA353" s="73"/>
      <c r="CB353" s="75"/>
      <c r="CC353" s="75"/>
      <c r="CD353" s="75"/>
      <c r="CE353" s="73"/>
      <c r="CF353" s="75"/>
      <c r="CG353" s="75"/>
      <c r="CH353" s="75"/>
      <c r="CI353" s="73"/>
      <c r="CJ353" s="75"/>
      <c r="CK353" s="75"/>
      <c r="CL353" s="75"/>
      <c r="CM353" s="73"/>
      <c r="CN353" s="75"/>
      <c r="CO353" s="75"/>
      <c r="CP353" s="75"/>
      <c r="CQ353" s="73"/>
      <c r="CR353" s="75"/>
      <c r="CS353" s="75"/>
      <c r="CT353" s="75"/>
      <c r="CU353" s="73"/>
      <c r="CV353" s="75"/>
      <c r="CW353" s="75"/>
      <c r="CX353" s="75"/>
      <c r="CY353" s="73"/>
      <c r="CZ353" s="75"/>
      <c r="DA353" s="75"/>
      <c r="DB353" s="75"/>
      <c r="DC353" s="73"/>
      <c r="DD353" s="75"/>
      <c r="DE353" s="75"/>
      <c r="DF353" s="75"/>
      <c r="DG353" s="73"/>
      <c r="DH353" s="75"/>
      <c r="DI353" s="75"/>
      <c r="DJ353" s="75"/>
      <c r="DK353" s="76"/>
    </row>
    <row r="354" spans="63:115" x14ac:dyDescent="0.25">
      <c r="BK354" s="75"/>
      <c r="BL354" s="75"/>
      <c r="BM354" s="75"/>
      <c r="BN354" s="73"/>
      <c r="BO354" s="75"/>
      <c r="BP354" s="75"/>
      <c r="BQ354" s="75"/>
      <c r="BR354" s="75"/>
      <c r="BS354" s="75"/>
      <c r="BT354" s="75"/>
      <c r="BU354" s="75"/>
      <c r="BV354" s="75"/>
      <c r="BW354" s="75"/>
      <c r="BX354" s="75"/>
      <c r="BY354" s="75"/>
      <c r="BZ354" s="75"/>
      <c r="CA354" s="73"/>
      <c r="CB354" s="75"/>
      <c r="CC354" s="75"/>
      <c r="CD354" s="75"/>
      <c r="CE354" s="73"/>
      <c r="CF354" s="75"/>
      <c r="CG354" s="75"/>
      <c r="CH354" s="75"/>
      <c r="CI354" s="73"/>
      <c r="CJ354" s="75"/>
      <c r="CK354" s="75"/>
      <c r="CL354" s="75"/>
      <c r="CM354" s="73"/>
      <c r="CN354" s="75"/>
      <c r="CO354" s="75"/>
      <c r="CP354" s="75"/>
      <c r="CQ354" s="73"/>
      <c r="CR354" s="75"/>
      <c r="CS354" s="75"/>
      <c r="CT354" s="75"/>
      <c r="CU354" s="73"/>
      <c r="CV354" s="75"/>
      <c r="CW354" s="75"/>
      <c r="CX354" s="75"/>
      <c r="CY354" s="73"/>
      <c r="CZ354" s="75"/>
      <c r="DA354" s="75"/>
      <c r="DB354" s="75"/>
      <c r="DC354" s="73"/>
      <c r="DD354" s="75"/>
      <c r="DE354" s="75"/>
      <c r="DF354" s="75"/>
      <c r="DG354" s="73"/>
      <c r="DH354" s="75"/>
      <c r="DI354" s="75"/>
      <c r="DJ354" s="75"/>
      <c r="DK354" s="76"/>
    </row>
    <row r="355" spans="63:115" x14ac:dyDescent="0.25">
      <c r="BK355" s="75"/>
      <c r="BL355" s="75"/>
      <c r="BM355" s="75"/>
      <c r="BN355" s="73"/>
      <c r="BO355" s="75"/>
      <c r="BP355" s="75"/>
      <c r="BQ355" s="75"/>
      <c r="BR355" s="75"/>
      <c r="BS355" s="75"/>
      <c r="BT355" s="75"/>
      <c r="BU355" s="75"/>
      <c r="BV355" s="75"/>
      <c r="BW355" s="75"/>
      <c r="BX355" s="75"/>
      <c r="BY355" s="75"/>
      <c r="BZ355" s="75"/>
      <c r="CA355" s="73"/>
      <c r="CB355" s="75"/>
      <c r="CC355" s="75"/>
      <c r="CD355" s="75"/>
      <c r="CE355" s="73"/>
      <c r="CF355" s="75"/>
      <c r="CG355" s="75"/>
      <c r="CH355" s="75"/>
      <c r="CI355" s="73"/>
      <c r="CJ355" s="75"/>
      <c r="CK355" s="75"/>
      <c r="CL355" s="75"/>
      <c r="CM355" s="73"/>
      <c r="CN355" s="75"/>
      <c r="CO355" s="75"/>
      <c r="CP355" s="75"/>
      <c r="CQ355" s="73"/>
      <c r="CR355" s="75"/>
      <c r="CS355" s="75"/>
      <c r="CT355" s="75"/>
      <c r="CU355" s="73"/>
      <c r="CV355" s="75"/>
      <c r="CW355" s="75"/>
      <c r="CX355" s="75"/>
      <c r="CY355" s="73"/>
      <c r="CZ355" s="75"/>
      <c r="DA355" s="75"/>
      <c r="DB355" s="75"/>
      <c r="DC355" s="73"/>
      <c r="DD355" s="75"/>
      <c r="DE355" s="75"/>
      <c r="DF355" s="75"/>
      <c r="DG355" s="73"/>
      <c r="DH355" s="75"/>
      <c r="DI355" s="75"/>
      <c r="DJ355" s="75"/>
      <c r="DK355" s="76"/>
    </row>
    <row r="356" spans="63:115" x14ac:dyDescent="0.25">
      <c r="BK356" s="75"/>
      <c r="BL356" s="75"/>
      <c r="BM356" s="75"/>
      <c r="BN356" s="73"/>
      <c r="BO356" s="75"/>
      <c r="BP356" s="75"/>
      <c r="BQ356" s="75"/>
      <c r="BR356" s="75"/>
      <c r="BS356" s="75"/>
      <c r="BT356" s="75"/>
      <c r="BU356" s="75"/>
      <c r="BV356" s="75"/>
      <c r="BW356" s="75"/>
      <c r="BX356" s="75"/>
      <c r="BY356" s="75"/>
      <c r="BZ356" s="75"/>
      <c r="CA356" s="73"/>
      <c r="CB356" s="75"/>
      <c r="CC356" s="75"/>
      <c r="CD356" s="75"/>
      <c r="CE356" s="73"/>
      <c r="CF356" s="75"/>
      <c r="CG356" s="75"/>
      <c r="CH356" s="75"/>
      <c r="CI356" s="73"/>
      <c r="CJ356" s="75"/>
      <c r="CK356" s="75"/>
      <c r="CL356" s="75"/>
      <c r="CM356" s="73"/>
      <c r="CN356" s="75"/>
      <c r="CO356" s="75"/>
      <c r="CP356" s="75"/>
      <c r="CQ356" s="73"/>
      <c r="CR356" s="75"/>
      <c r="CS356" s="75"/>
      <c r="CT356" s="75"/>
      <c r="CU356" s="73"/>
      <c r="CV356" s="75"/>
      <c r="CW356" s="75"/>
      <c r="CX356" s="75"/>
      <c r="CY356" s="73"/>
      <c r="CZ356" s="75"/>
      <c r="DA356" s="75"/>
      <c r="DB356" s="75"/>
      <c r="DC356" s="73"/>
      <c r="DD356" s="75"/>
      <c r="DE356" s="75"/>
      <c r="DF356" s="75"/>
      <c r="DG356" s="73"/>
      <c r="DH356" s="75"/>
      <c r="DI356" s="75"/>
      <c r="DJ356" s="75"/>
      <c r="DK356" s="76"/>
    </row>
    <row r="357" spans="63:115" x14ac:dyDescent="0.25">
      <c r="BK357" s="75"/>
      <c r="BL357" s="75"/>
      <c r="BM357" s="75"/>
      <c r="BN357" s="73"/>
      <c r="BO357" s="75"/>
      <c r="BP357" s="75"/>
      <c r="BQ357" s="75"/>
      <c r="BR357" s="75"/>
      <c r="BS357" s="75"/>
      <c r="BT357" s="75"/>
      <c r="BU357" s="75"/>
      <c r="BV357" s="75"/>
      <c r="BW357" s="75"/>
      <c r="BX357" s="75"/>
      <c r="BY357" s="75"/>
      <c r="BZ357" s="75"/>
      <c r="CA357" s="73"/>
      <c r="CB357" s="75"/>
      <c r="CC357" s="75"/>
      <c r="CD357" s="75"/>
      <c r="CE357" s="73"/>
      <c r="CF357" s="75"/>
      <c r="CG357" s="75"/>
      <c r="CH357" s="75"/>
      <c r="CI357" s="73"/>
      <c r="CJ357" s="75"/>
      <c r="CK357" s="75"/>
      <c r="CL357" s="75"/>
      <c r="CM357" s="73"/>
      <c r="CN357" s="75"/>
      <c r="CO357" s="75"/>
      <c r="CP357" s="75"/>
      <c r="CQ357" s="73"/>
      <c r="CR357" s="75"/>
      <c r="CS357" s="75"/>
      <c r="CT357" s="75"/>
      <c r="CU357" s="73"/>
      <c r="CV357" s="75"/>
      <c r="CW357" s="75"/>
      <c r="CX357" s="75"/>
      <c r="CY357" s="73"/>
      <c r="CZ357" s="75"/>
      <c r="DA357" s="75"/>
      <c r="DB357" s="75"/>
      <c r="DC357" s="73"/>
      <c r="DD357" s="75"/>
      <c r="DE357" s="75"/>
      <c r="DF357" s="75"/>
      <c r="DG357" s="73"/>
      <c r="DH357" s="75"/>
      <c r="DI357" s="75"/>
      <c r="DJ357" s="75"/>
      <c r="DK357" s="76"/>
    </row>
    <row r="358" spans="63:115" x14ac:dyDescent="0.25">
      <c r="BK358" s="75"/>
      <c r="BL358" s="75"/>
      <c r="BM358" s="75"/>
      <c r="BN358" s="73"/>
      <c r="BO358" s="75"/>
      <c r="BP358" s="75"/>
      <c r="BQ358" s="75"/>
      <c r="BR358" s="75"/>
      <c r="BS358" s="75"/>
      <c r="BT358" s="75"/>
      <c r="BU358" s="75"/>
      <c r="BV358" s="75"/>
      <c r="BW358" s="75"/>
      <c r="BX358" s="75"/>
      <c r="BY358" s="75"/>
      <c r="BZ358" s="75"/>
      <c r="CA358" s="73"/>
      <c r="CB358" s="75"/>
      <c r="CC358" s="75"/>
      <c r="CD358" s="75"/>
      <c r="CE358" s="73"/>
      <c r="CF358" s="75"/>
      <c r="CG358" s="75"/>
      <c r="CH358" s="75"/>
      <c r="CI358" s="73"/>
      <c r="CJ358" s="75"/>
      <c r="CK358" s="75"/>
      <c r="CL358" s="75"/>
      <c r="CM358" s="73"/>
      <c r="CN358" s="75"/>
      <c r="CO358" s="75"/>
      <c r="CP358" s="75"/>
      <c r="CQ358" s="73"/>
      <c r="CR358" s="75"/>
      <c r="CS358" s="75"/>
      <c r="CT358" s="75"/>
      <c r="CU358" s="73"/>
      <c r="CV358" s="75"/>
      <c r="CW358" s="75"/>
      <c r="CX358" s="75"/>
      <c r="CY358" s="73"/>
      <c r="CZ358" s="75"/>
      <c r="DA358" s="75"/>
      <c r="DB358" s="75"/>
      <c r="DC358" s="73"/>
      <c r="DD358" s="75"/>
      <c r="DE358" s="75"/>
      <c r="DF358" s="75"/>
      <c r="DG358" s="73"/>
      <c r="DH358" s="75"/>
      <c r="DI358" s="75"/>
      <c r="DJ358" s="75"/>
      <c r="DK358" s="76"/>
    </row>
    <row r="359" spans="63:115" x14ac:dyDescent="0.25">
      <c r="BK359" s="75"/>
      <c r="BL359" s="75"/>
      <c r="BM359" s="75"/>
      <c r="BN359" s="73"/>
      <c r="BO359" s="75"/>
      <c r="BP359" s="75"/>
      <c r="BQ359" s="75"/>
      <c r="BR359" s="75"/>
      <c r="BS359" s="75"/>
      <c r="BT359" s="75"/>
      <c r="BU359" s="75"/>
      <c r="BV359" s="75"/>
      <c r="BW359" s="75"/>
      <c r="BX359" s="75"/>
      <c r="BY359" s="75"/>
      <c r="BZ359" s="75"/>
      <c r="CA359" s="73"/>
      <c r="CB359" s="75"/>
      <c r="CC359" s="75"/>
      <c r="CD359" s="75"/>
      <c r="CE359" s="73"/>
      <c r="CF359" s="75"/>
      <c r="CG359" s="75"/>
      <c r="CH359" s="75"/>
      <c r="CI359" s="73"/>
      <c r="CJ359" s="75"/>
      <c r="CK359" s="75"/>
      <c r="CL359" s="75"/>
      <c r="CM359" s="73"/>
      <c r="CN359" s="75"/>
      <c r="CO359" s="75"/>
      <c r="CP359" s="75"/>
      <c r="CQ359" s="73"/>
      <c r="CR359" s="75"/>
      <c r="CS359" s="75"/>
      <c r="CT359" s="75"/>
      <c r="CU359" s="73"/>
      <c r="CV359" s="75"/>
      <c r="CW359" s="75"/>
      <c r="CX359" s="75"/>
      <c r="CY359" s="73"/>
      <c r="CZ359" s="75"/>
      <c r="DA359" s="75"/>
      <c r="DB359" s="75"/>
      <c r="DC359" s="73"/>
      <c r="DD359" s="75"/>
      <c r="DE359" s="75"/>
      <c r="DF359" s="75"/>
      <c r="DG359" s="73"/>
      <c r="DH359" s="75"/>
      <c r="DI359" s="75"/>
      <c r="DJ359" s="75"/>
      <c r="DK359" s="76"/>
    </row>
    <row r="360" spans="63:115" x14ac:dyDescent="0.25">
      <c r="BK360" s="75"/>
      <c r="BL360" s="75"/>
      <c r="BM360" s="75"/>
      <c r="BN360" s="73"/>
      <c r="BO360" s="75"/>
      <c r="BP360" s="75"/>
      <c r="BQ360" s="75"/>
      <c r="BR360" s="75"/>
      <c r="BS360" s="75"/>
      <c r="BT360" s="75"/>
      <c r="BU360" s="75"/>
      <c r="BV360" s="75"/>
      <c r="BW360" s="75"/>
      <c r="BX360" s="75"/>
      <c r="BY360" s="75"/>
      <c r="BZ360" s="75"/>
      <c r="CA360" s="73"/>
      <c r="CB360" s="75"/>
      <c r="CC360" s="75"/>
      <c r="CD360" s="75"/>
      <c r="CE360" s="73"/>
      <c r="CF360" s="75"/>
      <c r="CG360" s="75"/>
      <c r="CH360" s="75"/>
      <c r="CI360" s="73"/>
      <c r="CJ360" s="75"/>
      <c r="CK360" s="75"/>
      <c r="CL360" s="75"/>
      <c r="CM360" s="73"/>
      <c r="CN360" s="75"/>
      <c r="CO360" s="75"/>
      <c r="CP360" s="75"/>
      <c r="CQ360" s="73"/>
      <c r="CR360" s="75"/>
      <c r="CS360" s="75"/>
      <c r="CT360" s="75"/>
      <c r="CU360" s="73"/>
      <c r="CV360" s="75"/>
      <c r="CW360" s="75"/>
      <c r="CX360" s="75"/>
      <c r="CY360" s="73"/>
      <c r="CZ360" s="75"/>
      <c r="DA360" s="75"/>
      <c r="DB360" s="75"/>
      <c r="DC360" s="73"/>
      <c r="DD360" s="75"/>
      <c r="DE360" s="75"/>
      <c r="DF360" s="75"/>
      <c r="DG360" s="73"/>
      <c r="DH360" s="75"/>
      <c r="DI360" s="75"/>
      <c r="DJ360" s="75"/>
      <c r="DK360" s="76"/>
    </row>
    <row r="361" spans="63:115" x14ac:dyDescent="0.25">
      <c r="BK361" s="75"/>
      <c r="BL361" s="75"/>
      <c r="BM361" s="75"/>
      <c r="BN361" s="73"/>
      <c r="BO361" s="75"/>
      <c r="BP361" s="75"/>
      <c r="BQ361" s="75"/>
      <c r="BR361" s="75"/>
      <c r="BS361" s="75"/>
      <c r="BT361" s="75"/>
      <c r="BU361" s="75"/>
      <c r="BV361" s="75"/>
      <c r="BW361" s="75"/>
      <c r="BX361" s="75"/>
      <c r="BY361" s="75"/>
      <c r="BZ361" s="75"/>
      <c r="CA361" s="73"/>
      <c r="CB361" s="75"/>
      <c r="CC361" s="75"/>
      <c r="CD361" s="75"/>
      <c r="CE361" s="73"/>
      <c r="CF361" s="75"/>
      <c r="CG361" s="75"/>
      <c r="CH361" s="75"/>
      <c r="CI361" s="73"/>
      <c r="CJ361" s="75"/>
      <c r="CK361" s="75"/>
      <c r="CL361" s="75"/>
      <c r="CM361" s="73"/>
      <c r="CN361" s="75"/>
      <c r="CO361" s="75"/>
      <c r="CP361" s="75"/>
      <c r="CQ361" s="73"/>
      <c r="CR361" s="75"/>
      <c r="CS361" s="75"/>
      <c r="CT361" s="75"/>
      <c r="CU361" s="73"/>
      <c r="CV361" s="75"/>
      <c r="CW361" s="75"/>
      <c r="CX361" s="75"/>
      <c r="CY361" s="73"/>
      <c r="CZ361" s="75"/>
      <c r="DA361" s="75"/>
      <c r="DB361" s="75"/>
      <c r="DC361" s="73"/>
      <c r="DD361" s="75"/>
      <c r="DE361" s="75"/>
      <c r="DF361" s="75"/>
      <c r="DG361" s="73"/>
      <c r="DH361" s="75"/>
      <c r="DI361" s="75"/>
      <c r="DJ361" s="75"/>
      <c r="DK361" s="76"/>
    </row>
    <row r="362" spans="63:115" x14ac:dyDescent="0.25">
      <c r="BK362" s="75"/>
      <c r="BL362" s="75"/>
      <c r="BM362" s="75"/>
      <c r="BN362" s="73"/>
      <c r="BO362" s="75"/>
      <c r="BP362" s="75"/>
      <c r="BQ362" s="75"/>
      <c r="BR362" s="75"/>
      <c r="BS362" s="75"/>
      <c r="BT362" s="75"/>
      <c r="BU362" s="75"/>
      <c r="BV362" s="75"/>
      <c r="BW362" s="75"/>
      <c r="BX362" s="75"/>
      <c r="BY362" s="75"/>
      <c r="BZ362" s="75"/>
      <c r="CA362" s="73"/>
      <c r="CB362" s="75"/>
      <c r="CC362" s="75"/>
      <c r="CD362" s="75"/>
      <c r="CE362" s="73"/>
      <c r="CF362" s="75"/>
      <c r="CG362" s="75"/>
      <c r="CH362" s="75"/>
      <c r="CI362" s="73"/>
      <c r="CJ362" s="75"/>
      <c r="CK362" s="75"/>
      <c r="CL362" s="75"/>
      <c r="CM362" s="73"/>
      <c r="CN362" s="75"/>
      <c r="CO362" s="75"/>
      <c r="CP362" s="75"/>
      <c r="CQ362" s="73"/>
      <c r="CR362" s="75"/>
      <c r="CS362" s="75"/>
      <c r="CT362" s="75"/>
      <c r="CU362" s="73"/>
      <c r="CV362" s="75"/>
      <c r="CW362" s="75"/>
      <c r="CX362" s="75"/>
      <c r="CY362" s="73"/>
      <c r="CZ362" s="75"/>
      <c r="DA362" s="75"/>
      <c r="DB362" s="75"/>
      <c r="DC362" s="73"/>
      <c r="DD362" s="75"/>
      <c r="DE362" s="75"/>
      <c r="DF362" s="75"/>
      <c r="DG362" s="73"/>
      <c r="DH362" s="75"/>
      <c r="DI362" s="75"/>
      <c r="DJ362" s="75"/>
      <c r="DK362" s="76"/>
    </row>
    <row r="363" spans="63:115" x14ac:dyDescent="0.25">
      <c r="BK363" s="75"/>
      <c r="BL363" s="75"/>
      <c r="BM363" s="75"/>
      <c r="BN363" s="73"/>
      <c r="BO363" s="75"/>
      <c r="BP363" s="75"/>
      <c r="BQ363" s="75"/>
      <c r="BR363" s="75"/>
      <c r="BS363" s="75"/>
      <c r="BT363" s="75"/>
      <c r="BU363" s="75"/>
      <c r="BV363" s="75"/>
      <c r="BW363" s="75"/>
      <c r="BX363" s="75"/>
      <c r="BY363" s="75"/>
      <c r="BZ363" s="75"/>
      <c r="CA363" s="73"/>
      <c r="CB363" s="75"/>
      <c r="CC363" s="75"/>
      <c r="CD363" s="75"/>
      <c r="CE363" s="73"/>
      <c r="CF363" s="75"/>
      <c r="CG363" s="75"/>
      <c r="CH363" s="75"/>
      <c r="CI363" s="73"/>
      <c r="CJ363" s="75"/>
      <c r="CK363" s="75"/>
      <c r="CL363" s="75"/>
      <c r="CM363" s="73"/>
      <c r="CN363" s="75"/>
      <c r="CO363" s="75"/>
      <c r="CP363" s="75"/>
      <c r="CQ363" s="73"/>
      <c r="CR363" s="75"/>
      <c r="CS363" s="75"/>
      <c r="CT363" s="75"/>
      <c r="CU363" s="73"/>
      <c r="CV363" s="75"/>
      <c r="CW363" s="75"/>
      <c r="CX363" s="75"/>
      <c r="CY363" s="73"/>
      <c r="CZ363" s="75"/>
      <c r="DA363" s="75"/>
      <c r="DB363" s="75"/>
      <c r="DC363" s="73"/>
      <c r="DD363" s="75"/>
      <c r="DE363" s="75"/>
      <c r="DF363" s="75"/>
      <c r="DG363" s="73"/>
      <c r="DH363" s="75"/>
      <c r="DI363" s="75"/>
      <c r="DJ363" s="75"/>
      <c r="DK363" s="76"/>
    </row>
    <row r="364" spans="63:115" x14ac:dyDescent="0.25">
      <c r="BK364" s="75"/>
      <c r="BL364" s="75"/>
      <c r="BM364" s="75"/>
      <c r="BN364" s="73"/>
      <c r="BO364" s="75"/>
      <c r="BP364" s="75"/>
      <c r="BQ364" s="75"/>
      <c r="BR364" s="75"/>
      <c r="BS364" s="75"/>
      <c r="BT364" s="75"/>
      <c r="BU364" s="75"/>
      <c r="BV364" s="75"/>
      <c r="BW364" s="75"/>
      <c r="BX364" s="75"/>
      <c r="BY364" s="75"/>
      <c r="BZ364" s="75"/>
      <c r="CA364" s="73"/>
      <c r="CB364" s="75"/>
      <c r="CC364" s="75"/>
      <c r="CD364" s="75"/>
      <c r="CE364" s="73"/>
      <c r="CF364" s="75"/>
      <c r="CG364" s="75"/>
      <c r="CH364" s="75"/>
      <c r="CI364" s="73"/>
      <c r="CJ364" s="75"/>
      <c r="CK364" s="75"/>
      <c r="CL364" s="75"/>
      <c r="CM364" s="73"/>
      <c r="CN364" s="75"/>
      <c r="CO364" s="75"/>
      <c r="CP364" s="75"/>
      <c r="CQ364" s="73"/>
      <c r="CR364" s="75"/>
      <c r="CS364" s="75"/>
      <c r="CT364" s="75"/>
      <c r="CU364" s="73"/>
      <c r="CV364" s="75"/>
      <c r="CW364" s="75"/>
      <c r="CX364" s="75"/>
      <c r="CY364" s="73"/>
      <c r="CZ364" s="75"/>
      <c r="DA364" s="75"/>
      <c r="DB364" s="75"/>
      <c r="DC364" s="73"/>
      <c r="DD364" s="75"/>
      <c r="DE364" s="75"/>
      <c r="DF364" s="75"/>
      <c r="DG364" s="73"/>
      <c r="DH364" s="75"/>
      <c r="DI364" s="75"/>
      <c r="DJ364" s="75"/>
      <c r="DK364" s="76"/>
    </row>
    <row r="365" spans="63:115" x14ac:dyDescent="0.25">
      <c r="BK365" s="75"/>
      <c r="BL365" s="75"/>
      <c r="BM365" s="75"/>
      <c r="BN365" s="73"/>
      <c r="BO365" s="75"/>
      <c r="BP365" s="75"/>
      <c r="BQ365" s="75"/>
      <c r="BR365" s="75"/>
      <c r="BS365" s="75"/>
      <c r="BT365" s="75"/>
      <c r="BU365" s="75"/>
      <c r="BV365" s="75"/>
      <c r="BW365" s="75"/>
      <c r="BX365" s="75"/>
      <c r="BY365" s="75"/>
      <c r="BZ365" s="75"/>
      <c r="CA365" s="73"/>
      <c r="CB365" s="75"/>
      <c r="CC365" s="75"/>
      <c r="CD365" s="75"/>
      <c r="CE365" s="73"/>
      <c r="CF365" s="75"/>
      <c r="CG365" s="75"/>
      <c r="CH365" s="75"/>
      <c r="CI365" s="73"/>
      <c r="CJ365" s="75"/>
      <c r="CK365" s="75"/>
      <c r="CL365" s="75"/>
      <c r="CM365" s="73"/>
      <c r="CN365" s="75"/>
      <c r="CO365" s="75"/>
      <c r="CP365" s="75"/>
      <c r="CQ365" s="73"/>
      <c r="CR365" s="75"/>
      <c r="CS365" s="75"/>
      <c r="CT365" s="75"/>
      <c r="CU365" s="73"/>
      <c r="CV365" s="75"/>
      <c r="CW365" s="75"/>
      <c r="CX365" s="75"/>
      <c r="CY365" s="73"/>
      <c r="CZ365" s="75"/>
      <c r="DA365" s="75"/>
      <c r="DB365" s="75"/>
      <c r="DC365" s="73"/>
      <c r="DD365" s="75"/>
      <c r="DE365" s="75"/>
      <c r="DF365" s="75"/>
      <c r="DG365" s="73"/>
      <c r="DH365" s="75"/>
      <c r="DI365" s="75"/>
      <c r="DJ365" s="75"/>
      <c r="DK365" s="76"/>
    </row>
    <row r="366" spans="63:115" x14ac:dyDescent="0.25">
      <c r="BK366" s="75"/>
      <c r="BL366" s="75"/>
      <c r="BM366" s="75"/>
      <c r="BN366" s="73"/>
      <c r="BO366" s="75"/>
      <c r="BP366" s="75"/>
      <c r="BQ366" s="75"/>
      <c r="BR366" s="75"/>
      <c r="BS366" s="75"/>
      <c r="BT366" s="75"/>
      <c r="BU366" s="75"/>
      <c r="BV366" s="75"/>
      <c r="BW366" s="75"/>
      <c r="BX366" s="75"/>
      <c r="BY366" s="75"/>
      <c r="BZ366" s="75"/>
      <c r="CA366" s="73"/>
      <c r="CB366" s="75"/>
      <c r="CC366" s="75"/>
      <c r="CD366" s="75"/>
      <c r="CE366" s="73"/>
      <c r="CF366" s="75"/>
      <c r="CG366" s="75"/>
      <c r="CH366" s="75"/>
      <c r="CI366" s="73"/>
      <c r="CJ366" s="75"/>
      <c r="CK366" s="75"/>
      <c r="CL366" s="75"/>
      <c r="CM366" s="73"/>
      <c r="CN366" s="75"/>
      <c r="CO366" s="75"/>
      <c r="CP366" s="75"/>
      <c r="CQ366" s="73"/>
      <c r="CR366" s="75"/>
      <c r="CS366" s="75"/>
      <c r="CT366" s="75"/>
      <c r="CU366" s="73"/>
      <c r="CV366" s="75"/>
      <c r="CW366" s="75"/>
      <c r="CX366" s="75"/>
      <c r="CY366" s="73"/>
      <c r="CZ366" s="75"/>
      <c r="DA366" s="75"/>
      <c r="DB366" s="75"/>
      <c r="DC366" s="73"/>
      <c r="DD366" s="75"/>
      <c r="DE366" s="75"/>
      <c r="DF366" s="75"/>
      <c r="DG366" s="73"/>
      <c r="DH366" s="75"/>
      <c r="DI366" s="75"/>
      <c r="DJ366" s="75"/>
      <c r="DK366" s="76"/>
    </row>
    <row r="367" spans="63:115" x14ac:dyDescent="0.25">
      <c r="BK367" s="75"/>
      <c r="BL367" s="75"/>
      <c r="BM367" s="75"/>
      <c r="BN367" s="73"/>
      <c r="BO367" s="75"/>
      <c r="BP367" s="75"/>
      <c r="BQ367" s="75"/>
      <c r="BR367" s="75"/>
      <c r="BS367" s="75"/>
      <c r="BT367" s="75"/>
      <c r="BU367" s="75"/>
      <c r="BV367" s="75"/>
      <c r="BW367" s="75"/>
      <c r="BX367" s="75"/>
      <c r="BY367" s="75"/>
      <c r="BZ367" s="75"/>
      <c r="CA367" s="73"/>
      <c r="CB367" s="75"/>
      <c r="CC367" s="75"/>
      <c r="CD367" s="75"/>
      <c r="CE367" s="73"/>
      <c r="CF367" s="75"/>
      <c r="CG367" s="75"/>
      <c r="CH367" s="75"/>
      <c r="CI367" s="73"/>
      <c r="CJ367" s="75"/>
      <c r="CK367" s="75"/>
      <c r="CL367" s="75"/>
      <c r="CM367" s="73"/>
      <c r="CN367" s="75"/>
      <c r="CO367" s="75"/>
      <c r="CP367" s="75"/>
      <c r="CQ367" s="73"/>
      <c r="CR367" s="75"/>
      <c r="CS367" s="75"/>
      <c r="CT367" s="75"/>
      <c r="CU367" s="73"/>
      <c r="CV367" s="75"/>
      <c r="CW367" s="75"/>
      <c r="CX367" s="75"/>
      <c r="CY367" s="73"/>
      <c r="CZ367" s="75"/>
      <c r="DA367" s="75"/>
      <c r="DB367" s="75"/>
      <c r="DC367" s="73"/>
      <c r="DD367" s="75"/>
      <c r="DE367" s="75"/>
      <c r="DF367" s="75"/>
      <c r="DG367" s="73"/>
      <c r="DH367" s="75"/>
      <c r="DI367" s="75"/>
      <c r="DJ367" s="75"/>
      <c r="DK367" s="76"/>
    </row>
    <row r="368" spans="63:115" x14ac:dyDescent="0.25">
      <c r="BK368" s="75"/>
      <c r="BL368" s="75"/>
      <c r="BM368" s="75"/>
      <c r="BN368" s="73"/>
      <c r="BO368" s="75"/>
      <c r="BP368" s="75"/>
      <c r="BQ368" s="75"/>
      <c r="BR368" s="75"/>
      <c r="BS368" s="75"/>
      <c r="BT368" s="75"/>
      <c r="BU368" s="75"/>
      <c r="BV368" s="75"/>
      <c r="BW368" s="75"/>
      <c r="BX368" s="75"/>
      <c r="BY368" s="75"/>
      <c r="BZ368" s="75"/>
      <c r="CA368" s="73"/>
      <c r="CB368" s="75"/>
      <c r="CC368" s="75"/>
      <c r="CD368" s="75"/>
      <c r="CE368" s="73"/>
      <c r="CF368" s="75"/>
      <c r="CG368" s="75"/>
      <c r="CH368" s="75"/>
      <c r="CI368" s="73"/>
      <c r="CJ368" s="75"/>
      <c r="CK368" s="75"/>
      <c r="CL368" s="75"/>
      <c r="CM368" s="73"/>
      <c r="CN368" s="75"/>
      <c r="CO368" s="75"/>
      <c r="CP368" s="75"/>
      <c r="CQ368" s="73"/>
      <c r="CR368" s="75"/>
      <c r="CS368" s="75"/>
      <c r="CT368" s="75"/>
      <c r="CU368" s="73"/>
      <c r="CV368" s="75"/>
      <c r="CW368" s="75"/>
      <c r="CX368" s="75"/>
      <c r="CY368" s="73"/>
      <c r="CZ368" s="75"/>
      <c r="DA368" s="75"/>
      <c r="DB368" s="75"/>
      <c r="DC368" s="73"/>
      <c r="DD368" s="75"/>
      <c r="DE368" s="75"/>
      <c r="DF368" s="75"/>
      <c r="DG368" s="73"/>
      <c r="DH368" s="75"/>
      <c r="DI368" s="75"/>
      <c r="DJ368" s="75"/>
      <c r="DK368" s="76"/>
    </row>
    <row r="369" spans="63:115" x14ac:dyDescent="0.25">
      <c r="BK369" s="75"/>
      <c r="BL369" s="75"/>
      <c r="BM369" s="75"/>
      <c r="BN369" s="73"/>
      <c r="BO369" s="75"/>
      <c r="BP369" s="75"/>
      <c r="BQ369" s="75"/>
      <c r="BR369" s="75"/>
      <c r="BS369" s="75"/>
      <c r="BT369" s="75"/>
      <c r="BU369" s="75"/>
      <c r="BV369" s="75"/>
      <c r="BW369" s="75"/>
      <c r="BX369" s="75"/>
      <c r="BY369" s="75"/>
      <c r="BZ369" s="75"/>
      <c r="CA369" s="73"/>
      <c r="CB369" s="75"/>
      <c r="CC369" s="75"/>
      <c r="CD369" s="75"/>
      <c r="CE369" s="73"/>
      <c r="CF369" s="75"/>
      <c r="CG369" s="75"/>
      <c r="CH369" s="75"/>
      <c r="CI369" s="73"/>
      <c r="CJ369" s="75"/>
      <c r="CK369" s="75"/>
      <c r="CL369" s="75"/>
      <c r="CM369" s="73"/>
      <c r="CN369" s="75"/>
      <c r="CO369" s="75"/>
      <c r="CP369" s="75"/>
      <c r="CQ369" s="73"/>
      <c r="CR369" s="75"/>
      <c r="CS369" s="75"/>
      <c r="CT369" s="75"/>
      <c r="CU369" s="73"/>
      <c r="CV369" s="75"/>
      <c r="CW369" s="75"/>
      <c r="CX369" s="75"/>
      <c r="CY369" s="73"/>
      <c r="CZ369" s="75"/>
      <c r="DA369" s="75"/>
      <c r="DB369" s="75"/>
      <c r="DC369" s="73"/>
      <c r="DD369" s="75"/>
      <c r="DE369" s="75"/>
      <c r="DF369" s="75"/>
      <c r="DG369" s="73"/>
      <c r="DH369" s="75"/>
      <c r="DI369" s="75"/>
      <c r="DJ369" s="75"/>
      <c r="DK369" s="76"/>
    </row>
    <row r="370" spans="63:115" x14ac:dyDescent="0.25">
      <c r="BK370" s="75"/>
      <c r="BL370" s="75"/>
      <c r="BM370" s="75"/>
      <c r="BN370" s="73"/>
      <c r="BO370" s="75"/>
      <c r="BP370" s="75"/>
      <c r="BQ370" s="75"/>
      <c r="BR370" s="75"/>
      <c r="BS370" s="75"/>
      <c r="BT370" s="75"/>
      <c r="BU370" s="75"/>
      <c r="BV370" s="75"/>
      <c r="BW370" s="75"/>
      <c r="BX370" s="75"/>
      <c r="BY370" s="75"/>
      <c r="BZ370" s="75"/>
      <c r="CA370" s="73"/>
      <c r="CB370" s="75"/>
      <c r="CC370" s="75"/>
      <c r="CD370" s="75"/>
      <c r="CE370" s="73"/>
      <c r="CF370" s="75"/>
      <c r="CG370" s="75"/>
      <c r="CH370" s="75"/>
      <c r="CI370" s="73"/>
      <c r="CJ370" s="75"/>
      <c r="CK370" s="75"/>
      <c r="CL370" s="75"/>
      <c r="CM370" s="73"/>
      <c r="CN370" s="75"/>
      <c r="CO370" s="75"/>
      <c r="CP370" s="75"/>
      <c r="CQ370" s="73"/>
      <c r="CR370" s="75"/>
      <c r="CS370" s="75"/>
      <c r="CT370" s="75"/>
      <c r="CU370" s="73"/>
      <c r="CV370" s="75"/>
      <c r="CW370" s="75"/>
      <c r="CX370" s="75"/>
      <c r="CY370" s="73"/>
      <c r="CZ370" s="75"/>
      <c r="DA370" s="75"/>
      <c r="DB370" s="75"/>
      <c r="DC370" s="73"/>
      <c r="DD370" s="75"/>
      <c r="DE370" s="75"/>
      <c r="DF370" s="75"/>
      <c r="DG370" s="73"/>
      <c r="DH370" s="75"/>
      <c r="DI370" s="75"/>
      <c r="DJ370" s="75"/>
      <c r="DK370" s="76"/>
    </row>
    <row r="371" spans="63:115" x14ac:dyDescent="0.25">
      <c r="BK371" s="75"/>
      <c r="BL371" s="75"/>
      <c r="BM371" s="75"/>
      <c r="BN371" s="73"/>
      <c r="BO371" s="75"/>
      <c r="BP371" s="75"/>
      <c r="BQ371" s="75"/>
      <c r="BR371" s="75"/>
      <c r="BS371" s="75"/>
      <c r="BT371" s="75"/>
      <c r="BU371" s="75"/>
      <c r="BV371" s="75"/>
      <c r="BW371" s="75"/>
      <c r="BX371" s="75"/>
      <c r="BY371" s="75"/>
      <c r="BZ371" s="75"/>
      <c r="CA371" s="73"/>
      <c r="CB371" s="75"/>
      <c r="CC371" s="75"/>
      <c r="CD371" s="75"/>
      <c r="CE371" s="73"/>
      <c r="CF371" s="75"/>
      <c r="CG371" s="75"/>
      <c r="CH371" s="75"/>
      <c r="CI371" s="73"/>
      <c r="CJ371" s="75"/>
      <c r="CK371" s="75"/>
      <c r="CL371" s="75"/>
      <c r="CM371" s="73"/>
      <c r="CN371" s="75"/>
      <c r="CO371" s="75"/>
      <c r="CP371" s="75"/>
      <c r="CQ371" s="73"/>
      <c r="CR371" s="75"/>
      <c r="CS371" s="75"/>
      <c r="CT371" s="75"/>
      <c r="CU371" s="73"/>
      <c r="CV371" s="75"/>
      <c r="CW371" s="75"/>
      <c r="CX371" s="75"/>
      <c r="CY371" s="73"/>
      <c r="CZ371" s="75"/>
      <c r="DA371" s="75"/>
      <c r="DB371" s="75"/>
      <c r="DC371" s="73"/>
      <c r="DD371" s="75"/>
      <c r="DE371" s="75"/>
      <c r="DF371" s="75"/>
      <c r="DG371" s="73"/>
      <c r="DH371" s="75"/>
      <c r="DI371" s="75"/>
      <c r="DJ371" s="75"/>
      <c r="DK371" s="76"/>
    </row>
    <row r="372" spans="63:115" x14ac:dyDescent="0.25">
      <c r="BK372" s="75"/>
      <c r="BL372" s="75"/>
      <c r="BM372" s="75"/>
      <c r="BN372" s="73"/>
      <c r="BO372" s="75"/>
      <c r="BP372" s="75"/>
      <c r="BQ372" s="75"/>
      <c r="BR372" s="75"/>
      <c r="BS372" s="75"/>
      <c r="BT372" s="75"/>
      <c r="BU372" s="75"/>
      <c r="BV372" s="75"/>
      <c r="BW372" s="75"/>
      <c r="BX372" s="75"/>
      <c r="BY372" s="75"/>
      <c r="BZ372" s="75"/>
      <c r="CA372" s="73"/>
      <c r="CB372" s="75"/>
      <c r="CC372" s="75"/>
      <c r="CD372" s="75"/>
      <c r="CE372" s="73"/>
      <c r="CF372" s="75"/>
      <c r="CG372" s="75"/>
      <c r="CH372" s="75"/>
      <c r="CI372" s="73"/>
      <c r="CJ372" s="75"/>
      <c r="CK372" s="75"/>
      <c r="CL372" s="75"/>
      <c r="CM372" s="73"/>
      <c r="CN372" s="75"/>
      <c r="CO372" s="75"/>
      <c r="CP372" s="75"/>
      <c r="CQ372" s="73"/>
      <c r="CR372" s="75"/>
      <c r="CS372" s="75"/>
      <c r="CT372" s="75"/>
      <c r="CU372" s="73"/>
      <c r="CV372" s="75"/>
      <c r="CW372" s="75"/>
      <c r="CX372" s="75"/>
      <c r="CY372" s="73"/>
      <c r="CZ372" s="75"/>
      <c r="DA372" s="75"/>
      <c r="DB372" s="75"/>
      <c r="DC372" s="73"/>
      <c r="DD372" s="75"/>
      <c r="DE372" s="75"/>
      <c r="DF372" s="75"/>
      <c r="DG372" s="73"/>
      <c r="DH372" s="75"/>
      <c r="DI372" s="75"/>
      <c r="DJ372" s="75"/>
      <c r="DK372" s="76"/>
    </row>
    <row r="373" spans="63:115" x14ac:dyDescent="0.25">
      <c r="BK373" s="75"/>
      <c r="BL373" s="75"/>
      <c r="BM373" s="75"/>
      <c r="BN373" s="73"/>
      <c r="BO373" s="75"/>
      <c r="BP373" s="75"/>
      <c r="BQ373" s="75"/>
      <c r="BR373" s="75"/>
      <c r="BS373" s="75"/>
      <c r="BT373" s="75"/>
      <c r="BU373" s="75"/>
      <c r="BV373" s="75"/>
      <c r="BW373" s="75"/>
      <c r="BX373" s="75"/>
      <c r="BY373" s="75"/>
      <c r="BZ373" s="75"/>
      <c r="CA373" s="73"/>
      <c r="CB373" s="75"/>
      <c r="CC373" s="75"/>
      <c r="CD373" s="75"/>
      <c r="CE373" s="73"/>
      <c r="CF373" s="75"/>
      <c r="CG373" s="75"/>
      <c r="CH373" s="75"/>
      <c r="CI373" s="73"/>
      <c r="CJ373" s="75"/>
      <c r="CK373" s="75"/>
      <c r="CL373" s="75"/>
      <c r="CM373" s="73"/>
      <c r="CN373" s="75"/>
      <c r="CO373" s="75"/>
      <c r="CP373" s="75"/>
      <c r="CQ373" s="73"/>
      <c r="CR373" s="75"/>
      <c r="CS373" s="75"/>
      <c r="CT373" s="75"/>
      <c r="CU373" s="73"/>
      <c r="CV373" s="75"/>
      <c r="CW373" s="75"/>
      <c r="CX373" s="75"/>
      <c r="CY373" s="73"/>
      <c r="CZ373" s="75"/>
      <c r="DA373" s="75"/>
      <c r="DB373" s="75"/>
      <c r="DC373" s="73"/>
      <c r="DD373" s="75"/>
      <c r="DE373" s="75"/>
      <c r="DF373" s="75"/>
      <c r="DG373" s="73"/>
      <c r="DH373" s="75"/>
      <c r="DI373" s="75"/>
      <c r="DJ373" s="75"/>
      <c r="DK373" s="76"/>
    </row>
    <row r="374" spans="63:115" x14ac:dyDescent="0.25">
      <c r="BK374" s="75"/>
      <c r="BL374" s="75"/>
      <c r="BM374" s="75"/>
      <c r="BN374" s="73"/>
      <c r="BO374" s="75"/>
      <c r="BP374" s="75"/>
      <c r="BQ374" s="75"/>
      <c r="BR374" s="75"/>
      <c r="BS374" s="75"/>
      <c r="BT374" s="75"/>
      <c r="BU374" s="75"/>
      <c r="BV374" s="75"/>
      <c r="BW374" s="75"/>
      <c r="BX374" s="75"/>
      <c r="BY374" s="75"/>
      <c r="BZ374" s="75"/>
      <c r="CA374" s="73"/>
      <c r="CB374" s="75"/>
      <c r="CC374" s="75"/>
      <c r="CD374" s="75"/>
      <c r="CE374" s="73"/>
      <c r="CF374" s="75"/>
      <c r="CG374" s="75"/>
      <c r="CH374" s="75"/>
      <c r="CI374" s="73"/>
      <c r="CJ374" s="75"/>
      <c r="CK374" s="75"/>
      <c r="CL374" s="75"/>
      <c r="CM374" s="73"/>
      <c r="CN374" s="75"/>
      <c r="CO374" s="75"/>
      <c r="CP374" s="75"/>
      <c r="CQ374" s="73"/>
      <c r="CR374" s="75"/>
      <c r="CS374" s="75"/>
      <c r="CT374" s="75"/>
      <c r="CU374" s="73"/>
      <c r="CV374" s="75"/>
      <c r="CW374" s="75"/>
      <c r="CX374" s="75"/>
      <c r="CY374" s="73"/>
      <c r="CZ374" s="75"/>
      <c r="DA374" s="75"/>
      <c r="DB374" s="75"/>
      <c r="DC374" s="73"/>
      <c r="DD374" s="75"/>
      <c r="DE374" s="75"/>
      <c r="DF374" s="75"/>
      <c r="DG374" s="73"/>
      <c r="DH374" s="75"/>
      <c r="DI374" s="75"/>
      <c r="DJ374" s="75"/>
      <c r="DK374" s="76"/>
    </row>
    <row r="375" spans="63:115" x14ac:dyDescent="0.25">
      <c r="BK375" s="75"/>
      <c r="BL375" s="75"/>
      <c r="BM375" s="75"/>
      <c r="BN375" s="73"/>
      <c r="BO375" s="75"/>
      <c r="BP375" s="75"/>
      <c r="BQ375" s="75"/>
      <c r="BR375" s="75"/>
      <c r="BS375" s="75"/>
      <c r="BT375" s="75"/>
      <c r="BU375" s="75"/>
      <c r="BV375" s="75"/>
      <c r="BW375" s="75"/>
      <c r="BX375" s="75"/>
      <c r="BY375" s="75"/>
      <c r="BZ375" s="75"/>
      <c r="CA375" s="73"/>
      <c r="CB375" s="75"/>
      <c r="CC375" s="75"/>
      <c r="CD375" s="75"/>
      <c r="CE375" s="73"/>
      <c r="CF375" s="75"/>
      <c r="CG375" s="75"/>
      <c r="CH375" s="75"/>
      <c r="CI375" s="73"/>
      <c r="CJ375" s="75"/>
      <c r="CK375" s="75"/>
      <c r="CL375" s="75"/>
      <c r="CM375" s="73"/>
      <c r="CN375" s="75"/>
      <c r="CO375" s="75"/>
      <c r="CP375" s="75"/>
      <c r="CQ375" s="73"/>
      <c r="CR375" s="75"/>
      <c r="CS375" s="75"/>
      <c r="CT375" s="75"/>
      <c r="CU375" s="73"/>
      <c r="CV375" s="75"/>
      <c r="CW375" s="75"/>
      <c r="CX375" s="75"/>
      <c r="CY375" s="73"/>
      <c r="CZ375" s="75"/>
      <c r="DA375" s="75"/>
      <c r="DB375" s="75"/>
      <c r="DC375" s="73"/>
      <c r="DD375" s="75"/>
      <c r="DE375" s="75"/>
      <c r="DF375" s="75"/>
      <c r="DG375" s="73"/>
      <c r="DH375" s="75"/>
      <c r="DI375" s="75"/>
      <c r="DJ375" s="75"/>
      <c r="DK375" s="76"/>
    </row>
    <row r="376" spans="63:115" x14ac:dyDescent="0.25">
      <c r="BK376" s="75"/>
      <c r="BL376" s="75"/>
      <c r="BM376" s="75"/>
      <c r="BN376" s="73"/>
      <c r="BO376" s="75"/>
      <c r="BP376" s="75"/>
      <c r="BQ376" s="75"/>
      <c r="BR376" s="75"/>
      <c r="BS376" s="75"/>
      <c r="BT376" s="75"/>
      <c r="BU376" s="75"/>
      <c r="BV376" s="75"/>
      <c r="BW376" s="75"/>
      <c r="BX376" s="75"/>
      <c r="BY376" s="75"/>
      <c r="BZ376" s="75"/>
      <c r="CA376" s="73"/>
      <c r="CB376" s="75"/>
      <c r="CC376" s="75"/>
      <c r="CD376" s="75"/>
      <c r="CE376" s="73"/>
      <c r="CF376" s="75"/>
      <c r="CG376" s="75"/>
      <c r="CH376" s="75"/>
      <c r="CI376" s="73"/>
      <c r="CJ376" s="75"/>
      <c r="CK376" s="75"/>
      <c r="CL376" s="75"/>
      <c r="CM376" s="73"/>
      <c r="CN376" s="75"/>
      <c r="CO376" s="75"/>
      <c r="CP376" s="75"/>
      <c r="CQ376" s="73"/>
      <c r="CR376" s="75"/>
      <c r="CS376" s="75"/>
      <c r="CT376" s="75"/>
      <c r="CU376" s="73"/>
      <c r="CV376" s="75"/>
      <c r="CW376" s="75"/>
      <c r="CX376" s="75"/>
      <c r="CY376" s="73"/>
      <c r="CZ376" s="75"/>
      <c r="DA376" s="75"/>
      <c r="DB376" s="75"/>
      <c r="DC376" s="73"/>
      <c r="DD376" s="75"/>
      <c r="DE376" s="75"/>
      <c r="DF376" s="75"/>
      <c r="DG376" s="73"/>
      <c r="DH376" s="75"/>
      <c r="DI376" s="75"/>
      <c r="DJ376" s="75"/>
      <c r="DK376" s="76"/>
    </row>
    <row r="377" spans="63:115" x14ac:dyDescent="0.25">
      <c r="BK377" s="75"/>
      <c r="BL377" s="75"/>
      <c r="BM377" s="75"/>
      <c r="BN377" s="73"/>
      <c r="BO377" s="75"/>
      <c r="BP377" s="75"/>
      <c r="BQ377" s="75"/>
      <c r="BR377" s="75"/>
      <c r="BS377" s="75"/>
      <c r="BT377" s="75"/>
      <c r="BU377" s="75"/>
      <c r="BV377" s="75"/>
      <c r="BW377" s="75"/>
      <c r="BX377" s="75"/>
      <c r="BY377" s="75"/>
      <c r="BZ377" s="75"/>
      <c r="CA377" s="73"/>
      <c r="CB377" s="75"/>
      <c r="CC377" s="75"/>
      <c r="CD377" s="75"/>
      <c r="CE377" s="73"/>
      <c r="CF377" s="75"/>
      <c r="CG377" s="75"/>
      <c r="CH377" s="75"/>
      <c r="CI377" s="73"/>
      <c r="CJ377" s="75"/>
      <c r="CK377" s="75"/>
      <c r="CL377" s="75"/>
      <c r="CM377" s="73"/>
      <c r="CN377" s="75"/>
      <c r="CO377" s="75"/>
      <c r="CP377" s="75"/>
      <c r="CQ377" s="73"/>
      <c r="CR377" s="75"/>
      <c r="CS377" s="75"/>
      <c r="CT377" s="75"/>
      <c r="CU377" s="73"/>
      <c r="CV377" s="75"/>
      <c r="CW377" s="75"/>
      <c r="CX377" s="75"/>
      <c r="CY377" s="73"/>
      <c r="CZ377" s="75"/>
      <c r="DA377" s="75"/>
      <c r="DB377" s="75"/>
      <c r="DC377" s="73"/>
      <c r="DD377" s="75"/>
      <c r="DE377" s="75"/>
      <c r="DF377" s="75"/>
      <c r="DG377" s="73"/>
      <c r="DH377" s="75"/>
      <c r="DI377" s="75"/>
      <c r="DJ377" s="75"/>
      <c r="DK377" s="76"/>
    </row>
    <row r="378" spans="63:115" x14ac:dyDescent="0.25">
      <c r="BK378" s="75"/>
      <c r="BL378" s="75"/>
      <c r="BM378" s="75"/>
      <c r="BN378" s="73"/>
      <c r="BO378" s="75"/>
      <c r="BP378" s="75"/>
      <c r="BQ378" s="75"/>
      <c r="BR378" s="75"/>
      <c r="BS378" s="75"/>
      <c r="BT378" s="75"/>
      <c r="BU378" s="75"/>
      <c r="BV378" s="75"/>
      <c r="BW378" s="75"/>
      <c r="BX378" s="75"/>
      <c r="BY378" s="75"/>
      <c r="BZ378" s="75"/>
      <c r="CA378" s="73"/>
      <c r="CB378" s="75"/>
      <c r="CC378" s="75"/>
      <c r="CD378" s="75"/>
      <c r="CE378" s="73"/>
      <c r="CF378" s="75"/>
      <c r="CG378" s="75"/>
      <c r="CH378" s="75"/>
      <c r="CI378" s="73"/>
      <c r="CJ378" s="75"/>
      <c r="CK378" s="75"/>
      <c r="CL378" s="75"/>
      <c r="CM378" s="73"/>
      <c r="CN378" s="75"/>
      <c r="CO378" s="75"/>
      <c r="CP378" s="75"/>
      <c r="CQ378" s="73"/>
      <c r="CR378" s="75"/>
      <c r="CS378" s="75"/>
      <c r="CT378" s="75"/>
      <c r="CU378" s="73"/>
      <c r="CV378" s="75"/>
      <c r="CW378" s="75"/>
      <c r="CX378" s="75"/>
      <c r="CY378" s="73"/>
      <c r="CZ378" s="75"/>
      <c r="DA378" s="75"/>
      <c r="DB378" s="75"/>
      <c r="DC378" s="73"/>
      <c r="DD378" s="75"/>
      <c r="DE378" s="75"/>
      <c r="DF378" s="75"/>
      <c r="DG378" s="73"/>
      <c r="DH378" s="75"/>
      <c r="DI378" s="75"/>
      <c r="DJ378" s="75"/>
      <c r="DK378" s="76"/>
    </row>
    <row r="379" spans="63:115" x14ac:dyDescent="0.25">
      <c r="BK379" s="75"/>
      <c r="BL379" s="75"/>
      <c r="BM379" s="75"/>
      <c r="BN379" s="73"/>
      <c r="BO379" s="75"/>
      <c r="BP379" s="75"/>
      <c r="BQ379" s="75"/>
      <c r="BR379" s="75"/>
      <c r="BS379" s="75"/>
      <c r="BT379" s="75"/>
      <c r="BU379" s="75"/>
      <c r="BV379" s="75"/>
      <c r="BW379" s="75"/>
      <c r="BX379" s="75"/>
      <c r="BY379" s="75"/>
      <c r="BZ379" s="75"/>
      <c r="CA379" s="73"/>
      <c r="CB379" s="75"/>
      <c r="CC379" s="75"/>
      <c r="CD379" s="75"/>
      <c r="CE379" s="73"/>
      <c r="CF379" s="75"/>
      <c r="CG379" s="75"/>
      <c r="CH379" s="75"/>
      <c r="CI379" s="73"/>
      <c r="CJ379" s="75"/>
      <c r="CK379" s="75"/>
      <c r="CL379" s="75"/>
      <c r="CM379" s="73"/>
      <c r="CN379" s="75"/>
      <c r="CO379" s="75"/>
      <c r="CP379" s="75"/>
      <c r="CQ379" s="73"/>
      <c r="CR379" s="75"/>
      <c r="CS379" s="75"/>
      <c r="CT379" s="75"/>
      <c r="CU379" s="73"/>
      <c r="CV379" s="75"/>
      <c r="CW379" s="75"/>
      <c r="CX379" s="75"/>
      <c r="CY379" s="73"/>
      <c r="CZ379" s="75"/>
      <c r="DA379" s="75"/>
      <c r="DB379" s="75"/>
      <c r="DC379" s="73"/>
      <c r="DD379" s="75"/>
      <c r="DE379" s="75"/>
      <c r="DF379" s="75"/>
      <c r="DG379" s="73"/>
      <c r="DH379" s="75"/>
      <c r="DI379" s="75"/>
      <c r="DJ379" s="75"/>
      <c r="DK379" s="76"/>
    </row>
    <row r="380" spans="63:115" x14ac:dyDescent="0.25">
      <c r="BK380" s="75"/>
      <c r="BL380" s="75"/>
      <c r="BM380" s="75"/>
      <c r="BN380" s="73"/>
      <c r="BO380" s="75"/>
      <c r="BP380" s="75"/>
      <c r="BQ380" s="75"/>
      <c r="BR380" s="75"/>
      <c r="BS380" s="75"/>
      <c r="BT380" s="75"/>
      <c r="BU380" s="75"/>
      <c r="BV380" s="75"/>
      <c r="BW380" s="75"/>
      <c r="BX380" s="75"/>
      <c r="BY380" s="75"/>
      <c r="BZ380" s="75"/>
      <c r="CA380" s="73"/>
      <c r="CB380" s="75"/>
      <c r="CC380" s="75"/>
      <c r="CD380" s="75"/>
      <c r="CE380" s="73"/>
      <c r="CF380" s="75"/>
      <c r="CG380" s="75"/>
      <c r="CH380" s="75"/>
      <c r="CI380" s="73"/>
      <c r="CJ380" s="75"/>
      <c r="CK380" s="75"/>
      <c r="CL380" s="75"/>
      <c r="CM380" s="73"/>
      <c r="CN380" s="75"/>
      <c r="CO380" s="75"/>
      <c r="CP380" s="75"/>
      <c r="CQ380" s="73"/>
      <c r="CR380" s="75"/>
      <c r="CS380" s="75"/>
      <c r="CT380" s="75"/>
      <c r="CU380" s="73"/>
      <c r="CV380" s="75"/>
      <c r="CW380" s="75"/>
      <c r="CX380" s="75"/>
      <c r="CY380" s="73"/>
      <c r="CZ380" s="75"/>
      <c r="DA380" s="75"/>
      <c r="DB380" s="75"/>
      <c r="DC380" s="73"/>
      <c r="DD380" s="75"/>
      <c r="DE380" s="75"/>
      <c r="DF380" s="75"/>
      <c r="DG380" s="73"/>
      <c r="DH380" s="75"/>
      <c r="DI380" s="75"/>
      <c r="DJ380" s="75"/>
      <c r="DK380" s="76"/>
    </row>
    <row r="381" spans="63:115" x14ac:dyDescent="0.25">
      <c r="BK381" s="75"/>
      <c r="BL381" s="75"/>
      <c r="BM381" s="75"/>
      <c r="BN381" s="73"/>
      <c r="BO381" s="75"/>
      <c r="BP381" s="75"/>
      <c r="BQ381" s="75"/>
      <c r="BR381" s="75"/>
      <c r="BS381" s="75"/>
      <c r="BT381" s="75"/>
      <c r="BU381" s="75"/>
      <c r="BV381" s="75"/>
      <c r="BW381" s="75"/>
      <c r="BX381" s="75"/>
      <c r="BY381" s="75"/>
      <c r="BZ381" s="75"/>
      <c r="CA381" s="73"/>
      <c r="CB381" s="75"/>
      <c r="CC381" s="75"/>
      <c r="CD381" s="75"/>
      <c r="CE381" s="73"/>
      <c r="CF381" s="75"/>
      <c r="CG381" s="75"/>
      <c r="CH381" s="75"/>
      <c r="CI381" s="73"/>
      <c r="CJ381" s="75"/>
      <c r="CK381" s="75"/>
      <c r="CL381" s="75"/>
      <c r="CM381" s="73"/>
      <c r="CN381" s="75"/>
      <c r="CO381" s="75"/>
      <c r="CP381" s="75"/>
      <c r="CQ381" s="73"/>
      <c r="CR381" s="75"/>
      <c r="CS381" s="75"/>
      <c r="CT381" s="75"/>
      <c r="CU381" s="73"/>
      <c r="CV381" s="75"/>
      <c r="CW381" s="75"/>
      <c r="CX381" s="75"/>
      <c r="CY381" s="73"/>
      <c r="CZ381" s="75"/>
      <c r="DA381" s="75"/>
      <c r="DB381" s="75"/>
      <c r="DC381" s="73"/>
      <c r="DD381" s="75"/>
      <c r="DE381" s="75"/>
      <c r="DF381" s="75"/>
      <c r="DG381" s="73"/>
      <c r="DH381" s="75"/>
      <c r="DI381" s="75"/>
      <c r="DJ381" s="75"/>
      <c r="DK381" s="76"/>
    </row>
    <row r="382" spans="63:115" x14ac:dyDescent="0.25">
      <c r="BK382" s="75"/>
      <c r="BL382" s="75"/>
      <c r="BM382" s="75"/>
      <c r="BN382" s="73"/>
      <c r="BO382" s="75"/>
      <c r="BP382" s="75"/>
      <c r="BQ382" s="75"/>
      <c r="BR382" s="75"/>
      <c r="BS382" s="75"/>
      <c r="BT382" s="75"/>
      <c r="BU382" s="75"/>
      <c r="BV382" s="75"/>
      <c r="BW382" s="75"/>
      <c r="BX382" s="75"/>
      <c r="BY382" s="75"/>
      <c r="BZ382" s="75"/>
      <c r="CA382" s="73"/>
      <c r="CB382" s="75"/>
      <c r="CC382" s="75"/>
      <c r="CD382" s="75"/>
      <c r="CE382" s="73"/>
      <c r="CF382" s="75"/>
      <c r="CG382" s="75"/>
      <c r="CH382" s="75"/>
      <c r="CI382" s="73"/>
      <c r="CJ382" s="75"/>
      <c r="CK382" s="75"/>
      <c r="CL382" s="75"/>
      <c r="CM382" s="73"/>
      <c r="CN382" s="75"/>
      <c r="CO382" s="75"/>
      <c r="CP382" s="75"/>
      <c r="CQ382" s="73"/>
      <c r="CR382" s="75"/>
      <c r="CS382" s="75"/>
      <c r="CT382" s="75"/>
      <c r="CU382" s="73"/>
      <c r="CV382" s="75"/>
      <c r="CW382" s="75"/>
      <c r="CX382" s="75"/>
      <c r="CY382" s="73"/>
      <c r="CZ382" s="75"/>
      <c r="DA382" s="75"/>
      <c r="DB382" s="75"/>
      <c r="DC382" s="73"/>
      <c r="DD382" s="75"/>
      <c r="DE382" s="75"/>
      <c r="DF382" s="75"/>
      <c r="DG382" s="73"/>
      <c r="DH382" s="75"/>
      <c r="DI382" s="75"/>
      <c r="DJ382" s="75"/>
      <c r="DK382" s="76"/>
    </row>
    <row r="383" spans="63:115" x14ac:dyDescent="0.25">
      <c r="BK383" s="75"/>
      <c r="BL383" s="75"/>
      <c r="BM383" s="75"/>
      <c r="BN383" s="73"/>
      <c r="BO383" s="75"/>
      <c r="BP383" s="75"/>
      <c r="BQ383" s="75"/>
      <c r="BR383" s="75"/>
      <c r="BS383" s="75"/>
      <c r="BT383" s="75"/>
      <c r="BU383" s="75"/>
      <c r="BV383" s="75"/>
      <c r="BW383" s="75"/>
      <c r="BX383" s="75"/>
      <c r="BY383" s="75"/>
      <c r="BZ383" s="75"/>
      <c r="CA383" s="73"/>
      <c r="CB383" s="75"/>
      <c r="CC383" s="75"/>
      <c r="CD383" s="75"/>
      <c r="CE383" s="73"/>
      <c r="CF383" s="75"/>
      <c r="CG383" s="75"/>
      <c r="CH383" s="75"/>
      <c r="CI383" s="73"/>
      <c r="CJ383" s="75"/>
      <c r="CK383" s="75"/>
      <c r="CL383" s="75"/>
      <c r="CM383" s="73"/>
      <c r="CN383" s="75"/>
      <c r="CO383" s="75"/>
      <c r="CP383" s="75"/>
      <c r="CQ383" s="73"/>
      <c r="CR383" s="75"/>
      <c r="CS383" s="75"/>
      <c r="CT383" s="75"/>
      <c r="CU383" s="73"/>
      <c r="CV383" s="75"/>
      <c r="CW383" s="75"/>
      <c r="CX383" s="75"/>
      <c r="CY383" s="73"/>
      <c r="CZ383" s="75"/>
      <c r="DA383" s="75"/>
      <c r="DB383" s="75"/>
      <c r="DC383" s="73"/>
      <c r="DD383" s="75"/>
      <c r="DE383" s="75"/>
      <c r="DF383" s="75"/>
      <c r="DG383" s="73"/>
      <c r="DH383" s="75"/>
      <c r="DI383" s="75"/>
      <c r="DJ383" s="75"/>
      <c r="DK383" s="76"/>
    </row>
    <row r="384" spans="63:115" x14ac:dyDescent="0.25">
      <c r="BK384" s="75"/>
      <c r="BL384" s="75"/>
      <c r="BM384" s="75"/>
      <c r="BN384" s="73"/>
      <c r="BO384" s="75"/>
      <c r="BP384" s="75"/>
      <c r="BQ384" s="75"/>
      <c r="BR384" s="75"/>
      <c r="BS384" s="75"/>
      <c r="BT384" s="75"/>
      <c r="BU384" s="75"/>
      <c r="BV384" s="75"/>
      <c r="BW384" s="75"/>
      <c r="BX384" s="75"/>
      <c r="BY384" s="75"/>
      <c r="BZ384" s="75"/>
      <c r="CA384" s="73"/>
      <c r="CB384" s="75"/>
      <c r="CC384" s="75"/>
      <c r="CD384" s="75"/>
      <c r="CE384" s="73"/>
      <c r="CF384" s="75"/>
      <c r="CG384" s="75"/>
      <c r="CH384" s="75"/>
      <c r="CI384" s="73"/>
      <c r="CJ384" s="75"/>
      <c r="CK384" s="75"/>
      <c r="CL384" s="75"/>
      <c r="CM384" s="73"/>
      <c r="CN384" s="75"/>
      <c r="CO384" s="75"/>
      <c r="CP384" s="75"/>
      <c r="CQ384" s="73"/>
      <c r="CR384" s="75"/>
      <c r="CS384" s="75"/>
      <c r="CT384" s="75"/>
      <c r="CU384" s="73"/>
      <c r="CV384" s="75"/>
      <c r="CW384" s="75"/>
      <c r="CX384" s="75"/>
      <c r="CY384" s="73"/>
      <c r="CZ384" s="75"/>
      <c r="DA384" s="75"/>
      <c r="DB384" s="75"/>
      <c r="DC384" s="73"/>
      <c r="DD384" s="75"/>
      <c r="DE384" s="75"/>
      <c r="DF384" s="75"/>
      <c r="DG384" s="73"/>
      <c r="DH384" s="75"/>
      <c r="DI384" s="75"/>
      <c r="DJ384" s="75"/>
      <c r="DK384" s="76"/>
    </row>
    <row r="385" spans="63:115" x14ac:dyDescent="0.25">
      <c r="BK385" s="75"/>
      <c r="BL385" s="75"/>
      <c r="BM385" s="75"/>
      <c r="BN385" s="73"/>
      <c r="BO385" s="75"/>
      <c r="BP385" s="75"/>
      <c r="BQ385" s="75"/>
      <c r="BR385" s="75"/>
      <c r="BS385" s="75"/>
      <c r="BT385" s="75"/>
      <c r="BU385" s="75"/>
      <c r="BV385" s="75"/>
      <c r="BW385" s="75"/>
      <c r="BX385" s="75"/>
      <c r="BY385" s="75"/>
      <c r="BZ385" s="75"/>
      <c r="CA385" s="73"/>
      <c r="CB385" s="75"/>
      <c r="CC385" s="75"/>
      <c r="CD385" s="75"/>
      <c r="CE385" s="73"/>
      <c r="CF385" s="75"/>
      <c r="CG385" s="75"/>
      <c r="CH385" s="75"/>
      <c r="CI385" s="73"/>
      <c r="CJ385" s="75"/>
      <c r="CK385" s="75"/>
      <c r="CL385" s="75"/>
      <c r="CM385" s="73"/>
      <c r="CN385" s="75"/>
      <c r="CO385" s="75"/>
      <c r="CP385" s="75"/>
      <c r="CQ385" s="73"/>
      <c r="CR385" s="75"/>
      <c r="CS385" s="75"/>
      <c r="CT385" s="75"/>
      <c r="CU385" s="73"/>
      <c r="CV385" s="75"/>
      <c r="CW385" s="75"/>
      <c r="CX385" s="75"/>
      <c r="CY385" s="73"/>
      <c r="CZ385" s="75"/>
      <c r="DA385" s="75"/>
      <c r="DB385" s="75"/>
      <c r="DC385" s="73"/>
      <c r="DD385" s="75"/>
      <c r="DE385" s="75"/>
      <c r="DF385" s="75"/>
      <c r="DG385" s="73"/>
      <c r="DH385" s="75"/>
      <c r="DI385" s="75"/>
      <c r="DJ385" s="75"/>
      <c r="DK385" s="76"/>
    </row>
    <row r="386" spans="63:115" x14ac:dyDescent="0.25">
      <c r="BK386" s="75"/>
      <c r="BL386" s="75"/>
      <c r="BM386" s="75"/>
      <c r="BN386" s="73"/>
      <c r="BO386" s="75"/>
      <c r="BP386" s="75"/>
      <c r="BQ386" s="75"/>
      <c r="BR386" s="75"/>
      <c r="BS386" s="75"/>
      <c r="BT386" s="75"/>
      <c r="BU386" s="75"/>
      <c r="BV386" s="75"/>
      <c r="BW386" s="75"/>
      <c r="BX386" s="75"/>
      <c r="BY386" s="75"/>
      <c r="BZ386" s="75"/>
      <c r="CA386" s="73"/>
      <c r="CB386" s="75"/>
      <c r="CC386" s="75"/>
      <c r="CD386" s="75"/>
      <c r="CE386" s="73"/>
      <c r="CF386" s="75"/>
      <c r="CG386" s="75"/>
      <c r="CH386" s="75"/>
      <c r="CI386" s="73"/>
      <c r="CJ386" s="75"/>
      <c r="CK386" s="75"/>
      <c r="CL386" s="75"/>
      <c r="CM386" s="73"/>
      <c r="CN386" s="75"/>
      <c r="CO386" s="75"/>
      <c r="CP386" s="75"/>
      <c r="CQ386" s="73"/>
      <c r="CR386" s="75"/>
      <c r="CS386" s="75"/>
      <c r="CT386" s="75"/>
      <c r="CU386" s="73"/>
      <c r="CV386" s="75"/>
      <c r="CW386" s="75"/>
      <c r="CX386" s="75"/>
      <c r="CY386" s="73"/>
      <c r="CZ386" s="75"/>
      <c r="DA386" s="75"/>
      <c r="DB386" s="75"/>
      <c r="DC386" s="73"/>
      <c r="DD386" s="75"/>
      <c r="DE386" s="75"/>
      <c r="DF386" s="75"/>
      <c r="DG386" s="73"/>
      <c r="DH386" s="75"/>
      <c r="DI386" s="75"/>
      <c r="DJ386" s="75"/>
      <c r="DK386" s="76"/>
    </row>
    <row r="387" spans="63:115" x14ac:dyDescent="0.25">
      <c r="BK387" s="75"/>
      <c r="BL387" s="75"/>
      <c r="BM387" s="75"/>
      <c r="BN387" s="73"/>
      <c r="BO387" s="75"/>
      <c r="BP387" s="75"/>
      <c r="BQ387" s="75"/>
      <c r="BR387" s="75"/>
      <c r="BS387" s="75"/>
      <c r="BT387" s="75"/>
      <c r="BU387" s="75"/>
      <c r="BV387" s="75"/>
      <c r="BW387" s="75"/>
      <c r="BX387" s="75"/>
      <c r="BY387" s="75"/>
      <c r="BZ387" s="75"/>
      <c r="CA387" s="73"/>
      <c r="CB387" s="75"/>
      <c r="CC387" s="75"/>
      <c r="CD387" s="75"/>
      <c r="CE387" s="73"/>
      <c r="CF387" s="75"/>
      <c r="CG387" s="75"/>
      <c r="CH387" s="75"/>
      <c r="CI387" s="73"/>
      <c r="CJ387" s="75"/>
      <c r="CK387" s="75"/>
      <c r="CL387" s="75"/>
      <c r="CM387" s="73"/>
      <c r="CN387" s="75"/>
      <c r="CO387" s="75"/>
      <c r="CP387" s="75"/>
      <c r="CQ387" s="73"/>
      <c r="CR387" s="75"/>
      <c r="CS387" s="75"/>
      <c r="CT387" s="75"/>
      <c r="CU387" s="73"/>
      <c r="CV387" s="75"/>
      <c r="CW387" s="75"/>
      <c r="CX387" s="75"/>
      <c r="CY387" s="73"/>
      <c r="CZ387" s="75"/>
      <c r="DA387" s="75"/>
      <c r="DB387" s="75"/>
      <c r="DC387" s="73"/>
      <c r="DD387" s="75"/>
      <c r="DE387" s="75"/>
      <c r="DF387" s="75"/>
      <c r="DG387" s="73"/>
      <c r="DH387" s="75"/>
      <c r="DI387" s="75"/>
      <c r="DJ387" s="75"/>
      <c r="DK387" s="76"/>
    </row>
    <row r="388" spans="63:115" x14ac:dyDescent="0.25">
      <c r="BK388" s="75"/>
      <c r="BL388" s="75"/>
      <c r="BM388" s="75"/>
      <c r="BN388" s="73"/>
      <c r="BO388" s="75"/>
      <c r="BP388" s="75"/>
      <c r="BQ388" s="75"/>
      <c r="BR388" s="75"/>
      <c r="BS388" s="75"/>
      <c r="BT388" s="75"/>
      <c r="BU388" s="75"/>
      <c r="BV388" s="75"/>
      <c r="BW388" s="75"/>
      <c r="BX388" s="75"/>
      <c r="BY388" s="75"/>
      <c r="BZ388" s="75"/>
      <c r="CA388" s="73"/>
      <c r="CB388" s="75"/>
      <c r="CC388" s="75"/>
      <c r="CD388" s="75"/>
      <c r="CE388" s="73"/>
      <c r="CF388" s="75"/>
      <c r="CG388" s="75"/>
      <c r="CH388" s="75"/>
      <c r="CI388" s="73"/>
      <c r="CJ388" s="75"/>
      <c r="CK388" s="75"/>
      <c r="CL388" s="75"/>
      <c r="CM388" s="73"/>
      <c r="CN388" s="75"/>
      <c r="CO388" s="75"/>
      <c r="CP388" s="75"/>
      <c r="CQ388" s="73"/>
      <c r="CR388" s="75"/>
      <c r="CS388" s="75"/>
      <c r="CT388" s="75"/>
      <c r="CU388" s="73"/>
      <c r="CV388" s="75"/>
      <c r="CW388" s="75"/>
      <c r="CX388" s="75"/>
      <c r="CY388" s="73"/>
      <c r="CZ388" s="75"/>
      <c r="DA388" s="75"/>
      <c r="DB388" s="75"/>
      <c r="DC388" s="73"/>
      <c r="DD388" s="75"/>
      <c r="DE388" s="75"/>
      <c r="DF388" s="75"/>
      <c r="DG388" s="73"/>
      <c r="DH388" s="75"/>
      <c r="DI388" s="75"/>
      <c r="DJ388" s="75"/>
      <c r="DK388" s="76"/>
    </row>
    <row r="389" spans="63:115" x14ac:dyDescent="0.25">
      <c r="BK389" s="75"/>
      <c r="BL389" s="75"/>
      <c r="BM389" s="75"/>
      <c r="BN389" s="73"/>
      <c r="BO389" s="75"/>
      <c r="BP389" s="75"/>
      <c r="BQ389" s="75"/>
      <c r="BR389" s="75"/>
      <c r="BS389" s="75"/>
      <c r="BT389" s="75"/>
      <c r="BU389" s="75"/>
      <c r="BV389" s="75"/>
      <c r="BW389" s="75"/>
      <c r="BX389" s="75"/>
      <c r="BY389" s="75"/>
      <c r="BZ389" s="75"/>
      <c r="CA389" s="73"/>
      <c r="CB389" s="75"/>
      <c r="CC389" s="75"/>
      <c r="CD389" s="75"/>
      <c r="CE389" s="73"/>
      <c r="CF389" s="75"/>
      <c r="CG389" s="75"/>
      <c r="CH389" s="75"/>
      <c r="CI389" s="73"/>
      <c r="CJ389" s="75"/>
      <c r="CK389" s="75"/>
      <c r="CL389" s="75"/>
      <c r="CM389" s="73"/>
      <c r="CN389" s="75"/>
      <c r="CO389" s="75"/>
      <c r="CP389" s="75"/>
      <c r="CQ389" s="73"/>
      <c r="CR389" s="75"/>
      <c r="CS389" s="75"/>
      <c r="CT389" s="75"/>
      <c r="CU389" s="73"/>
      <c r="CV389" s="75"/>
      <c r="CW389" s="75"/>
      <c r="CX389" s="75"/>
      <c r="CY389" s="73"/>
      <c r="CZ389" s="75"/>
      <c r="DA389" s="75"/>
      <c r="DB389" s="75"/>
      <c r="DC389" s="73"/>
      <c r="DD389" s="75"/>
      <c r="DE389" s="75"/>
      <c r="DF389" s="75"/>
      <c r="DG389" s="73"/>
      <c r="DH389" s="75"/>
      <c r="DI389" s="75"/>
      <c r="DJ389" s="75"/>
      <c r="DK389" s="76"/>
    </row>
    <row r="390" spans="63:115" x14ac:dyDescent="0.25">
      <c r="BK390" s="75"/>
      <c r="BL390" s="75"/>
      <c r="BM390" s="75"/>
      <c r="BN390" s="73"/>
      <c r="BO390" s="75"/>
      <c r="BP390" s="75"/>
      <c r="BQ390" s="75"/>
      <c r="BR390" s="75"/>
      <c r="BS390" s="75"/>
      <c r="BT390" s="75"/>
      <c r="BU390" s="75"/>
      <c r="BV390" s="75"/>
      <c r="BW390" s="75"/>
      <c r="BX390" s="75"/>
      <c r="BY390" s="75"/>
      <c r="BZ390" s="75"/>
      <c r="CA390" s="73"/>
      <c r="CB390" s="75"/>
      <c r="CC390" s="75"/>
      <c r="CD390" s="75"/>
      <c r="CE390" s="73"/>
      <c r="CF390" s="75"/>
      <c r="CG390" s="75"/>
      <c r="CH390" s="75"/>
      <c r="CI390" s="73"/>
      <c r="CJ390" s="75"/>
      <c r="CK390" s="75"/>
      <c r="CL390" s="75"/>
      <c r="CM390" s="73"/>
      <c r="CN390" s="75"/>
      <c r="CO390" s="75"/>
      <c r="CP390" s="75"/>
      <c r="CQ390" s="73"/>
      <c r="CR390" s="75"/>
      <c r="CS390" s="75"/>
      <c r="CT390" s="75"/>
      <c r="CU390" s="73"/>
      <c r="CV390" s="75"/>
      <c r="CW390" s="75"/>
      <c r="CX390" s="75"/>
      <c r="CY390" s="73"/>
      <c r="CZ390" s="75"/>
      <c r="DA390" s="75"/>
      <c r="DB390" s="75"/>
      <c r="DC390" s="73"/>
      <c r="DD390" s="75"/>
      <c r="DE390" s="75"/>
      <c r="DF390" s="75"/>
      <c r="DG390" s="73"/>
      <c r="DH390" s="75"/>
      <c r="DI390" s="75"/>
      <c r="DJ390" s="75"/>
      <c r="DK390" s="76"/>
    </row>
    <row r="391" spans="63:115" x14ac:dyDescent="0.25">
      <c r="BK391" s="75"/>
      <c r="BL391" s="75"/>
      <c r="BM391" s="75"/>
      <c r="BN391" s="73"/>
      <c r="BO391" s="75"/>
      <c r="BP391" s="75"/>
      <c r="BQ391" s="75"/>
      <c r="BR391" s="75"/>
      <c r="BS391" s="75"/>
      <c r="BT391" s="75"/>
      <c r="BU391" s="75"/>
      <c r="BV391" s="75"/>
      <c r="BW391" s="75"/>
      <c r="BX391" s="75"/>
      <c r="BY391" s="75"/>
      <c r="BZ391" s="75"/>
      <c r="CA391" s="73"/>
      <c r="CB391" s="75"/>
      <c r="CC391" s="75"/>
      <c r="CD391" s="75"/>
      <c r="CE391" s="73"/>
      <c r="CF391" s="75"/>
      <c r="CG391" s="75"/>
      <c r="CH391" s="75"/>
      <c r="CI391" s="73"/>
      <c r="CJ391" s="75"/>
      <c r="CK391" s="75"/>
      <c r="CL391" s="75"/>
      <c r="CM391" s="73"/>
      <c r="CN391" s="75"/>
      <c r="CO391" s="75"/>
      <c r="CP391" s="75"/>
      <c r="CQ391" s="73"/>
      <c r="CR391" s="75"/>
      <c r="CS391" s="75"/>
      <c r="CT391" s="75"/>
      <c r="CU391" s="73"/>
      <c r="CV391" s="75"/>
      <c r="CW391" s="75"/>
      <c r="CX391" s="75"/>
      <c r="CY391" s="73"/>
      <c r="CZ391" s="75"/>
      <c r="DA391" s="75"/>
      <c r="DB391" s="75"/>
      <c r="DC391" s="73"/>
      <c r="DD391" s="75"/>
      <c r="DE391" s="75"/>
      <c r="DF391" s="75"/>
      <c r="DG391" s="73"/>
      <c r="DH391" s="75"/>
      <c r="DI391" s="75"/>
      <c r="DJ391" s="75"/>
      <c r="DK391" s="76"/>
    </row>
    <row r="392" spans="63:115" x14ac:dyDescent="0.25">
      <c r="BK392" s="75"/>
      <c r="BL392" s="75"/>
      <c r="BM392" s="75"/>
      <c r="BN392" s="73"/>
      <c r="BO392" s="75"/>
      <c r="BP392" s="75"/>
      <c r="BQ392" s="75"/>
      <c r="BR392" s="75"/>
      <c r="BS392" s="75"/>
      <c r="BT392" s="75"/>
      <c r="BU392" s="75"/>
      <c r="BV392" s="75"/>
      <c r="BW392" s="75"/>
      <c r="BX392" s="75"/>
      <c r="BY392" s="75"/>
      <c r="BZ392" s="75"/>
      <c r="CA392" s="73"/>
      <c r="CB392" s="75"/>
      <c r="CC392" s="75"/>
      <c r="CD392" s="75"/>
      <c r="CE392" s="73"/>
      <c r="CF392" s="75"/>
      <c r="CG392" s="75"/>
      <c r="CH392" s="75"/>
      <c r="CI392" s="73"/>
      <c r="CJ392" s="75"/>
      <c r="CK392" s="75"/>
      <c r="CL392" s="75"/>
      <c r="CM392" s="73"/>
      <c r="CN392" s="75"/>
      <c r="CO392" s="75"/>
      <c r="CP392" s="75"/>
      <c r="CQ392" s="73"/>
      <c r="CR392" s="75"/>
      <c r="CS392" s="75"/>
      <c r="CT392" s="75"/>
      <c r="CU392" s="73"/>
      <c r="CV392" s="75"/>
      <c r="CW392" s="75"/>
      <c r="CX392" s="75"/>
      <c r="CY392" s="73"/>
      <c r="CZ392" s="75"/>
      <c r="DA392" s="75"/>
      <c r="DB392" s="75"/>
      <c r="DC392" s="73"/>
      <c r="DD392" s="75"/>
      <c r="DE392" s="75"/>
      <c r="DF392" s="75"/>
      <c r="DG392" s="73"/>
      <c r="DH392" s="75"/>
      <c r="DI392" s="75"/>
      <c r="DJ392" s="75"/>
      <c r="DK392" s="76"/>
    </row>
    <row r="393" spans="63:115" x14ac:dyDescent="0.25">
      <c r="BK393" s="75"/>
      <c r="BL393" s="75"/>
      <c r="BM393" s="75"/>
      <c r="BN393" s="73"/>
      <c r="BO393" s="75"/>
      <c r="BP393" s="75"/>
      <c r="BQ393" s="75"/>
      <c r="BR393" s="75"/>
      <c r="BS393" s="75"/>
      <c r="BT393" s="75"/>
      <c r="BU393" s="75"/>
      <c r="BV393" s="75"/>
      <c r="BW393" s="75"/>
      <c r="BX393" s="75"/>
      <c r="BY393" s="75"/>
      <c r="BZ393" s="75"/>
      <c r="CA393" s="73"/>
      <c r="CB393" s="75"/>
      <c r="CC393" s="75"/>
      <c r="CD393" s="75"/>
      <c r="CE393" s="73"/>
      <c r="CF393" s="75"/>
      <c r="CG393" s="75"/>
      <c r="CH393" s="75"/>
      <c r="CI393" s="73"/>
      <c r="CJ393" s="75"/>
      <c r="CK393" s="75"/>
      <c r="CL393" s="75"/>
      <c r="CM393" s="73"/>
      <c r="CN393" s="75"/>
      <c r="CO393" s="75"/>
      <c r="CP393" s="75"/>
      <c r="CQ393" s="73"/>
      <c r="CR393" s="75"/>
      <c r="CS393" s="75"/>
      <c r="CT393" s="75"/>
      <c r="CU393" s="73"/>
      <c r="CV393" s="75"/>
      <c r="CW393" s="75"/>
      <c r="CX393" s="75"/>
      <c r="CY393" s="73"/>
      <c r="CZ393" s="75"/>
      <c r="DA393" s="75"/>
      <c r="DB393" s="75"/>
      <c r="DC393" s="73"/>
      <c r="DD393" s="75"/>
      <c r="DE393" s="75"/>
      <c r="DF393" s="75"/>
      <c r="DG393" s="73"/>
      <c r="DH393" s="75"/>
      <c r="DI393" s="75"/>
      <c r="DJ393" s="75"/>
      <c r="DK393" s="76"/>
    </row>
    <row r="394" spans="63:115" x14ac:dyDescent="0.25">
      <c r="BK394" s="75"/>
      <c r="BL394" s="75"/>
      <c r="BM394" s="75"/>
      <c r="BN394" s="73"/>
      <c r="BO394" s="75"/>
      <c r="BP394" s="75"/>
      <c r="BQ394" s="75"/>
      <c r="BR394" s="75"/>
      <c r="BS394" s="75"/>
      <c r="BT394" s="75"/>
      <c r="BU394" s="75"/>
      <c r="BV394" s="75"/>
      <c r="BW394" s="75"/>
      <c r="BX394" s="75"/>
      <c r="BY394" s="75"/>
      <c r="BZ394" s="75"/>
      <c r="CA394" s="73"/>
      <c r="CB394" s="75"/>
      <c r="CC394" s="75"/>
      <c r="CD394" s="75"/>
      <c r="CE394" s="73"/>
      <c r="CF394" s="75"/>
      <c r="CG394" s="75"/>
      <c r="CH394" s="75"/>
      <c r="CI394" s="73"/>
      <c r="CJ394" s="75"/>
      <c r="CK394" s="75"/>
      <c r="CL394" s="75"/>
      <c r="CM394" s="73"/>
      <c r="CN394" s="75"/>
      <c r="CO394" s="75"/>
      <c r="CP394" s="75"/>
      <c r="CQ394" s="73"/>
      <c r="CR394" s="75"/>
      <c r="CS394" s="75"/>
      <c r="CT394" s="75"/>
      <c r="CU394" s="73"/>
      <c r="CV394" s="75"/>
      <c r="CW394" s="75"/>
      <c r="CX394" s="75"/>
      <c r="CY394" s="73"/>
      <c r="CZ394" s="75"/>
      <c r="DA394" s="75"/>
      <c r="DB394" s="75"/>
      <c r="DC394" s="73"/>
      <c r="DD394" s="75"/>
      <c r="DE394" s="75"/>
      <c r="DF394" s="75"/>
      <c r="DG394" s="73"/>
      <c r="DH394" s="75"/>
      <c r="DI394" s="75"/>
      <c r="DJ394" s="75"/>
      <c r="DK394" s="76"/>
    </row>
    <row r="395" spans="63:115" x14ac:dyDescent="0.25">
      <c r="BK395" s="75"/>
      <c r="BL395" s="75"/>
      <c r="BM395" s="75"/>
      <c r="BN395" s="73"/>
      <c r="BO395" s="75"/>
      <c r="BP395" s="75"/>
      <c r="BQ395" s="75"/>
      <c r="BR395" s="75"/>
      <c r="BS395" s="75"/>
      <c r="BT395" s="75"/>
      <c r="BU395" s="75"/>
      <c r="BV395" s="75"/>
      <c r="BW395" s="75"/>
      <c r="BX395" s="75"/>
      <c r="BY395" s="75"/>
      <c r="BZ395" s="75"/>
      <c r="CA395" s="73"/>
      <c r="CB395" s="75"/>
      <c r="CC395" s="75"/>
      <c r="CD395" s="75"/>
      <c r="CE395" s="73"/>
      <c r="CF395" s="75"/>
      <c r="CG395" s="75"/>
      <c r="CH395" s="75"/>
      <c r="CI395" s="73"/>
      <c r="CJ395" s="75"/>
      <c r="CK395" s="75"/>
      <c r="CL395" s="75"/>
      <c r="CM395" s="73"/>
      <c r="CN395" s="75"/>
      <c r="CO395" s="75"/>
      <c r="CP395" s="75"/>
      <c r="CQ395" s="73"/>
      <c r="CR395" s="75"/>
      <c r="CS395" s="75"/>
      <c r="CT395" s="75"/>
      <c r="CU395" s="73"/>
      <c r="CV395" s="75"/>
      <c r="CW395" s="75"/>
      <c r="CX395" s="75"/>
      <c r="CY395" s="73"/>
      <c r="CZ395" s="75"/>
      <c r="DA395" s="75"/>
      <c r="DB395" s="75"/>
      <c r="DC395" s="73"/>
      <c r="DD395" s="75"/>
      <c r="DE395" s="75"/>
      <c r="DF395" s="75"/>
      <c r="DG395" s="73"/>
      <c r="DH395" s="75"/>
      <c r="DI395" s="75"/>
      <c r="DJ395" s="75"/>
      <c r="DK395" s="76"/>
    </row>
    <row r="396" spans="63:115" x14ac:dyDescent="0.25">
      <c r="BK396" s="75"/>
      <c r="BL396" s="75"/>
      <c r="BM396" s="75"/>
      <c r="BN396" s="73"/>
      <c r="BO396" s="75"/>
      <c r="BP396" s="75"/>
      <c r="BQ396" s="75"/>
      <c r="BR396" s="75"/>
      <c r="BS396" s="75"/>
      <c r="BT396" s="75"/>
      <c r="BU396" s="75"/>
      <c r="BV396" s="75"/>
      <c r="BW396" s="75"/>
      <c r="BX396" s="75"/>
      <c r="BY396" s="75"/>
      <c r="BZ396" s="75"/>
      <c r="CA396" s="73"/>
      <c r="CB396" s="75"/>
      <c r="CC396" s="75"/>
      <c r="CD396" s="75"/>
      <c r="CE396" s="73"/>
      <c r="CF396" s="75"/>
      <c r="CG396" s="75"/>
      <c r="CH396" s="75"/>
      <c r="CI396" s="73"/>
      <c r="CJ396" s="75"/>
      <c r="CK396" s="75"/>
      <c r="CL396" s="75"/>
      <c r="CM396" s="73"/>
      <c r="CN396" s="75"/>
      <c r="CO396" s="75"/>
      <c r="CP396" s="75"/>
      <c r="CQ396" s="73"/>
      <c r="CR396" s="75"/>
      <c r="CS396" s="75"/>
      <c r="CT396" s="75"/>
      <c r="CU396" s="73"/>
      <c r="CV396" s="75"/>
      <c r="CW396" s="75"/>
      <c r="CX396" s="75"/>
      <c r="CY396" s="73"/>
      <c r="CZ396" s="75"/>
      <c r="DA396" s="75"/>
      <c r="DB396" s="75"/>
      <c r="DC396" s="73"/>
      <c r="DD396" s="75"/>
      <c r="DE396" s="75"/>
      <c r="DF396" s="75"/>
      <c r="DG396" s="73"/>
      <c r="DH396" s="75"/>
      <c r="DI396" s="75"/>
      <c r="DJ396" s="75"/>
      <c r="DK396" s="76"/>
    </row>
    <row r="397" spans="63:115" x14ac:dyDescent="0.25">
      <c r="BK397" s="75"/>
      <c r="BL397" s="75"/>
      <c r="BM397" s="75"/>
      <c r="BN397" s="73"/>
      <c r="BO397" s="75"/>
      <c r="BP397" s="75"/>
      <c r="BQ397" s="75"/>
      <c r="BR397" s="75"/>
      <c r="BS397" s="75"/>
      <c r="BT397" s="75"/>
      <c r="BU397" s="75"/>
      <c r="BV397" s="75"/>
      <c r="BW397" s="75"/>
      <c r="BX397" s="75"/>
      <c r="BY397" s="75"/>
      <c r="BZ397" s="75"/>
      <c r="CA397" s="73"/>
      <c r="CB397" s="75"/>
      <c r="CC397" s="75"/>
      <c r="CD397" s="75"/>
      <c r="CE397" s="73"/>
      <c r="CF397" s="75"/>
      <c r="CG397" s="75"/>
      <c r="CH397" s="75"/>
      <c r="CI397" s="73"/>
      <c r="CJ397" s="75"/>
      <c r="CK397" s="75"/>
      <c r="CL397" s="75"/>
      <c r="CM397" s="73"/>
      <c r="CN397" s="75"/>
      <c r="CO397" s="75"/>
      <c r="CP397" s="75"/>
      <c r="CQ397" s="73"/>
      <c r="CR397" s="75"/>
      <c r="CS397" s="75"/>
      <c r="CT397" s="75"/>
      <c r="CU397" s="73"/>
      <c r="CV397" s="75"/>
      <c r="CW397" s="75"/>
      <c r="CX397" s="75"/>
      <c r="CY397" s="73"/>
      <c r="CZ397" s="75"/>
      <c r="DA397" s="75"/>
      <c r="DB397" s="75"/>
      <c r="DC397" s="73"/>
      <c r="DD397" s="75"/>
      <c r="DE397" s="75"/>
      <c r="DF397" s="75"/>
      <c r="DG397" s="73"/>
      <c r="DH397" s="75"/>
      <c r="DI397" s="75"/>
      <c r="DJ397" s="75"/>
      <c r="DK397" s="76"/>
    </row>
    <row r="398" spans="63:115" x14ac:dyDescent="0.25">
      <c r="BK398" s="75"/>
      <c r="BL398" s="75"/>
      <c r="BM398" s="75"/>
      <c r="BN398" s="73"/>
      <c r="BO398" s="75"/>
      <c r="BP398" s="75"/>
      <c r="BQ398" s="75"/>
      <c r="BR398" s="75"/>
      <c r="BS398" s="75"/>
      <c r="BT398" s="75"/>
      <c r="BU398" s="75"/>
      <c r="BV398" s="75"/>
      <c r="BW398" s="75"/>
      <c r="BX398" s="75"/>
      <c r="BY398" s="75"/>
      <c r="BZ398" s="75"/>
      <c r="CA398" s="73"/>
      <c r="CB398" s="75"/>
      <c r="CC398" s="75"/>
      <c r="CD398" s="75"/>
      <c r="CE398" s="73"/>
      <c r="CF398" s="75"/>
      <c r="CG398" s="75"/>
      <c r="CH398" s="75"/>
      <c r="CI398" s="73"/>
      <c r="CJ398" s="75"/>
      <c r="CK398" s="75"/>
      <c r="CL398" s="75"/>
      <c r="CM398" s="73"/>
      <c r="CN398" s="75"/>
      <c r="CO398" s="75"/>
      <c r="CP398" s="75"/>
      <c r="CQ398" s="73"/>
      <c r="CR398" s="75"/>
      <c r="CS398" s="75"/>
      <c r="CT398" s="75"/>
      <c r="CU398" s="73"/>
      <c r="CV398" s="75"/>
      <c r="CW398" s="75"/>
      <c r="CX398" s="75"/>
      <c r="CY398" s="73"/>
      <c r="CZ398" s="75"/>
      <c r="DA398" s="75"/>
      <c r="DB398" s="75"/>
      <c r="DC398" s="73"/>
      <c r="DD398" s="75"/>
      <c r="DE398" s="75"/>
      <c r="DF398" s="75"/>
      <c r="DG398" s="73"/>
      <c r="DH398" s="75"/>
      <c r="DI398" s="75"/>
      <c r="DJ398" s="75"/>
      <c r="DK398" s="76"/>
    </row>
    <row r="399" spans="63:115" x14ac:dyDescent="0.25">
      <c r="BK399" s="75"/>
      <c r="BL399" s="75"/>
      <c r="BM399" s="75"/>
      <c r="BN399" s="73"/>
      <c r="BO399" s="75"/>
      <c r="BP399" s="75"/>
      <c r="BQ399" s="75"/>
      <c r="BR399" s="75"/>
      <c r="BS399" s="75"/>
      <c r="BT399" s="75"/>
      <c r="BU399" s="75"/>
      <c r="BV399" s="75"/>
      <c r="BW399" s="75"/>
      <c r="BX399" s="75"/>
      <c r="BY399" s="75"/>
      <c r="BZ399" s="75"/>
      <c r="CA399" s="73"/>
      <c r="CB399" s="75"/>
      <c r="CC399" s="75"/>
      <c r="CD399" s="75"/>
      <c r="CE399" s="73"/>
      <c r="CF399" s="75"/>
      <c r="CG399" s="75"/>
      <c r="CH399" s="75"/>
      <c r="CI399" s="73"/>
      <c r="CJ399" s="75"/>
      <c r="CK399" s="75"/>
      <c r="CL399" s="75"/>
      <c r="CM399" s="73"/>
      <c r="CN399" s="75"/>
      <c r="CO399" s="75"/>
      <c r="CP399" s="75"/>
      <c r="CQ399" s="73"/>
      <c r="CR399" s="75"/>
      <c r="CS399" s="75"/>
      <c r="CT399" s="75"/>
      <c r="CU399" s="73"/>
      <c r="CV399" s="75"/>
      <c r="CW399" s="75"/>
      <c r="CX399" s="75"/>
      <c r="CY399" s="73"/>
      <c r="CZ399" s="75"/>
      <c r="DA399" s="75"/>
      <c r="DB399" s="75"/>
      <c r="DC399" s="73"/>
      <c r="DD399" s="75"/>
      <c r="DE399" s="75"/>
      <c r="DF399" s="75"/>
      <c r="DG399" s="73"/>
      <c r="DH399" s="75"/>
      <c r="DI399" s="75"/>
      <c r="DJ399" s="75"/>
      <c r="DK399" s="76"/>
    </row>
    <row r="400" spans="63:115" x14ac:dyDescent="0.25">
      <c r="BK400" s="75"/>
      <c r="BL400" s="75"/>
      <c r="BM400" s="75"/>
      <c r="BN400" s="73"/>
      <c r="BO400" s="75"/>
      <c r="BP400" s="75"/>
      <c r="BQ400" s="75"/>
      <c r="BR400" s="75"/>
      <c r="BS400" s="75"/>
      <c r="BT400" s="75"/>
      <c r="BU400" s="75"/>
      <c r="BV400" s="75"/>
      <c r="BW400" s="75"/>
      <c r="BX400" s="75"/>
      <c r="BY400" s="75"/>
      <c r="BZ400" s="75"/>
      <c r="CA400" s="73"/>
      <c r="CB400" s="75"/>
      <c r="CC400" s="75"/>
      <c r="CD400" s="75"/>
      <c r="CE400" s="73"/>
      <c r="CF400" s="75"/>
      <c r="CG400" s="75"/>
      <c r="CH400" s="75"/>
      <c r="CI400" s="73"/>
      <c r="CJ400" s="75"/>
      <c r="CK400" s="75"/>
      <c r="CL400" s="75"/>
      <c r="CM400" s="73"/>
      <c r="CN400" s="75"/>
      <c r="CO400" s="75"/>
      <c r="CP400" s="75"/>
      <c r="CQ400" s="73"/>
      <c r="CR400" s="75"/>
      <c r="CS400" s="75"/>
      <c r="CT400" s="75"/>
      <c r="CU400" s="73"/>
      <c r="CV400" s="75"/>
      <c r="CW400" s="75"/>
      <c r="CX400" s="75"/>
      <c r="CY400" s="73"/>
      <c r="CZ400" s="75"/>
      <c r="DA400" s="75"/>
      <c r="DB400" s="75"/>
      <c r="DC400" s="73"/>
      <c r="DD400" s="75"/>
      <c r="DE400" s="75"/>
      <c r="DF400" s="75"/>
      <c r="DG400" s="73"/>
      <c r="DH400" s="75"/>
      <c r="DI400" s="75"/>
      <c r="DJ400" s="75"/>
      <c r="DK400" s="76"/>
    </row>
    <row r="401" spans="63:115" x14ac:dyDescent="0.25">
      <c r="BK401" s="75"/>
      <c r="BL401" s="75"/>
      <c r="BM401" s="75"/>
      <c r="BN401" s="73"/>
      <c r="BO401" s="75"/>
      <c r="BP401" s="75"/>
      <c r="BQ401" s="75"/>
      <c r="BR401" s="75"/>
      <c r="BS401" s="75"/>
      <c r="BT401" s="75"/>
      <c r="BU401" s="75"/>
      <c r="BV401" s="75"/>
      <c r="BW401" s="75"/>
      <c r="BX401" s="75"/>
      <c r="BY401" s="75"/>
      <c r="BZ401" s="75"/>
      <c r="CA401" s="73"/>
      <c r="CB401" s="75"/>
      <c r="CC401" s="75"/>
      <c r="CD401" s="75"/>
      <c r="CE401" s="73"/>
      <c r="CF401" s="75"/>
      <c r="CG401" s="75"/>
      <c r="CH401" s="75"/>
      <c r="CI401" s="73"/>
      <c r="CJ401" s="75"/>
      <c r="CK401" s="75"/>
      <c r="CL401" s="75"/>
      <c r="CM401" s="73"/>
      <c r="CN401" s="75"/>
      <c r="CO401" s="75"/>
      <c r="CP401" s="75"/>
      <c r="CQ401" s="73"/>
      <c r="CR401" s="75"/>
      <c r="CS401" s="75"/>
      <c r="CT401" s="75"/>
      <c r="CU401" s="73"/>
      <c r="CV401" s="75"/>
      <c r="CW401" s="75"/>
      <c r="CX401" s="75"/>
      <c r="CY401" s="73"/>
      <c r="CZ401" s="75"/>
      <c r="DA401" s="75"/>
      <c r="DB401" s="75"/>
      <c r="DC401" s="73"/>
      <c r="DD401" s="75"/>
      <c r="DE401" s="75"/>
      <c r="DF401" s="75"/>
      <c r="DG401" s="73"/>
      <c r="DH401" s="75"/>
      <c r="DI401" s="75"/>
      <c r="DJ401" s="75"/>
      <c r="DK401" s="76"/>
    </row>
    <row r="402" spans="63:115" x14ac:dyDescent="0.25">
      <c r="BK402" s="75"/>
      <c r="BL402" s="75"/>
      <c r="BM402" s="75"/>
      <c r="BN402" s="73"/>
      <c r="BO402" s="75"/>
      <c r="BP402" s="75"/>
      <c r="BQ402" s="75"/>
      <c r="BR402" s="75"/>
      <c r="BS402" s="75"/>
      <c r="BT402" s="75"/>
      <c r="BU402" s="75"/>
      <c r="BV402" s="75"/>
      <c r="BW402" s="75"/>
      <c r="BX402" s="75"/>
      <c r="BY402" s="75"/>
      <c r="BZ402" s="75"/>
      <c r="CA402" s="73"/>
      <c r="CB402" s="75"/>
      <c r="CC402" s="75"/>
      <c r="CD402" s="75"/>
      <c r="CE402" s="73"/>
      <c r="CF402" s="75"/>
      <c r="CG402" s="75"/>
      <c r="CH402" s="75"/>
      <c r="CI402" s="73"/>
      <c r="CJ402" s="75"/>
      <c r="CK402" s="75"/>
      <c r="CL402" s="75"/>
      <c r="CM402" s="73"/>
      <c r="CN402" s="75"/>
      <c r="CO402" s="75"/>
      <c r="CP402" s="75"/>
      <c r="CQ402" s="73"/>
      <c r="CR402" s="75"/>
      <c r="CS402" s="75"/>
      <c r="CT402" s="75"/>
      <c r="CU402" s="73"/>
      <c r="CV402" s="75"/>
      <c r="CW402" s="75"/>
      <c r="CX402" s="75"/>
      <c r="CY402" s="73"/>
      <c r="CZ402" s="75"/>
      <c r="DA402" s="75"/>
      <c r="DB402" s="75"/>
      <c r="DC402" s="73"/>
      <c r="DD402" s="75"/>
      <c r="DE402" s="75"/>
      <c r="DF402" s="75"/>
      <c r="DG402" s="73"/>
      <c r="DH402" s="75"/>
      <c r="DI402" s="75"/>
      <c r="DJ402" s="75"/>
      <c r="DK402" s="76"/>
    </row>
    <row r="403" spans="63:115" x14ac:dyDescent="0.25">
      <c r="BK403" s="75"/>
      <c r="BL403" s="75"/>
      <c r="BM403" s="75"/>
      <c r="BN403" s="73"/>
      <c r="BO403" s="75"/>
      <c r="BP403" s="75"/>
      <c r="BQ403" s="75"/>
      <c r="BR403" s="75"/>
      <c r="BS403" s="75"/>
      <c r="BT403" s="75"/>
      <c r="BU403" s="75"/>
      <c r="BV403" s="75"/>
      <c r="BW403" s="75"/>
      <c r="BX403" s="75"/>
      <c r="BY403" s="75"/>
      <c r="BZ403" s="75"/>
      <c r="CA403" s="73"/>
      <c r="CB403" s="75"/>
      <c r="CC403" s="75"/>
      <c r="CD403" s="75"/>
      <c r="CE403" s="73"/>
      <c r="CF403" s="75"/>
      <c r="CG403" s="75"/>
      <c r="CH403" s="75"/>
      <c r="CI403" s="73"/>
      <c r="CJ403" s="75"/>
      <c r="CK403" s="75"/>
      <c r="CL403" s="75"/>
      <c r="CM403" s="73"/>
      <c r="CN403" s="75"/>
      <c r="CO403" s="75"/>
      <c r="CP403" s="75"/>
      <c r="CQ403" s="73"/>
      <c r="CR403" s="75"/>
      <c r="CS403" s="75"/>
      <c r="CT403" s="75"/>
      <c r="CU403" s="73"/>
      <c r="CV403" s="75"/>
      <c r="CW403" s="75"/>
      <c r="CX403" s="75"/>
      <c r="CY403" s="73"/>
      <c r="CZ403" s="75"/>
      <c r="DA403" s="75"/>
      <c r="DB403" s="75"/>
      <c r="DC403" s="73"/>
      <c r="DD403" s="75"/>
      <c r="DE403" s="75"/>
      <c r="DF403" s="75"/>
      <c r="DG403" s="73"/>
      <c r="DH403" s="75"/>
      <c r="DI403" s="75"/>
      <c r="DJ403" s="75"/>
      <c r="DK403" s="76"/>
    </row>
    <row r="404" spans="63:115" x14ac:dyDescent="0.25">
      <c r="BK404" s="75"/>
      <c r="BL404" s="75"/>
      <c r="BM404" s="75"/>
      <c r="BN404" s="73"/>
      <c r="BO404" s="75"/>
      <c r="BP404" s="75"/>
      <c r="BQ404" s="75"/>
      <c r="BR404" s="75"/>
      <c r="BS404" s="75"/>
      <c r="BT404" s="75"/>
      <c r="BU404" s="75"/>
      <c r="BV404" s="75"/>
      <c r="BW404" s="75"/>
      <c r="BX404" s="75"/>
      <c r="BY404" s="75"/>
      <c r="BZ404" s="75"/>
      <c r="CA404" s="73"/>
      <c r="CB404" s="75"/>
      <c r="CC404" s="75"/>
      <c r="CD404" s="75"/>
      <c r="CE404" s="73"/>
      <c r="CF404" s="75"/>
      <c r="CG404" s="75"/>
      <c r="CH404" s="75"/>
      <c r="CI404" s="73"/>
      <c r="CJ404" s="75"/>
      <c r="CK404" s="75"/>
      <c r="CL404" s="75"/>
      <c r="CM404" s="73"/>
      <c r="CN404" s="75"/>
      <c r="CO404" s="75"/>
      <c r="CP404" s="75"/>
      <c r="CQ404" s="73"/>
      <c r="CR404" s="75"/>
      <c r="CS404" s="75"/>
      <c r="CT404" s="75"/>
      <c r="CU404" s="73"/>
      <c r="CV404" s="75"/>
      <c r="CW404" s="75"/>
      <c r="CX404" s="75"/>
      <c r="CY404" s="73"/>
      <c r="CZ404" s="75"/>
      <c r="DA404" s="75"/>
      <c r="DB404" s="75"/>
      <c r="DC404" s="73"/>
      <c r="DD404" s="75"/>
      <c r="DE404" s="75"/>
      <c r="DF404" s="75"/>
      <c r="DG404" s="73"/>
      <c r="DH404" s="75"/>
      <c r="DI404" s="75"/>
      <c r="DJ404" s="75"/>
      <c r="DK404" s="76"/>
    </row>
    <row r="405" spans="63:115" x14ac:dyDescent="0.25">
      <c r="BK405" s="75"/>
      <c r="BL405" s="75"/>
      <c r="BM405" s="75"/>
      <c r="BN405" s="73"/>
      <c r="BO405" s="75"/>
      <c r="BP405" s="75"/>
      <c r="BQ405" s="75"/>
      <c r="BR405" s="75"/>
      <c r="BS405" s="75"/>
      <c r="BT405" s="75"/>
      <c r="BU405" s="75"/>
      <c r="BV405" s="75"/>
      <c r="BW405" s="75"/>
      <c r="BX405" s="75"/>
      <c r="BY405" s="75"/>
      <c r="BZ405" s="75"/>
      <c r="CA405" s="73"/>
      <c r="CB405" s="75"/>
      <c r="CC405" s="75"/>
      <c r="CD405" s="75"/>
      <c r="CE405" s="73"/>
      <c r="CF405" s="75"/>
      <c r="CG405" s="75"/>
      <c r="CH405" s="75"/>
      <c r="CI405" s="73"/>
      <c r="CJ405" s="75"/>
      <c r="CK405" s="75"/>
      <c r="CL405" s="75"/>
      <c r="CM405" s="73"/>
      <c r="CN405" s="75"/>
      <c r="CO405" s="75"/>
      <c r="CP405" s="75"/>
      <c r="CQ405" s="73"/>
      <c r="CR405" s="75"/>
      <c r="CS405" s="75"/>
      <c r="CT405" s="75"/>
      <c r="CU405" s="73"/>
      <c r="CV405" s="75"/>
      <c r="CW405" s="75"/>
      <c r="CX405" s="75"/>
      <c r="CY405" s="73"/>
      <c r="CZ405" s="75"/>
      <c r="DA405" s="75"/>
      <c r="DB405" s="75"/>
      <c r="DC405" s="73"/>
      <c r="DD405" s="75"/>
      <c r="DE405" s="75"/>
      <c r="DF405" s="75"/>
      <c r="DG405" s="73"/>
      <c r="DH405" s="75"/>
      <c r="DI405" s="75"/>
      <c r="DJ405" s="75"/>
      <c r="DK405" s="76"/>
    </row>
    <row r="406" spans="63:115" x14ac:dyDescent="0.25">
      <c r="BK406" s="75"/>
      <c r="BL406" s="75"/>
      <c r="BM406" s="75"/>
      <c r="BN406" s="73"/>
      <c r="BO406" s="75"/>
      <c r="BP406" s="75"/>
      <c r="BQ406" s="75"/>
      <c r="BR406" s="75"/>
      <c r="BS406" s="75"/>
      <c r="BT406" s="75"/>
      <c r="BU406" s="75"/>
      <c r="BV406" s="75"/>
      <c r="BW406" s="75"/>
      <c r="BX406" s="75"/>
      <c r="BY406" s="75"/>
      <c r="BZ406" s="75"/>
      <c r="CA406" s="73"/>
      <c r="CB406" s="75"/>
      <c r="CC406" s="75"/>
      <c r="CD406" s="75"/>
      <c r="CE406" s="73"/>
      <c r="CF406" s="75"/>
      <c r="CG406" s="75"/>
      <c r="CH406" s="75"/>
      <c r="CI406" s="73"/>
      <c r="CJ406" s="75"/>
      <c r="CK406" s="75"/>
      <c r="CL406" s="75"/>
      <c r="CM406" s="73"/>
      <c r="CN406" s="75"/>
      <c r="CO406" s="75"/>
      <c r="CP406" s="75"/>
      <c r="CQ406" s="73"/>
      <c r="CR406" s="75"/>
      <c r="CS406" s="75"/>
      <c r="CT406" s="75"/>
      <c r="CU406" s="73"/>
      <c r="CV406" s="75"/>
      <c r="CW406" s="75"/>
      <c r="CX406" s="75"/>
      <c r="CY406" s="73"/>
      <c r="CZ406" s="75"/>
      <c r="DA406" s="75"/>
      <c r="DB406" s="75"/>
      <c r="DC406" s="73"/>
      <c r="DD406" s="75"/>
      <c r="DE406" s="75"/>
      <c r="DF406" s="75"/>
      <c r="DG406" s="73"/>
      <c r="DH406" s="75"/>
      <c r="DI406" s="75"/>
      <c r="DJ406" s="75"/>
      <c r="DK406" s="76"/>
    </row>
    <row r="407" spans="63:115" x14ac:dyDescent="0.25">
      <c r="BK407" s="75"/>
      <c r="BL407" s="75"/>
      <c r="BM407" s="75"/>
      <c r="BN407" s="73"/>
      <c r="BO407" s="75"/>
      <c r="BP407" s="75"/>
      <c r="BQ407" s="75"/>
      <c r="BR407" s="75"/>
      <c r="BS407" s="75"/>
      <c r="BT407" s="75"/>
      <c r="BU407" s="75"/>
      <c r="BV407" s="75"/>
      <c r="BW407" s="75"/>
      <c r="BX407" s="75"/>
      <c r="BY407" s="75"/>
      <c r="BZ407" s="75"/>
      <c r="CA407" s="73"/>
      <c r="CB407" s="75"/>
      <c r="CC407" s="75"/>
      <c r="CD407" s="75"/>
      <c r="CE407" s="73"/>
      <c r="CF407" s="75"/>
      <c r="CG407" s="75"/>
      <c r="CH407" s="75"/>
      <c r="CI407" s="73"/>
      <c r="CJ407" s="75"/>
      <c r="CK407" s="75"/>
      <c r="CL407" s="75"/>
      <c r="CM407" s="73"/>
      <c r="CN407" s="75"/>
      <c r="CO407" s="75"/>
      <c r="CP407" s="75"/>
      <c r="CQ407" s="73"/>
      <c r="CR407" s="75"/>
      <c r="CS407" s="75"/>
      <c r="CT407" s="75"/>
      <c r="CU407" s="73"/>
      <c r="CV407" s="75"/>
      <c r="CW407" s="75"/>
      <c r="CX407" s="75"/>
      <c r="CY407" s="73"/>
      <c r="CZ407" s="75"/>
      <c r="DA407" s="75"/>
      <c r="DB407" s="75"/>
      <c r="DC407" s="73"/>
      <c r="DD407" s="75"/>
      <c r="DE407" s="75"/>
      <c r="DF407" s="75"/>
      <c r="DG407" s="73"/>
      <c r="DH407" s="75"/>
      <c r="DI407" s="75"/>
      <c r="DJ407" s="75"/>
      <c r="DK407" s="76"/>
    </row>
    <row r="408" spans="63:115" x14ac:dyDescent="0.25">
      <c r="BK408" s="75"/>
      <c r="BL408" s="75"/>
      <c r="BM408" s="75"/>
      <c r="BN408" s="73"/>
      <c r="BO408" s="75"/>
      <c r="BP408" s="75"/>
      <c r="BQ408" s="75"/>
      <c r="BR408" s="75"/>
      <c r="BS408" s="75"/>
      <c r="BT408" s="75"/>
      <c r="BU408" s="75"/>
      <c r="BV408" s="75"/>
      <c r="BW408" s="75"/>
      <c r="BX408" s="75"/>
      <c r="BY408" s="75"/>
      <c r="BZ408" s="75"/>
      <c r="CA408" s="73"/>
      <c r="CB408" s="75"/>
      <c r="CC408" s="75"/>
      <c r="CD408" s="75"/>
      <c r="CE408" s="73"/>
      <c r="CF408" s="75"/>
      <c r="CG408" s="75"/>
      <c r="CH408" s="75"/>
      <c r="CI408" s="73"/>
      <c r="CJ408" s="75"/>
      <c r="CK408" s="75"/>
      <c r="CL408" s="75"/>
      <c r="CM408" s="73"/>
      <c r="CN408" s="75"/>
      <c r="CO408" s="75"/>
      <c r="CP408" s="75"/>
      <c r="CQ408" s="73"/>
      <c r="CR408" s="75"/>
      <c r="CS408" s="75"/>
      <c r="CT408" s="75"/>
      <c r="CU408" s="73"/>
      <c r="CV408" s="75"/>
      <c r="CW408" s="75"/>
      <c r="CX408" s="75"/>
      <c r="CY408" s="73"/>
      <c r="CZ408" s="75"/>
      <c r="DA408" s="75"/>
      <c r="DB408" s="75"/>
      <c r="DC408" s="73"/>
      <c r="DD408" s="75"/>
      <c r="DE408" s="75"/>
      <c r="DF408" s="75"/>
      <c r="DG408" s="73"/>
      <c r="DH408" s="75"/>
      <c r="DI408" s="75"/>
      <c r="DJ408" s="75"/>
      <c r="DK408" s="76"/>
    </row>
    <row r="409" spans="63:115" x14ac:dyDescent="0.25">
      <c r="BK409" s="75"/>
      <c r="BL409" s="75"/>
      <c r="BM409" s="75"/>
      <c r="BN409" s="73"/>
      <c r="BO409" s="75"/>
      <c r="BP409" s="75"/>
      <c r="BQ409" s="75"/>
      <c r="BR409" s="75"/>
      <c r="BS409" s="75"/>
      <c r="BT409" s="75"/>
      <c r="BU409" s="75"/>
      <c r="BV409" s="75"/>
      <c r="BW409" s="75"/>
      <c r="BX409" s="75"/>
      <c r="BY409" s="75"/>
      <c r="BZ409" s="75"/>
      <c r="CA409" s="73"/>
      <c r="CB409" s="75"/>
      <c r="CC409" s="75"/>
      <c r="CD409" s="75"/>
      <c r="CE409" s="73"/>
      <c r="CF409" s="75"/>
      <c r="CG409" s="75"/>
      <c r="CH409" s="75"/>
      <c r="CI409" s="73"/>
      <c r="CJ409" s="75"/>
      <c r="CK409" s="75"/>
      <c r="CL409" s="75"/>
      <c r="CM409" s="73"/>
      <c r="CN409" s="75"/>
      <c r="CO409" s="75"/>
      <c r="CP409" s="75"/>
      <c r="CQ409" s="73"/>
      <c r="CR409" s="75"/>
      <c r="CS409" s="75"/>
      <c r="CT409" s="75"/>
      <c r="CU409" s="73"/>
      <c r="CV409" s="75"/>
      <c r="CW409" s="75"/>
      <c r="CX409" s="75"/>
      <c r="CY409" s="73"/>
      <c r="CZ409" s="75"/>
      <c r="DA409" s="75"/>
      <c r="DB409" s="75"/>
      <c r="DC409" s="73"/>
      <c r="DD409" s="75"/>
      <c r="DE409" s="75"/>
      <c r="DF409" s="75"/>
      <c r="DG409" s="73"/>
      <c r="DH409" s="75"/>
      <c r="DI409" s="75"/>
      <c r="DJ409" s="75"/>
      <c r="DK409" s="76"/>
    </row>
    <row r="410" spans="63:115" x14ac:dyDescent="0.25">
      <c r="BK410" s="75"/>
      <c r="BL410" s="75"/>
      <c r="BM410" s="75"/>
      <c r="BN410" s="73"/>
      <c r="BO410" s="75"/>
      <c r="BP410" s="75"/>
      <c r="BQ410" s="75"/>
      <c r="BR410" s="75"/>
      <c r="BS410" s="75"/>
      <c r="BT410" s="75"/>
      <c r="BU410" s="75"/>
      <c r="BV410" s="75"/>
      <c r="BW410" s="75"/>
      <c r="BX410" s="75"/>
      <c r="BY410" s="75"/>
      <c r="BZ410" s="75"/>
      <c r="CA410" s="73"/>
      <c r="CB410" s="75"/>
      <c r="CC410" s="75"/>
      <c r="CD410" s="75"/>
      <c r="CE410" s="73"/>
      <c r="CF410" s="75"/>
      <c r="CG410" s="75"/>
      <c r="CH410" s="75"/>
      <c r="CI410" s="73"/>
      <c r="CJ410" s="75"/>
      <c r="CK410" s="75"/>
      <c r="CL410" s="75"/>
      <c r="CM410" s="73"/>
      <c r="CN410" s="75"/>
      <c r="CO410" s="75"/>
      <c r="CP410" s="75"/>
      <c r="CQ410" s="73"/>
      <c r="CR410" s="75"/>
      <c r="CS410" s="75"/>
      <c r="CT410" s="75"/>
      <c r="CU410" s="73"/>
      <c r="CV410" s="75"/>
      <c r="CW410" s="75"/>
      <c r="CX410" s="75"/>
      <c r="CY410" s="73"/>
      <c r="CZ410" s="75"/>
      <c r="DA410" s="75"/>
      <c r="DB410" s="75"/>
      <c r="DC410" s="73"/>
      <c r="DD410" s="75"/>
      <c r="DE410" s="75"/>
      <c r="DF410" s="75"/>
      <c r="DG410" s="73"/>
      <c r="DH410" s="75"/>
      <c r="DI410" s="75"/>
      <c r="DJ410" s="75"/>
      <c r="DK410" s="76"/>
    </row>
    <row r="411" spans="63:115" x14ac:dyDescent="0.25">
      <c r="BK411" s="75"/>
      <c r="BL411" s="75"/>
      <c r="BM411" s="75"/>
      <c r="BN411" s="73"/>
      <c r="BO411" s="75"/>
      <c r="BP411" s="75"/>
      <c r="BQ411" s="75"/>
      <c r="BR411" s="75"/>
      <c r="BS411" s="75"/>
      <c r="BT411" s="75"/>
      <c r="BU411" s="75"/>
      <c r="BV411" s="75"/>
      <c r="BW411" s="75"/>
      <c r="BX411" s="75"/>
      <c r="BY411" s="75"/>
      <c r="BZ411" s="75"/>
      <c r="CA411" s="73"/>
      <c r="CB411" s="75"/>
      <c r="CC411" s="75"/>
      <c r="CD411" s="75"/>
      <c r="CE411" s="73"/>
      <c r="CF411" s="75"/>
      <c r="CG411" s="75"/>
      <c r="CH411" s="75"/>
      <c r="CI411" s="73"/>
      <c r="CJ411" s="75"/>
      <c r="CK411" s="75"/>
      <c r="CL411" s="75"/>
      <c r="CM411" s="73"/>
      <c r="CN411" s="75"/>
      <c r="CO411" s="75"/>
      <c r="CP411" s="75"/>
      <c r="CQ411" s="73"/>
      <c r="CR411" s="75"/>
      <c r="CS411" s="75"/>
      <c r="CT411" s="75"/>
      <c r="CU411" s="73"/>
      <c r="CV411" s="75"/>
      <c r="CW411" s="75"/>
      <c r="CX411" s="75"/>
      <c r="CY411" s="73"/>
      <c r="CZ411" s="75"/>
      <c r="DA411" s="75"/>
      <c r="DB411" s="75"/>
      <c r="DC411" s="73"/>
      <c r="DD411" s="75"/>
      <c r="DE411" s="75"/>
      <c r="DF411" s="75"/>
      <c r="DG411" s="73"/>
      <c r="DH411" s="75"/>
      <c r="DI411" s="75"/>
      <c r="DJ411" s="75"/>
      <c r="DK411" s="76"/>
    </row>
    <row r="412" spans="63:115" x14ac:dyDescent="0.25">
      <c r="BK412" s="75"/>
      <c r="BL412" s="75"/>
      <c r="BM412" s="75"/>
      <c r="BN412" s="73"/>
      <c r="BO412" s="75"/>
      <c r="BP412" s="75"/>
      <c r="BQ412" s="75"/>
      <c r="BR412" s="75"/>
      <c r="BS412" s="75"/>
      <c r="BT412" s="75"/>
      <c r="BU412" s="75"/>
      <c r="BV412" s="75"/>
      <c r="BW412" s="75"/>
      <c r="BX412" s="75"/>
      <c r="BY412" s="75"/>
      <c r="BZ412" s="75"/>
      <c r="CA412" s="73"/>
      <c r="CB412" s="75"/>
      <c r="CC412" s="75"/>
      <c r="CD412" s="75"/>
      <c r="CE412" s="73"/>
      <c r="CF412" s="75"/>
      <c r="CG412" s="75"/>
      <c r="CH412" s="75"/>
      <c r="CI412" s="73"/>
      <c r="CJ412" s="75"/>
      <c r="CK412" s="75"/>
      <c r="CL412" s="75"/>
      <c r="CM412" s="73"/>
      <c r="CN412" s="75"/>
      <c r="CO412" s="75"/>
      <c r="CP412" s="75"/>
      <c r="CQ412" s="73"/>
      <c r="CR412" s="75"/>
      <c r="CS412" s="75"/>
      <c r="CT412" s="75"/>
      <c r="CU412" s="73"/>
      <c r="CV412" s="75"/>
      <c r="CW412" s="75"/>
      <c r="CX412" s="75"/>
      <c r="CY412" s="73"/>
      <c r="CZ412" s="75"/>
      <c r="DA412" s="75"/>
      <c r="DB412" s="75"/>
      <c r="DC412" s="73"/>
      <c r="DD412" s="75"/>
      <c r="DE412" s="75"/>
      <c r="DF412" s="75"/>
      <c r="DG412" s="73"/>
      <c r="DH412" s="75"/>
      <c r="DI412" s="75"/>
      <c r="DJ412" s="75"/>
      <c r="DK412" s="76"/>
    </row>
    <row r="413" spans="63:115" x14ac:dyDescent="0.25">
      <c r="BK413" s="75"/>
      <c r="BL413" s="75"/>
      <c r="BM413" s="75"/>
      <c r="BN413" s="73"/>
      <c r="BO413" s="75"/>
      <c r="BP413" s="75"/>
      <c r="BQ413" s="75"/>
      <c r="BR413" s="75"/>
      <c r="BS413" s="75"/>
      <c r="BT413" s="75"/>
      <c r="BU413" s="75"/>
      <c r="BV413" s="75"/>
      <c r="BW413" s="75"/>
      <c r="BX413" s="75"/>
      <c r="BY413" s="75"/>
      <c r="BZ413" s="75"/>
      <c r="CA413" s="73"/>
      <c r="CB413" s="75"/>
      <c r="CC413" s="75"/>
      <c r="CD413" s="75"/>
      <c r="CE413" s="73"/>
      <c r="CF413" s="75"/>
      <c r="CG413" s="75"/>
      <c r="CH413" s="75"/>
      <c r="CI413" s="73"/>
      <c r="CJ413" s="75"/>
      <c r="CK413" s="75"/>
      <c r="CL413" s="75"/>
      <c r="CM413" s="73"/>
      <c r="CN413" s="75"/>
      <c r="CO413" s="75"/>
      <c r="CP413" s="75"/>
      <c r="CQ413" s="73"/>
      <c r="CR413" s="75"/>
      <c r="CS413" s="75"/>
      <c r="CT413" s="75"/>
      <c r="CU413" s="73"/>
      <c r="CV413" s="75"/>
      <c r="CW413" s="75"/>
      <c r="CX413" s="75"/>
      <c r="CY413" s="73"/>
      <c r="CZ413" s="75"/>
      <c r="DA413" s="75"/>
      <c r="DB413" s="75"/>
      <c r="DC413" s="73"/>
      <c r="DD413" s="75"/>
      <c r="DE413" s="75"/>
      <c r="DF413" s="75"/>
      <c r="DG413" s="73"/>
      <c r="DH413" s="75"/>
      <c r="DI413" s="75"/>
      <c r="DJ413" s="75"/>
      <c r="DK413" s="76"/>
    </row>
    <row r="414" spans="63:115" x14ac:dyDescent="0.25">
      <c r="BK414" s="75"/>
      <c r="BL414" s="75"/>
      <c r="BM414" s="75"/>
      <c r="BN414" s="73"/>
      <c r="BO414" s="75"/>
      <c r="BP414" s="75"/>
      <c r="BQ414" s="75"/>
      <c r="BR414" s="75"/>
      <c r="BS414" s="75"/>
      <c r="BT414" s="75"/>
      <c r="BU414" s="75"/>
      <c r="BV414" s="75"/>
      <c r="BW414" s="75"/>
      <c r="BX414" s="75"/>
      <c r="BY414" s="75"/>
      <c r="BZ414" s="75"/>
      <c r="CA414" s="73"/>
      <c r="CB414" s="75"/>
      <c r="CC414" s="75"/>
      <c r="CD414" s="75"/>
      <c r="CE414" s="73"/>
      <c r="CF414" s="75"/>
      <c r="CG414" s="75"/>
      <c r="CH414" s="75"/>
      <c r="CI414" s="73"/>
      <c r="CJ414" s="75"/>
      <c r="CK414" s="75"/>
      <c r="CL414" s="75"/>
      <c r="CM414" s="73"/>
      <c r="CN414" s="75"/>
      <c r="CO414" s="75"/>
      <c r="CP414" s="75"/>
      <c r="CQ414" s="73"/>
      <c r="CR414" s="75"/>
      <c r="CS414" s="75"/>
      <c r="CT414" s="75"/>
      <c r="CU414" s="73"/>
      <c r="CV414" s="75"/>
      <c r="CW414" s="75"/>
      <c r="CX414" s="75"/>
      <c r="CY414" s="73"/>
      <c r="CZ414" s="75"/>
      <c r="DA414" s="75"/>
      <c r="DB414" s="75"/>
      <c r="DC414" s="73"/>
      <c r="DD414" s="75"/>
      <c r="DE414" s="75"/>
      <c r="DF414" s="75"/>
      <c r="DG414" s="73"/>
      <c r="DH414" s="75"/>
      <c r="DI414" s="75"/>
      <c r="DJ414" s="75"/>
      <c r="DK414" s="76"/>
    </row>
    <row r="415" spans="63:115" x14ac:dyDescent="0.25">
      <c r="BK415" s="75"/>
      <c r="BL415" s="75"/>
      <c r="BM415" s="75"/>
      <c r="BN415" s="73"/>
      <c r="BO415" s="75"/>
      <c r="BP415" s="75"/>
      <c r="BQ415" s="75"/>
      <c r="BR415" s="75"/>
      <c r="BS415" s="75"/>
      <c r="BT415" s="75"/>
      <c r="BU415" s="75"/>
      <c r="BV415" s="75"/>
      <c r="BW415" s="75"/>
      <c r="BX415" s="75"/>
      <c r="BY415" s="75"/>
      <c r="BZ415" s="75"/>
      <c r="CA415" s="73"/>
      <c r="CB415" s="75"/>
      <c r="CC415" s="75"/>
      <c r="CD415" s="75"/>
      <c r="CE415" s="73"/>
      <c r="CF415" s="75"/>
      <c r="CG415" s="75"/>
      <c r="CH415" s="75"/>
      <c r="CI415" s="73"/>
      <c r="CJ415" s="75"/>
      <c r="CK415" s="75"/>
      <c r="CL415" s="75"/>
      <c r="CM415" s="73"/>
      <c r="CN415" s="75"/>
      <c r="CO415" s="75"/>
      <c r="CP415" s="75"/>
      <c r="CQ415" s="73"/>
      <c r="CR415" s="75"/>
      <c r="CS415" s="75"/>
      <c r="CT415" s="75"/>
      <c r="CU415" s="73"/>
      <c r="CV415" s="75"/>
      <c r="CW415" s="75"/>
      <c r="CX415" s="75"/>
      <c r="CY415" s="73"/>
      <c r="CZ415" s="75"/>
      <c r="DA415" s="75"/>
      <c r="DB415" s="75"/>
      <c r="DC415" s="73"/>
      <c r="DD415" s="75"/>
      <c r="DE415" s="75"/>
      <c r="DF415" s="75"/>
      <c r="DG415" s="73"/>
      <c r="DH415" s="75"/>
      <c r="DI415" s="75"/>
      <c r="DJ415" s="75"/>
      <c r="DK415" s="76"/>
    </row>
    <row r="416" spans="63:115" x14ac:dyDescent="0.25">
      <c r="BK416" s="75"/>
      <c r="BL416" s="75"/>
      <c r="BM416" s="75"/>
      <c r="BN416" s="73"/>
      <c r="BO416" s="75"/>
      <c r="BP416" s="75"/>
      <c r="BQ416" s="75"/>
      <c r="BR416" s="75"/>
      <c r="BS416" s="75"/>
      <c r="BT416" s="75"/>
      <c r="BU416" s="75"/>
      <c r="BV416" s="75"/>
      <c r="BW416" s="75"/>
      <c r="BX416" s="75"/>
      <c r="BY416" s="75"/>
      <c r="BZ416" s="75"/>
      <c r="CA416" s="73"/>
      <c r="CB416" s="75"/>
      <c r="CC416" s="75"/>
      <c r="CD416" s="75"/>
      <c r="CE416" s="73"/>
      <c r="CF416" s="75"/>
      <c r="CG416" s="75"/>
      <c r="CH416" s="75"/>
      <c r="CI416" s="73"/>
      <c r="CJ416" s="75"/>
      <c r="CK416" s="75"/>
      <c r="CL416" s="75"/>
      <c r="CM416" s="73"/>
      <c r="CN416" s="75"/>
      <c r="CO416" s="75"/>
      <c r="CP416" s="75"/>
      <c r="CQ416" s="73"/>
      <c r="CR416" s="75"/>
      <c r="CS416" s="75"/>
      <c r="CT416" s="75"/>
      <c r="CU416" s="73"/>
      <c r="CV416" s="75"/>
      <c r="CW416" s="75"/>
      <c r="CX416" s="75"/>
      <c r="CY416" s="73"/>
      <c r="CZ416" s="75"/>
      <c r="DA416" s="75"/>
      <c r="DB416" s="75"/>
      <c r="DC416" s="73"/>
      <c r="DD416" s="75"/>
      <c r="DE416" s="75"/>
      <c r="DF416" s="75"/>
      <c r="DG416" s="73"/>
      <c r="DH416" s="75"/>
      <c r="DI416" s="75"/>
      <c r="DJ416" s="75"/>
      <c r="DK416" s="76"/>
    </row>
    <row r="417" spans="63:115" x14ac:dyDescent="0.25">
      <c r="BK417" s="75"/>
      <c r="BL417" s="75"/>
      <c r="BM417" s="75"/>
      <c r="BN417" s="73"/>
      <c r="BO417" s="75"/>
      <c r="BP417" s="75"/>
      <c r="BQ417" s="75"/>
      <c r="BR417" s="75"/>
      <c r="BS417" s="75"/>
      <c r="BT417" s="75"/>
      <c r="BU417" s="75"/>
      <c r="BV417" s="75"/>
      <c r="BW417" s="75"/>
      <c r="BX417" s="75"/>
      <c r="BY417" s="75"/>
      <c r="BZ417" s="75"/>
      <c r="CA417" s="73"/>
      <c r="CB417" s="75"/>
      <c r="CC417" s="75"/>
      <c r="CD417" s="75"/>
      <c r="CE417" s="73"/>
      <c r="CF417" s="75"/>
      <c r="CG417" s="75"/>
      <c r="CH417" s="75"/>
      <c r="CI417" s="73"/>
      <c r="CJ417" s="75"/>
      <c r="CK417" s="75"/>
      <c r="CL417" s="75"/>
      <c r="CM417" s="73"/>
      <c r="CN417" s="75"/>
      <c r="CO417" s="75"/>
      <c r="CP417" s="75"/>
      <c r="CQ417" s="73"/>
      <c r="CR417" s="75"/>
      <c r="CS417" s="75"/>
      <c r="CT417" s="75"/>
      <c r="CU417" s="73"/>
      <c r="CV417" s="75"/>
      <c r="CW417" s="75"/>
      <c r="CX417" s="75"/>
      <c r="CY417" s="73"/>
      <c r="CZ417" s="75"/>
      <c r="DA417" s="75"/>
      <c r="DB417" s="75"/>
      <c r="DC417" s="73"/>
      <c r="DD417" s="75"/>
      <c r="DE417" s="75"/>
      <c r="DF417" s="75"/>
      <c r="DG417" s="73"/>
      <c r="DH417" s="75"/>
      <c r="DI417" s="75"/>
      <c r="DJ417" s="75"/>
      <c r="DK417" s="76"/>
    </row>
    <row r="418" spans="63:115" x14ac:dyDescent="0.25">
      <c r="BK418" s="75"/>
      <c r="BL418" s="75"/>
      <c r="BM418" s="75"/>
      <c r="BN418" s="73"/>
      <c r="BO418" s="75"/>
      <c r="BP418" s="75"/>
      <c r="BQ418" s="75"/>
      <c r="BR418" s="75"/>
      <c r="BS418" s="75"/>
      <c r="BT418" s="75"/>
      <c r="BU418" s="75"/>
      <c r="BV418" s="75"/>
      <c r="BW418" s="75"/>
      <c r="BX418" s="75"/>
      <c r="BY418" s="75"/>
      <c r="BZ418" s="75"/>
      <c r="CA418" s="73"/>
      <c r="CB418" s="75"/>
      <c r="CC418" s="75"/>
      <c r="CD418" s="75"/>
      <c r="CE418" s="73"/>
      <c r="CF418" s="75"/>
      <c r="CG418" s="75"/>
      <c r="CH418" s="75"/>
      <c r="CI418" s="73"/>
      <c r="CJ418" s="75"/>
      <c r="CK418" s="75"/>
      <c r="CL418" s="75"/>
      <c r="CM418" s="73"/>
      <c r="CN418" s="75"/>
      <c r="CO418" s="75"/>
      <c r="CP418" s="75"/>
      <c r="CQ418" s="73"/>
      <c r="CR418" s="75"/>
      <c r="CS418" s="75"/>
      <c r="CT418" s="75"/>
      <c r="CU418" s="73"/>
      <c r="CV418" s="75"/>
      <c r="CW418" s="75"/>
      <c r="CX418" s="75"/>
      <c r="CY418" s="73"/>
      <c r="CZ418" s="75"/>
      <c r="DA418" s="75"/>
      <c r="DB418" s="75"/>
      <c r="DC418" s="73"/>
      <c r="DD418" s="75"/>
      <c r="DE418" s="75"/>
      <c r="DF418" s="75"/>
      <c r="DG418" s="73"/>
      <c r="DH418" s="75"/>
      <c r="DI418" s="75"/>
      <c r="DJ418" s="75"/>
      <c r="DK418" s="76"/>
    </row>
    <row r="419" spans="63:115" x14ac:dyDescent="0.25">
      <c r="BK419" s="75"/>
      <c r="BL419" s="75"/>
      <c r="BM419" s="75"/>
      <c r="BN419" s="73"/>
      <c r="BO419" s="75"/>
      <c r="BP419" s="75"/>
      <c r="BQ419" s="75"/>
      <c r="BR419" s="75"/>
      <c r="BS419" s="75"/>
      <c r="BT419" s="75"/>
      <c r="BU419" s="75"/>
      <c r="BV419" s="75"/>
      <c r="BW419" s="75"/>
      <c r="BX419" s="75"/>
      <c r="BY419" s="75"/>
      <c r="BZ419" s="75"/>
      <c r="CA419" s="73"/>
      <c r="CB419" s="75"/>
      <c r="CC419" s="75"/>
      <c r="CD419" s="75"/>
      <c r="CE419" s="73"/>
      <c r="CF419" s="75"/>
      <c r="CG419" s="75"/>
      <c r="CH419" s="75"/>
      <c r="CI419" s="73"/>
      <c r="CJ419" s="75"/>
      <c r="CK419" s="75"/>
      <c r="CL419" s="75"/>
      <c r="CM419" s="73"/>
      <c r="CN419" s="75"/>
      <c r="CO419" s="75"/>
      <c r="CP419" s="75"/>
      <c r="CQ419" s="73"/>
      <c r="CR419" s="75"/>
      <c r="CS419" s="75"/>
      <c r="CT419" s="75"/>
      <c r="CU419" s="73"/>
      <c r="CV419" s="75"/>
      <c r="CW419" s="75"/>
      <c r="CX419" s="75"/>
      <c r="CY419" s="73"/>
      <c r="CZ419" s="75"/>
      <c r="DA419" s="75"/>
      <c r="DB419" s="75"/>
      <c r="DC419" s="73"/>
      <c r="DD419" s="75"/>
      <c r="DE419" s="75"/>
      <c r="DF419" s="75"/>
      <c r="DG419" s="73"/>
      <c r="DH419" s="75"/>
      <c r="DI419" s="75"/>
      <c r="DJ419" s="75"/>
      <c r="DK419" s="76"/>
    </row>
    <row r="420" spans="63:115" x14ac:dyDescent="0.25">
      <c r="BK420" s="75"/>
      <c r="BL420" s="75"/>
      <c r="BM420" s="75"/>
      <c r="BN420" s="73"/>
      <c r="BO420" s="75"/>
      <c r="BP420" s="75"/>
      <c r="BQ420" s="75"/>
      <c r="BR420" s="75"/>
      <c r="BS420" s="75"/>
      <c r="BT420" s="75"/>
      <c r="BU420" s="75"/>
      <c r="BV420" s="75"/>
      <c r="BW420" s="75"/>
      <c r="BX420" s="75"/>
      <c r="BY420" s="75"/>
      <c r="BZ420" s="75"/>
      <c r="CA420" s="73"/>
      <c r="CB420" s="75"/>
      <c r="CC420" s="75"/>
      <c r="CD420" s="75"/>
      <c r="CE420" s="73"/>
      <c r="CF420" s="75"/>
      <c r="CG420" s="75"/>
      <c r="CH420" s="75"/>
      <c r="CI420" s="73"/>
      <c r="CJ420" s="75"/>
      <c r="CK420" s="75"/>
      <c r="CL420" s="75"/>
      <c r="CM420" s="73"/>
      <c r="CN420" s="75"/>
      <c r="CO420" s="75"/>
      <c r="CP420" s="75"/>
      <c r="CQ420" s="73"/>
      <c r="CR420" s="75"/>
      <c r="CS420" s="75"/>
      <c r="CT420" s="75"/>
      <c r="CU420" s="73"/>
      <c r="CV420" s="75"/>
      <c r="CW420" s="75"/>
      <c r="CX420" s="75"/>
      <c r="CY420" s="73"/>
      <c r="CZ420" s="75"/>
      <c r="DA420" s="75"/>
      <c r="DB420" s="75"/>
      <c r="DC420" s="73"/>
      <c r="DD420" s="75"/>
      <c r="DE420" s="75"/>
      <c r="DF420" s="75"/>
      <c r="DG420" s="73"/>
      <c r="DH420" s="75"/>
      <c r="DI420" s="75"/>
      <c r="DJ420" s="75"/>
      <c r="DK420" s="76"/>
    </row>
    <row r="421" spans="63:115" x14ac:dyDescent="0.25">
      <c r="BK421" s="75"/>
      <c r="BL421" s="75"/>
      <c r="BM421" s="75"/>
      <c r="BN421" s="73"/>
      <c r="BO421" s="75"/>
      <c r="BP421" s="75"/>
      <c r="BQ421" s="75"/>
      <c r="BR421" s="75"/>
      <c r="BS421" s="75"/>
      <c r="BT421" s="75"/>
      <c r="BU421" s="75"/>
      <c r="BV421" s="75"/>
      <c r="BW421" s="75"/>
      <c r="BX421" s="75"/>
      <c r="BY421" s="75"/>
      <c r="BZ421" s="75"/>
      <c r="CA421" s="73"/>
      <c r="CB421" s="75"/>
      <c r="CC421" s="75"/>
      <c r="CD421" s="75"/>
      <c r="CE421" s="73"/>
      <c r="CF421" s="75"/>
      <c r="CG421" s="75"/>
      <c r="CH421" s="75"/>
      <c r="CI421" s="73"/>
      <c r="CJ421" s="75"/>
      <c r="CK421" s="75"/>
      <c r="CL421" s="75"/>
      <c r="CM421" s="73"/>
      <c r="CN421" s="75"/>
      <c r="CO421" s="75"/>
      <c r="CP421" s="75"/>
      <c r="CQ421" s="73"/>
      <c r="CR421" s="75"/>
      <c r="CS421" s="75"/>
      <c r="CT421" s="75"/>
      <c r="CU421" s="73"/>
      <c r="CV421" s="75"/>
      <c r="CW421" s="75"/>
      <c r="CX421" s="75"/>
      <c r="CY421" s="73"/>
      <c r="CZ421" s="75"/>
      <c r="DA421" s="75"/>
      <c r="DB421" s="75"/>
      <c r="DC421" s="73"/>
      <c r="DD421" s="75"/>
      <c r="DE421" s="75"/>
      <c r="DF421" s="75"/>
      <c r="DG421" s="73"/>
      <c r="DH421" s="75"/>
      <c r="DI421" s="75"/>
      <c r="DJ421" s="75"/>
      <c r="DK421" s="76"/>
    </row>
    <row r="422" spans="63:115" x14ac:dyDescent="0.25">
      <c r="BK422" s="75"/>
      <c r="BL422" s="75"/>
      <c r="BM422" s="75"/>
      <c r="BN422" s="73"/>
      <c r="BO422" s="75"/>
      <c r="BP422" s="75"/>
      <c r="BQ422" s="75"/>
      <c r="BR422" s="75"/>
      <c r="BS422" s="75"/>
      <c r="BT422" s="75"/>
      <c r="BU422" s="75"/>
      <c r="BV422" s="75"/>
      <c r="BW422" s="75"/>
      <c r="BX422" s="75"/>
      <c r="BY422" s="75"/>
      <c r="BZ422" s="75"/>
      <c r="CA422" s="73"/>
      <c r="CB422" s="75"/>
      <c r="CC422" s="75"/>
      <c r="CD422" s="75"/>
      <c r="CE422" s="73"/>
      <c r="CF422" s="75"/>
      <c r="CG422" s="75"/>
      <c r="CH422" s="75"/>
      <c r="CI422" s="73"/>
      <c r="CJ422" s="75"/>
      <c r="CK422" s="75"/>
      <c r="CL422" s="75"/>
      <c r="CM422" s="73"/>
      <c r="CN422" s="75"/>
      <c r="CO422" s="75"/>
      <c r="CP422" s="75"/>
      <c r="CQ422" s="73"/>
      <c r="CR422" s="75"/>
      <c r="CS422" s="75"/>
      <c r="CT422" s="75"/>
      <c r="CU422" s="73"/>
      <c r="CV422" s="75"/>
      <c r="CW422" s="75"/>
      <c r="CX422" s="75"/>
      <c r="CY422" s="73"/>
      <c r="CZ422" s="75"/>
      <c r="DA422" s="75"/>
      <c r="DB422" s="75"/>
      <c r="DC422" s="73"/>
      <c r="DD422" s="75"/>
      <c r="DE422" s="75"/>
      <c r="DF422" s="75"/>
      <c r="DG422" s="73"/>
      <c r="DH422" s="75"/>
      <c r="DI422" s="75"/>
      <c r="DJ422" s="75"/>
      <c r="DK422" s="76"/>
    </row>
    <row r="423" spans="63:115" x14ac:dyDescent="0.25">
      <c r="BK423" s="75"/>
      <c r="BL423" s="75"/>
      <c r="BM423" s="75"/>
      <c r="BN423" s="73"/>
      <c r="BO423" s="75"/>
      <c r="BP423" s="75"/>
      <c r="BQ423" s="75"/>
      <c r="BR423" s="75"/>
      <c r="BS423" s="75"/>
      <c r="BT423" s="75"/>
      <c r="BU423" s="75"/>
      <c r="BV423" s="75"/>
      <c r="BW423" s="75"/>
      <c r="BX423" s="75"/>
      <c r="BY423" s="75"/>
      <c r="BZ423" s="75"/>
      <c r="CA423" s="73"/>
      <c r="CB423" s="75"/>
      <c r="CC423" s="75"/>
      <c r="CD423" s="75"/>
      <c r="CE423" s="73"/>
      <c r="CF423" s="75"/>
      <c r="CG423" s="75"/>
      <c r="CH423" s="75"/>
      <c r="CI423" s="73"/>
      <c r="CJ423" s="75"/>
      <c r="CK423" s="75"/>
      <c r="CL423" s="75"/>
      <c r="CM423" s="73"/>
      <c r="CN423" s="75"/>
      <c r="CO423" s="75"/>
      <c r="CP423" s="75"/>
      <c r="CQ423" s="73"/>
      <c r="CR423" s="75"/>
      <c r="CS423" s="75"/>
      <c r="CT423" s="75"/>
      <c r="CU423" s="73"/>
      <c r="CV423" s="75"/>
      <c r="CW423" s="75"/>
      <c r="CX423" s="75"/>
      <c r="CY423" s="73"/>
      <c r="CZ423" s="75"/>
      <c r="DA423" s="75"/>
      <c r="DB423" s="75"/>
      <c r="DC423" s="73"/>
      <c r="DD423" s="75"/>
      <c r="DE423" s="75"/>
      <c r="DF423" s="75"/>
      <c r="DG423" s="73"/>
      <c r="DH423" s="75"/>
      <c r="DI423" s="75"/>
      <c r="DJ423" s="75"/>
      <c r="DK423" s="76"/>
    </row>
    <row r="424" spans="63:115" x14ac:dyDescent="0.25">
      <c r="BK424" s="75"/>
      <c r="BL424" s="75"/>
      <c r="BM424" s="75"/>
      <c r="BN424" s="73"/>
      <c r="BO424" s="75"/>
      <c r="BP424" s="75"/>
      <c r="BQ424" s="75"/>
      <c r="BR424" s="75"/>
      <c r="BS424" s="75"/>
      <c r="BT424" s="75"/>
      <c r="BU424" s="75"/>
      <c r="BV424" s="75"/>
      <c r="BW424" s="75"/>
      <c r="BX424" s="75"/>
      <c r="BY424" s="75"/>
      <c r="BZ424" s="75"/>
      <c r="CA424" s="73"/>
      <c r="CB424" s="75"/>
      <c r="CC424" s="75"/>
      <c r="CD424" s="75"/>
      <c r="CE424" s="73"/>
      <c r="CF424" s="75"/>
      <c r="CG424" s="75"/>
      <c r="CH424" s="75"/>
      <c r="CI424" s="73"/>
      <c r="CJ424" s="75"/>
      <c r="CK424" s="75"/>
      <c r="CL424" s="75"/>
      <c r="CM424" s="73"/>
      <c r="CN424" s="75"/>
      <c r="CO424" s="75"/>
      <c r="CP424" s="75"/>
      <c r="CQ424" s="73"/>
      <c r="CR424" s="75"/>
      <c r="CS424" s="75"/>
      <c r="CT424" s="75"/>
      <c r="CU424" s="73"/>
      <c r="CV424" s="75"/>
      <c r="CW424" s="75"/>
      <c r="CX424" s="75"/>
      <c r="CY424" s="73"/>
      <c r="CZ424" s="75"/>
      <c r="DA424" s="75"/>
      <c r="DB424" s="75"/>
      <c r="DC424" s="73"/>
      <c r="DD424" s="75"/>
      <c r="DE424" s="75"/>
      <c r="DF424" s="75"/>
      <c r="DG424" s="73"/>
      <c r="DH424" s="75"/>
      <c r="DI424" s="75"/>
      <c r="DJ424" s="75"/>
      <c r="DK424" s="76"/>
    </row>
    <row r="425" spans="63:115" x14ac:dyDescent="0.25">
      <c r="BK425" s="75"/>
      <c r="BL425" s="75"/>
      <c r="BM425" s="75"/>
      <c r="BN425" s="73"/>
      <c r="BO425" s="75"/>
      <c r="BP425" s="75"/>
      <c r="BQ425" s="75"/>
      <c r="BR425" s="75"/>
      <c r="BS425" s="75"/>
      <c r="BT425" s="75"/>
      <c r="BU425" s="75"/>
      <c r="BV425" s="75"/>
      <c r="BW425" s="75"/>
      <c r="BX425" s="75"/>
      <c r="BY425" s="75"/>
      <c r="BZ425" s="75"/>
      <c r="CA425" s="73"/>
      <c r="CB425" s="75"/>
      <c r="CC425" s="75"/>
      <c r="CD425" s="75"/>
      <c r="CE425" s="73"/>
      <c r="CF425" s="75"/>
      <c r="CG425" s="75"/>
      <c r="CH425" s="75"/>
      <c r="CI425" s="73"/>
      <c r="CJ425" s="75"/>
      <c r="CK425" s="75"/>
      <c r="CL425" s="75"/>
      <c r="CM425" s="73"/>
      <c r="CN425" s="75"/>
      <c r="CO425" s="75"/>
      <c r="CP425" s="75"/>
      <c r="CQ425" s="73"/>
      <c r="CR425" s="75"/>
      <c r="CS425" s="75"/>
      <c r="CT425" s="75"/>
      <c r="CU425" s="73"/>
      <c r="CV425" s="75"/>
      <c r="CW425" s="75"/>
      <c r="CX425" s="75"/>
      <c r="CY425" s="73"/>
      <c r="CZ425" s="75"/>
      <c r="DA425" s="75"/>
      <c r="DB425" s="75"/>
      <c r="DC425" s="73"/>
      <c r="DD425" s="75"/>
      <c r="DE425" s="75"/>
      <c r="DF425" s="75"/>
      <c r="DG425" s="73"/>
      <c r="DH425" s="75"/>
      <c r="DI425" s="75"/>
      <c r="DJ425" s="75"/>
      <c r="DK425" s="76"/>
    </row>
    <row r="426" spans="63:115" x14ac:dyDescent="0.25">
      <c r="BK426" s="75"/>
      <c r="BL426" s="75"/>
      <c r="BM426" s="75"/>
      <c r="BN426" s="73"/>
      <c r="BO426" s="75"/>
      <c r="BP426" s="75"/>
      <c r="BQ426" s="75"/>
      <c r="BR426" s="75"/>
      <c r="BS426" s="75"/>
      <c r="BT426" s="75"/>
      <c r="BU426" s="75"/>
      <c r="BV426" s="75"/>
      <c r="BW426" s="75"/>
      <c r="BX426" s="75"/>
      <c r="BY426" s="75"/>
      <c r="BZ426" s="75"/>
      <c r="CA426" s="73"/>
      <c r="CB426" s="75"/>
      <c r="CC426" s="75"/>
      <c r="CD426" s="75"/>
      <c r="CE426" s="73"/>
      <c r="CF426" s="75"/>
      <c r="CG426" s="75"/>
      <c r="CH426" s="75"/>
      <c r="CI426" s="73"/>
      <c r="CJ426" s="75"/>
      <c r="CK426" s="75"/>
      <c r="CL426" s="75"/>
      <c r="CM426" s="73"/>
      <c r="CN426" s="75"/>
      <c r="CO426" s="75"/>
      <c r="CP426" s="75"/>
      <c r="CQ426" s="73"/>
      <c r="CR426" s="75"/>
      <c r="CS426" s="75"/>
      <c r="CT426" s="75"/>
      <c r="CU426" s="73"/>
      <c r="CV426" s="75"/>
      <c r="CW426" s="75"/>
      <c r="CX426" s="75"/>
      <c r="CY426" s="73"/>
      <c r="CZ426" s="75"/>
      <c r="DA426" s="75"/>
      <c r="DB426" s="75"/>
      <c r="DC426" s="73"/>
      <c r="DD426" s="75"/>
      <c r="DE426" s="75"/>
      <c r="DF426" s="75"/>
      <c r="DG426" s="73"/>
      <c r="DH426" s="75"/>
      <c r="DI426" s="75"/>
      <c r="DJ426" s="75"/>
      <c r="DK426" s="76"/>
    </row>
    <row r="427" spans="63:115" x14ac:dyDescent="0.25">
      <c r="BK427" s="75"/>
      <c r="BL427" s="75"/>
      <c r="BM427" s="75"/>
      <c r="BN427" s="73"/>
      <c r="BO427" s="75"/>
      <c r="BP427" s="75"/>
      <c r="BQ427" s="75"/>
      <c r="BR427" s="75"/>
      <c r="BS427" s="75"/>
      <c r="BT427" s="75"/>
      <c r="BU427" s="75"/>
      <c r="BV427" s="75"/>
      <c r="BW427" s="75"/>
      <c r="BX427" s="75"/>
      <c r="BY427" s="75"/>
      <c r="BZ427" s="75"/>
      <c r="CA427" s="73"/>
      <c r="CB427" s="75"/>
      <c r="CC427" s="75"/>
      <c r="CD427" s="75"/>
      <c r="CE427" s="73"/>
      <c r="CF427" s="75"/>
      <c r="CG427" s="75"/>
      <c r="CH427" s="75"/>
      <c r="CI427" s="73"/>
      <c r="CJ427" s="75"/>
      <c r="CK427" s="75"/>
      <c r="CL427" s="75"/>
      <c r="CM427" s="73"/>
      <c r="CN427" s="75"/>
      <c r="CO427" s="75"/>
      <c r="CP427" s="75"/>
      <c r="CQ427" s="73"/>
      <c r="CR427" s="75"/>
      <c r="CS427" s="75"/>
      <c r="CT427" s="75"/>
      <c r="CU427" s="73"/>
      <c r="CV427" s="75"/>
      <c r="CW427" s="75"/>
      <c r="CX427" s="75"/>
      <c r="CY427" s="73"/>
      <c r="CZ427" s="75"/>
      <c r="DA427" s="75"/>
      <c r="DB427" s="75"/>
      <c r="DC427" s="73"/>
      <c r="DD427" s="75"/>
      <c r="DE427" s="75"/>
      <c r="DF427" s="75"/>
      <c r="DG427" s="73"/>
      <c r="DH427" s="75"/>
      <c r="DI427" s="75"/>
      <c r="DJ427" s="75"/>
      <c r="DK427" s="76"/>
    </row>
    <row r="428" spans="63:115" x14ac:dyDescent="0.25">
      <c r="BK428" s="75"/>
      <c r="BL428" s="75"/>
      <c r="BM428" s="75"/>
      <c r="BN428" s="73"/>
      <c r="BO428" s="75"/>
      <c r="BP428" s="75"/>
      <c r="BQ428" s="75"/>
      <c r="BR428" s="75"/>
      <c r="BS428" s="75"/>
      <c r="BT428" s="75"/>
      <c r="BU428" s="75"/>
      <c r="BV428" s="75"/>
      <c r="BW428" s="75"/>
      <c r="BX428" s="75"/>
      <c r="BY428" s="75"/>
      <c r="BZ428" s="75"/>
      <c r="CA428" s="73"/>
      <c r="CB428" s="75"/>
      <c r="CC428" s="75"/>
      <c r="CD428" s="75"/>
      <c r="CE428" s="73"/>
      <c r="CF428" s="75"/>
      <c r="CG428" s="75"/>
      <c r="CH428" s="75"/>
      <c r="CI428" s="73"/>
      <c r="CJ428" s="75"/>
      <c r="CK428" s="75"/>
      <c r="CL428" s="75"/>
      <c r="CM428" s="73"/>
      <c r="CN428" s="75"/>
      <c r="CO428" s="75"/>
      <c r="CP428" s="75"/>
      <c r="CQ428" s="73"/>
      <c r="CR428" s="75"/>
      <c r="CS428" s="75"/>
      <c r="CT428" s="75"/>
      <c r="CU428" s="73"/>
      <c r="CV428" s="75"/>
      <c r="CW428" s="75"/>
      <c r="CX428" s="75"/>
      <c r="CY428" s="73"/>
      <c r="CZ428" s="75"/>
      <c r="DA428" s="75"/>
      <c r="DB428" s="75"/>
      <c r="DC428" s="73"/>
      <c r="DD428" s="75"/>
      <c r="DE428" s="75"/>
      <c r="DF428" s="75"/>
      <c r="DG428" s="73"/>
      <c r="DH428" s="75"/>
      <c r="DI428" s="75"/>
      <c r="DJ428" s="75"/>
      <c r="DK428" s="76"/>
    </row>
    <row r="429" spans="63:115" x14ac:dyDescent="0.25">
      <c r="BK429" s="75"/>
      <c r="BL429" s="75"/>
      <c r="BM429" s="75"/>
      <c r="BN429" s="73"/>
      <c r="BO429" s="75"/>
      <c r="BP429" s="75"/>
      <c r="BQ429" s="75"/>
      <c r="BR429" s="75"/>
      <c r="BS429" s="75"/>
      <c r="BT429" s="75"/>
      <c r="BU429" s="75"/>
      <c r="BV429" s="75"/>
      <c r="BW429" s="75"/>
      <c r="BX429" s="75"/>
      <c r="BY429" s="75"/>
      <c r="BZ429" s="75"/>
      <c r="CA429" s="73"/>
      <c r="CB429" s="75"/>
      <c r="CC429" s="75"/>
      <c r="CD429" s="75"/>
      <c r="CE429" s="73"/>
      <c r="CF429" s="75"/>
      <c r="CG429" s="75"/>
      <c r="CH429" s="75"/>
      <c r="CI429" s="73"/>
      <c r="CJ429" s="75"/>
      <c r="CK429" s="75"/>
      <c r="CL429" s="75"/>
      <c r="CM429" s="73"/>
      <c r="CN429" s="75"/>
      <c r="CO429" s="75"/>
      <c r="CP429" s="75"/>
      <c r="CQ429" s="73"/>
      <c r="CR429" s="75"/>
      <c r="CS429" s="75"/>
      <c r="CT429" s="75"/>
      <c r="CU429" s="73"/>
      <c r="CV429" s="75"/>
      <c r="CW429" s="75"/>
      <c r="CX429" s="75"/>
      <c r="CY429" s="73"/>
      <c r="CZ429" s="75"/>
      <c r="DA429" s="75"/>
      <c r="DB429" s="75"/>
      <c r="DC429" s="73"/>
      <c r="DD429" s="75"/>
      <c r="DE429" s="75"/>
      <c r="DF429" s="75"/>
      <c r="DG429" s="73"/>
      <c r="DH429" s="75"/>
      <c r="DI429" s="75"/>
      <c r="DJ429" s="75"/>
      <c r="DK429" s="76"/>
    </row>
    <row r="430" spans="63:115" x14ac:dyDescent="0.25">
      <c r="BK430" s="75"/>
      <c r="BL430" s="75"/>
      <c r="BM430" s="75"/>
      <c r="BN430" s="73"/>
      <c r="BO430" s="75"/>
      <c r="BP430" s="75"/>
      <c r="BQ430" s="75"/>
      <c r="BR430" s="75"/>
      <c r="BS430" s="75"/>
      <c r="BT430" s="75"/>
      <c r="BU430" s="75"/>
      <c r="BV430" s="75"/>
      <c r="BW430" s="75"/>
      <c r="BX430" s="75"/>
      <c r="BY430" s="75"/>
      <c r="BZ430" s="75"/>
      <c r="CA430" s="73"/>
      <c r="CB430" s="75"/>
      <c r="CC430" s="75"/>
      <c r="CD430" s="75"/>
      <c r="CE430" s="73"/>
      <c r="CF430" s="75"/>
      <c r="CG430" s="75"/>
      <c r="CH430" s="75"/>
      <c r="CI430" s="73"/>
      <c r="CJ430" s="75"/>
      <c r="CK430" s="75"/>
      <c r="CL430" s="75"/>
      <c r="CM430" s="73"/>
      <c r="CN430" s="75"/>
      <c r="CO430" s="75"/>
      <c r="CP430" s="75"/>
      <c r="CQ430" s="73"/>
      <c r="CR430" s="75"/>
      <c r="CS430" s="75"/>
      <c r="CT430" s="75"/>
      <c r="CU430" s="73"/>
      <c r="CV430" s="75"/>
      <c r="CW430" s="75"/>
      <c r="CX430" s="75"/>
      <c r="CY430" s="73"/>
      <c r="CZ430" s="75"/>
      <c r="DA430" s="75"/>
      <c r="DB430" s="75"/>
      <c r="DC430" s="73"/>
      <c r="DD430" s="75"/>
      <c r="DE430" s="75"/>
      <c r="DF430" s="75"/>
      <c r="DG430" s="73"/>
      <c r="DH430" s="75"/>
      <c r="DI430" s="75"/>
      <c r="DJ430" s="75"/>
      <c r="DK430" s="76"/>
    </row>
    <row r="431" spans="63:115" x14ac:dyDescent="0.25">
      <c r="BK431" s="75"/>
      <c r="BL431" s="75"/>
      <c r="BM431" s="75"/>
      <c r="BN431" s="73"/>
      <c r="BO431" s="75"/>
      <c r="BP431" s="75"/>
      <c r="BQ431" s="75"/>
      <c r="BR431" s="75"/>
      <c r="BS431" s="75"/>
      <c r="BT431" s="75"/>
      <c r="BU431" s="75"/>
      <c r="BV431" s="75"/>
      <c r="BW431" s="75"/>
      <c r="BX431" s="75"/>
      <c r="BY431" s="75"/>
      <c r="BZ431" s="75"/>
      <c r="CA431" s="73"/>
      <c r="CB431" s="75"/>
      <c r="CC431" s="75"/>
      <c r="CD431" s="75"/>
      <c r="CE431" s="73"/>
      <c r="CF431" s="75"/>
      <c r="CG431" s="75"/>
      <c r="CH431" s="75"/>
      <c r="CI431" s="73"/>
      <c r="CJ431" s="75"/>
      <c r="CK431" s="75"/>
      <c r="CL431" s="75"/>
      <c r="CM431" s="73"/>
      <c r="CN431" s="75"/>
      <c r="CO431" s="75"/>
      <c r="CP431" s="75"/>
      <c r="CQ431" s="73"/>
      <c r="CR431" s="75"/>
      <c r="CS431" s="75"/>
      <c r="CT431" s="75"/>
      <c r="CU431" s="73"/>
      <c r="CV431" s="75"/>
      <c r="CW431" s="75"/>
      <c r="CX431" s="75"/>
      <c r="CY431" s="73"/>
      <c r="CZ431" s="75"/>
      <c r="DA431" s="75"/>
      <c r="DB431" s="75"/>
      <c r="DC431" s="73"/>
      <c r="DD431" s="75"/>
      <c r="DE431" s="75"/>
      <c r="DF431" s="75"/>
      <c r="DG431" s="73"/>
      <c r="DH431" s="75"/>
      <c r="DI431" s="75"/>
      <c r="DJ431" s="75"/>
      <c r="DK431" s="76"/>
    </row>
    <row r="432" spans="63:115" x14ac:dyDescent="0.25">
      <c r="BK432" s="75"/>
      <c r="BL432" s="75"/>
      <c r="BM432" s="75"/>
      <c r="BN432" s="73"/>
      <c r="BO432" s="75"/>
      <c r="BP432" s="75"/>
      <c r="BQ432" s="75"/>
      <c r="BR432" s="75"/>
      <c r="BS432" s="75"/>
      <c r="BT432" s="75"/>
      <c r="BU432" s="75"/>
      <c r="BV432" s="75"/>
      <c r="BW432" s="75"/>
      <c r="BX432" s="75"/>
      <c r="BY432" s="75"/>
      <c r="BZ432" s="75"/>
      <c r="CA432" s="73"/>
      <c r="CB432" s="75"/>
      <c r="CC432" s="75"/>
      <c r="CD432" s="75"/>
      <c r="CE432" s="73"/>
      <c r="CF432" s="75"/>
      <c r="CG432" s="75"/>
      <c r="CH432" s="75"/>
      <c r="CI432" s="73"/>
      <c r="CJ432" s="75"/>
      <c r="CK432" s="75"/>
      <c r="CL432" s="75"/>
      <c r="CM432" s="73"/>
      <c r="CN432" s="75"/>
      <c r="CO432" s="75"/>
      <c r="CP432" s="75"/>
      <c r="CQ432" s="73"/>
      <c r="CR432" s="75"/>
      <c r="CS432" s="75"/>
      <c r="CT432" s="75"/>
      <c r="CU432" s="73"/>
      <c r="CV432" s="75"/>
      <c r="CW432" s="75"/>
      <c r="CX432" s="75"/>
      <c r="CY432" s="73"/>
      <c r="CZ432" s="75"/>
      <c r="DA432" s="75"/>
      <c r="DB432" s="75"/>
      <c r="DC432" s="73"/>
      <c r="DD432" s="75"/>
      <c r="DE432" s="75"/>
      <c r="DF432" s="75"/>
      <c r="DG432" s="73"/>
      <c r="DH432" s="75"/>
      <c r="DI432" s="75"/>
      <c r="DJ432" s="75"/>
      <c r="DK432" s="76"/>
    </row>
    <row r="433" spans="63:115" x14ac:dyDescent="0.25">
      <c r="BK433" s="75"/>
      <c r="BL433" s="75"/>
      <c r="BM433" s="75"/>
      <c r="BN433" s="73"/>
      <c r="BO433" s="75"/>
      <c r="BP433" s="75"/>
      <c r="BQ433" s="75"/>
      <c r="BR433" s="75"/>
      <c r="BS433" s="75"/>
      <c r="BT433" s="75"/>
      <c r="BU433" s="75"/>
      <c r="BV433" s="75"/>
      <c r="BW433" s="75"/>
      <c r="BX433" s="75"/>
      <c r="BY433" s="75"/>
      <c r="BZ433" s="75"/>
      <c r="CA433" s="73"/>
      <c r="CB433" s="75"/>
      <c r="CC433" s="75"/>
      <c r="CD433" s="75"/>
      <c r="CE433" s="73"/>
      <c r="CF433" s="75"/>
      <c r="CG433" s="75"/>
      <c r="CH433" s="75"/>
      <c r="CI433" s="73"/>
      <c r="CJ433" s="75"/>
      <c r="CK433" s="75"/>
      <c r="CL433" s="75"/>
      <c r="CM433" s="73"/>
      <c r="CN433" s="75"/>
      <c r="CO433" s="75"/>
      <c r="CP433" s="75"/>
      <c r="CQ433" s="73"/>
      <c r="CR433" s="75"/>
      <c r="CS433" s="75"/>
      <c r="CT433" s="75"/>
      <c r="CU433" s="73"/>
      <c r="CV433" s="75"/>
      <c r="CW433" s="75"/>
      <c r="CX433" s="75"/>
      <c r="CY433" s="73"/>
      <c r="CZ433" s="75"/>
      <c r="DA433" s="75"/>
      <c r="DB433" s="75"/>
      <c r="DC433" s="73"/>
      <c r="DD433" s="75"/>
      <c r="DE433" s="75"/>
      <c r="DF433" s="75"/>
      <c r="DG433" s="73"/>
      <c r="DH433" s="75"/>
      <c r="DI433" s="75"/>
      <c r="DJ433" s="75"/>
      <c r="DK433" s="76"/>
    </row>
    <row r="434" spans="63:115" x14ac:dyDescent="0.25">
      <c r="BK434" s="75"/>
      <c r="BL434" s="75"/>
      <c r="BM434" s="75"/>
      <c r="BN434" s="73"/>
      <c r="BO434" s="75"/>
      <c r="BP434" s="75"/>
      <c r="BQ434" s="75"/>
      <c r="BR434" s="75"/>
      <c r="BS434" s="75"/>
      <c r="BT434" s="75"/>
      <c r="BU434" s="75"/>
      <c r="BV434" s="75"/>
      <c r="BW434" s="75"/>
      <c r="BX434" s="75"/>
      <c r="BY434" s="75"/>
      <c r="BZ434" s="75"/>
      <c r="CA434" s="73"/>
      <c r="CB434" s="75"/>
      <c r="CC434" s="75"/>
      <c r="CD434" s="75"/>
      <c r="CE434" s="73"/>
      <c r="CF434" s="75"/>
      <c r="CG434" s="75"/>
      <c r="CH434" s="75"/>
      <c r="CI434" s="73"/>
      <c r="CJ434" s="75"/>
      <c r="CK434" s="75"/>
      <c r="CL434" s="75"/>
      <c r="CM434" s="73"/>
      <c r="CN434" s="75"/>
      <c r="CO434" s="75"/>
      <c r="CP434" s="75"/>
      <c r="CQ434" s="73"/>
      <c r="CR434" s="75"/>
      <c r="CS434" s="75"/>
      <c r="CT434" s="75"/>
      <c r="CU434" s="73"/>
      <c r="CV434" s="75"/>
      <c r="CW434" s="75"/>
      <c r="CX434" s="75"/>
      <c r="CY434" s="73"/>
      <c r="CZ434" s="75"/>
      <c r="DA434" s="75"/>
      <c r="DB434" s="75"/>
      <c r="DC434" s="73"/>
      <c r="DD434" s="75"/>
      <c r="DE434" s="75"/>
      <c r="DF434" s="75"/>
      <c r="DG434" s="73"/>
      <c r="DH434" s="75"/>
      <c r="DI434" s="75"/>
      <c r="DJ434" s="75"/>
      <c r="DK434" s="76"/>
    </row>
    <row r="435" spans="63:115" x14ac:dyDescent="0.25">
      <c r="BK435" s="75"/>
      <c r="BL435" s="75"/>
      <c r="BM435" s="75"/>
      <c r="BN435" s="73"/>
      <c r="BO435" s="75"/>
      <c r="BP435" s="75"/>
      <c r="BQ435" s="75"/>
      <c r="BR435" s="75"/>
      <c r="BS435" s="75"/>
      <c r="BT435" s="75"/>
      <c r="BU435" s="75"/>
      <c r="BV435" s="75"/>
      <c r="BW435" s="75"/>
      <c r="BX435" s="75"/>
      <c r="BY435" s="75"/>
      <c r="BZ435" s="75"/>
      <c r="CA435" s="73"/>
      <c r="CB435" s="75"/>
      <c r="CC435" s="75"/>
      <c r="CD435" s="75"/>
      <c r="CE435" s="73"/>
      <c r="CF435" s="75"/>
      <c r="CG435" s="75"/>
      <c r="CH435" s="75"/>
      <c r="CI435" s="73"/>
      <c r="CJ435" s="75"/>
      <c r="CK435" s="75"/>
      <c r="CL435" s="75"/>
      <c r="CM435" s="73"/>
      <c r="CN435" s="75"/>
      <c r="CO435" s="75"/>
      <c r="CP435" s="75"/>
      <c r="CQ435" s="73"/>
      <c r="CR435" s="75"/>
      <c r="CS435" s="75"/>
      <c r="CT435" s="75"/>
      <c r="CU435" s="73"/>
      <c r="CV435" s="75"/>
      <c r="CW435" s="75"/>
      <c r="CX435" s="75"/>
      <c r="CY435" s="73"/>
      <c r="CZ435" s="75"/>
      <c r="DA435" s="75"/>
      <c r="DB435" s="75"/>
      <c r="DC435" s="73"/>
      <c r="DD435" s="75"/>
      <c r="DE435" s="75"/>
      <c r="DF435" s="75"/>
      <c r="DG435" s="73"/>
      <c r="DH435" s="75"/>
      <c r="DI435" s="75"/>
      <c r="DJ435" s="75"/>
      <c r="DK435" s="76"/>
    </row>
    <row r="436" spans="63:115" x14ac:dyDescent="0.25">
      <c r="BK436" s="75"/>
      <c r="BL436" s="75"/>
      <c r="BM436" s="75"/>
      <c r="BN436" s="73"/>
      <c r="BO436" s="75"/>
      <c r="BP436" s="75"/>
      <c r="BQ436" s="75"/>
      <c r="BR436" s="75"/>
      <c r="BS436" s="75"/>
      <c r="BT436" s="75"/>
      <c r="BU436" s="75"/>
      <c r="BV436" s="75"/>
      <c r="BW436" s="75"/>
      <c r="BX436" s="75"/>
      <c r="BY436" s="75"/>
      <c r="BZ436" s="75"/>
      <c r="CA436" s="73"/>
      <c r="CB436" s="75"/>
      <c r="CC436" s="75"/>
      <c r="CD436" s="75"/>
      <c r="CE436" s="73"/>
      <c r="CF436" s="75"/>
      <c r="CG436" s="75"/>
      <c r="CH436" s="75"/>
      <c r="CI436" s="73"/>
      <c r="CJ436" s="75"/>
      <c r="CK436" s="75"/>
      <c r="CL436" s="75"/>
      <c r="CM436" s="73"/>
      <c r="CN436" s="75"/>
      <c r="CO436" s="75"/>
      <c r="CP436" s="75"/>
      <c r="CQ436" s="73"/>
      <c r="CR436" s="75"/>
      <c r="CS436" s="75"/>
      <c r="CT436" s="75"/>
      <c r="CU436" s="73"/>
      <c r="CV436" s="75"/>
      <c r="CW436" s="75"/>
      <c r="CX436" s="75"/>
      <c r="CY436" s="73"/>
      <c r="CZ436" s="75"/>
      <c r="DA436" s="75"/>
      <c r="DB436" s="75"/>
      <c r="DC436" s="73"/>
      <c r="DD436" s="75"/>
      <c r="DE436" s="75"/>
      <c r="DF436" s="75"/>
      <c r="DG436" s="73"/>
      <c r="DH436" s="75"/>
      <c r="DI436" s="75"/>
      <c r="DJ436" s="75"/>
      <c r="DK436" s="76"/>
    </row>
    <row r="437" spans="63:115" x14ac:dyDescent="0.25">
      <c r="BK437" s="75"/>
      <c r="BL437" s="75"/>
      <c r="BM437" s="75"/>
      <c r="BN437" s="73"/>
      <c r="BO437" s="75"/>
      <c r="BP437" s="75"/>
      <c r="BQ437" s="75"/>
      <c r="BR437" s="75"/>
      <c r="BS437" s="75"/>
      <c r="BT437" s="75"/>
      <c r="BU437" s="75"/>
      <c r="BV437" s="75"/>
      <c r="BW437" s="75"/>
      <c r="BX437" s="75"/>
      <c r="BY437" s="75"/>
      <c r="BZ437" s="75"/>
      <c r="CA437" s="73"/>
      <c r="CB437" s="75"/>
      <c r="CC437" s="75"/>
      <c r="CD437" s="75"/>
      <c r="CE437" s="73"/>
      <c r="CF437" s="75"/>
      <c r="CG437" s="75"/>
      <c r="CH437" s="75"/>
      <c r="CI437" s="73"/>
      <c r="CJ437" s="75"/>
      <c r="CK437" s="75"/>
      <c r="CL437" s="75"/>
      <c r="CM437" s="73"/>
      <c r="CN437" s="75"/>
      <c r="CO437" s="75"/>
      <c r="CP437" s="75"/>
      <c r="CQ437" s="73"/>
      <c r="CR437" s="75"/>
      <c r="CS437" s="75"/>
      <c r="CT437" s="75"/>
      <c r="CU437" s="73"/>
      <c r="CV437" s="75"/>
      <c r="CW437" s="75"/>
      <c r="CX437" s="75"/>
      <c r="CY437" s="73"/>
      <c r="CZ437" s="75"/>
      <c r="DA437" s="75"/>
      <c r="DB437" s="75"/>
      <c r="DC437" s="73"/>
      <c r="DD437" s="75"/>
      <c r="DE437" s="75"/>
      <c r="DF437" s="75"/>
      <c r="DG437" s="73"/>
      <c r="DH437" s="75"/>
      <c r="DI437" s="75"/>
      <c r="DJ437" s="75"/>
      <c r="DK437" s="76"/>
    </row>
    <row r="438" spans="63:115" x14ac:dyDescent="0.25">
      <c r="BK438" s="75"/>
      <c r="BL438" s="75"/>
      <c r="BM438" s="75"/>
      <c r="BN438" s="73"/>
      <c r="BO438" s="75"/>
      <c r="BP438" s="75"/>
      <c r="BQ438" s="75"/>
      <c r="BR438" s="75"/>
      <c r="BS438" s="75"/>
      <c r="BT438" s="75"/>
      <c r="BU438" s="75"/>
      <c r="BV438" s="75"/>
      <c r="BW438" s="75"/>
      <c r="BX438" s="75"/>
      <c r="BY438" s="75"/>
      <c r="BZ438" s="75"/>
      <c r="CA438" s="73"/>
      <c r="CB438" s="75"/>
      <c r="CC438" s="75"/>
      <c r="CD438" s="75"/>
      <c r="CE438" s="73"/>
      <c r="CF438" s="75"/>
      <c r="CG438" s="75"/>
      <c r="CH438" s="75"/>
      <c r="CI438" s="73"/>
      <c r="CJ438" s="75"/>
      <c r="CK438" s="75"/>
      <c r="CL438" s="75"/>
      <c r="CM438" s="73"/>
      <c r="CN438" s="75"/>
      <c r="CO438" s="75"/>
      <c r="CP438" s="75"/>
      <c r="CQ438" s="73"/>
      <c r="CR438" s="75"/>
      <c r="CS438" s="75"/>
      <c r="CT438" s="75"/>
      <c r="CU438" s="73"/>
      <c r="CV438" s="75"/>
      <c r="CW438" s="75"/>
      <c r="CX438" s="75"/>
      <c r="CY438" s="73"/>
      <c r="CZ438" s="75"/>
      <c r="DA438" s="75"/>
      <c r="DB438" s="75"/>
      <c r="DC438" s="73"/>
      <c r="DD438" s="75"/>
      <c r="DE438" s="75"/>
      <c r="DF438" s="75"/>
      <c r="DG438" s="73"/>
      <c r="DH438" s="75"/>
      <c r="DI438" s="75"/>
      <c r="DJ438" s="75"/>
      <c r="DK438" s="76"/>
    </row>
    <row r="439" spans="63:115" x14ac:dyDescent="0.25">
      <c r="BK439" s="75"/>
      <c r="BL439" s="75"/>
      <c r="BM439" s="75"/>
      <c r="BN439" s="73"/>
      <c r="BO439" s="75"/>
      <c r="BP439" s="75"/>
      <c r="BQ439" s="75"/>
      <c r="BR439" s="75"/>
      <c r="BS439" s="75"/>
      <c r="BT439" s="75"/>
      <c r="BU439" s="75"/>
      <c r="BV439" s="75"/>
      <c r="BW439" s="75"/>
      <c r="BX439" s="75"/>
      <c r="BY439" s="75"/>
      <c r="BZ439" s="75"/>
      <c r="CA439" s="73"/>
      <c r="CB439" s="75"/>
      <c r="CC439" s="75"/>
      <c r="CD439" s="75"/>
      <c r="CE439" s="73"/>
      <c r="CF439" s="75"/>
      <c r="CG439" s="75"/>
      <c r="CH439" s="75"/>
      <c r="CI439" s="73"/>
      <c r="CJ439" s="75"/>
      <c r="CK439" s="75"/>
      <c r="CL439" s="75"/>
      <c r="CM439" s="73"/>
      <c r="CN439" s="75"/>
      <c r="CO439" s="75"/>
      <c r="CP439" s="75"/>
      <c r="CQ439" s="73"/>
      <c r="CR439" s="75"/>
      <c r="CS439" s="75"/>
      <c r="CT439" s="75"/>
      <c r="CU439" s="73"/>
      <c r="CV439" s="75"/>
      <c r="CW439" s="75"/>
      <c r="CX439" s="75"/>
      <c r="CY439" s="73"/>
      <c r="CZ439" s="75"/>
      <c r="DA439" s="75"/>
      <c r="DB439" s="75"/>
      <c r="DC439" s="73"/>
      <c r="DD439" s="75"/>
      <c r="DE439" s="75"/>
      <c r="DF439" s="75"/>
      <c r="DG439" s="73"/>
      <c r="DH439" s="75"/>
      <c r="DI439" s="75"/>
      <c r="DJ439" s="75"/>
      <c r="DK439" s="76"/>
    </row>
    <row r="440" spans="63:115" x14ac:dyDescent="0.25">
      <c r="BK440" s="75"/>
      <c r="BL440" s="75"/>
      <c r="BM440" s="75"/>
      <c r="BN440" s="73"/>
      <c r="BO440" s="75"/>
      <c r="BP440" s="75"/>
      <c r="BQ440" s="75"/>
      <c r="BR440" s="75"/>
      <c r="BS440" s="75"/>
      <c r="BT440" s="75"/>
      <c r="BU440" s="75"/>
      <c r="BV440" s="75"/>
      <c r="BW440" s="75"/>
      <c r="BX440" s="75"/>
      <c r="BY440" s="75"/>
      <c r="BZ440" s="75"/>
      <c r="CA440" s="73"/>
      <c r="CB440" s="75"/>
      <c r="CC440" s="75"/>
      <c r="CD440" s="75"/>
      <c r="CE440" s="73"/>
      <c r="CF440" s="75"/>
      <c r="CG440" s="75"/>
      <c r="CH440" s="75"/>
      <c r="CI440" s="73"/>
      <c r="CJ440" s="75"/>
      <c r="CK440" s="75"/>
      <c r="CL440" s="75"/>
      <c r="CM440" s="73"/>
      <c r="CN440" s="75"/>
      <c r="CO440" s="75"/>
      <c r="CP440" s="75"/>
      <c r="CQ440" s="73"/>
      <c r="CR440" s="75"/>
      <c r="CS440" s="75"/>
      <c r="CT440" s="75"/>
      <c r="CU440" s="73"/>
      <c r="CV440" s="75"/>
      <c r="CW440" s="75"/>
      <c r="CX440" s="75"/>
      <c r="CY440" s="73"/>
      <c r="CZ440" s="75"/>
      <c r="DA440" s="75"/>
      <c r="DB440" s="75"/>
      <c r="DC440" s="73"/>
      <c r="DD440" s="75"/>
      <c r="DE440" s="75"/>
      <c r="DF440" s="75"/>
      <c r="DG440" s="73"/>
      <c r="DH440" s="75"/>
      <c r="DI440" s="75"/>
      <c r="DJ440" s="75"/>
      <c r="DK440" s="76"/>
    </row>
    <row r="441" spans="63:115" x14ac:dyDescent="0.25">
      <c r="BK441" s="75"/>
      <c r="BL441" s="75"/>
      <c r="BM441" s="75"/>
      <c r="BN441" s="73"/>
      <c r="BO441" s="75"/>
      <c r="BP441" s="75"/>
      <c r="BQ441" s="75"/>
      <c r="BR441" s="75"/>
      <c r="BS441" s="75"/>
      <c r="BT441" s="75"/>
      <c r="BU441" s="75"/>
      <c r="BV441" s="75"/>
      <c r="BW441" s="75"/>
      <c r="BX441" s="75"/>
      <c r="BY441" s="75"/>
      <c r="BZ441" s="75"/>
      <c r="CA441" s="73"/>
      <c r="CB441" s="75"/>
      <c r="CC441" s="75"/>
      <c r="CD441" s="75"/>
      <c r="CE441" s="73"/>
      <c r="CF441" s="75"/>
      <c r="CG441" s="75"/>
      <c r="CH441" s="75"/>
      <c r="CI441" s="73"/>
      <c r="CJ441" s="75"/>
      <c r="CK441" s="75"/>
      <c r="CL441" s="75"/>
      <c r="CM441" s="73"/>
      <c r="CN441" s="75"/>
      <c r="CO441" s="75"/>
      <c r="CP441" s="75"/>
      <c r="CQ441" s="73"/>
      <c r="CR441" s="75"/>
      <c r="CS441" s="75"/>
      <c r="CT441" s="75"/>
      <c r="CU441" s="73"/>
      <c r="CV441" s="75"/>
      <c r="CW441" s="75"/>
      <c r="CX441" s="75"/>
      <c r="CY441" s="73"/>
      <c r="CZ441" s="75"/>
      <c r="DA441" s="75"/>
      <c r="DB441" s="75"/>
      <c r="DC441" s="73"/>
      <c r="DD441" s="75"/>
      <c r="DE441" s="75"/>
      <c r="DF441" s="75"/>
      <c r="DG441" s="73"/>
      <c r="DH441" s="75"/>
      <c r="DI441" s="75"/>
      <c r="DJ441" s="75"/>
      <c r="DK441" s="76"/>
    </row>
    <row r="442" spans="63:115" x14ac:dyDescent="0.25">
      <c r="BK442" s="75"/>
      <c r="BL442" s="75"/>
      <c r="BM442" s="75"/>
      <c r="BN442" s="73"/>
      <c r="BO442" s="75"/>
      <c r="BP442" s="75"/>
      <c r="BQ442" s="75"/>
      <c r="BR442" s="75"/>
      <c r="BS442" s="75"/>
      <c r="BT442" s="75"/>
      <c r="BU442" s="75"/>
      <c r="BV442" s="75"/>
      <c r="BW442" s="75"/>
      <c r="BX442" s="75"/>
      <c r="BY442" s="75"/>
      <c r="BZ442" s="75"/>
      <c r="CA442" s="73"/>
      <c r="CB442" s="75"/>
      <c r="CC442" s="75"/>
      <c r="CD442" s="75"/>
      <c r="CE442" s="73"/>
      <c r="CF442" s="75"/>
      <c r="CG442" s="75"/>
      <c r="CH442" s="75"/>
      <c r="CI442" s="73"/>
      <c r="CJ442" s="75"/>
      <c r="CK442" s="75"/>
      <c r="CL442" s="75"/>
      <c r="CM442" s="73"/>
      <c r="CN442" s="75"/>
      <c r="CO442" s="75"/>
      <c r="CP442" s="75"/>
      <c r="CQ442" s="73"/>
      <c r="CR442" s="75"/>
      <c r="CS442" s="75"/>
      <c r="CT442" s="75"/>
      <c r="CU442" s="73"/>
      <c r="CV442" s="75"/>
      <c r="CW442" s="75"/>
      <c r="CX442" s="75"/>
      <c r="CY442" s="73"/>
      <c r="CZ442" s="75"/>
      <c r="DA442" s="75"/>
      <c r="DB442" s="75"/>
      <c r="DC442" s="73"/>
      <c r="DD442" s="75"/>
      <c r="DE442" s="75"/>
      <c r="DF442" s="75"/>
      <c r="DG442" s="73"/>
      <c r="DH442" s="75"/>
      <c r="DI442" s="75"/>
      <c r="DJ442" s="75"/>
      <c r="DK442" s="76"/>
    </row>
    <row r="443" spans="63:115" x14ac:dyDescent="0.25">
      <c r="BK443" s="75"/>
      <c r="BL443" s="75"/>
      <c r="BM443" s="75"/>
      <c r="BN443" s="73"/>
      <c r="BO443" s="75"/>
      <c r="BP443" s="75"/>
      <c r="BQ443" s="75"/>
      <c r="BR443" s="75"/>
      <c r="BS443" s="75"/>
      <c r="BT443" s="75"/>
      <c r="BU443" s="75"/>
      <c r="BV443" s="75"/>
      <c r="BW443" s="75"/>
      <c r="BX443" s="75"/>
      <c r="BY443" s="75"/>
      <c r="BZ443" s="75"/>
      <c r="CA443" s="73"/>
      <c r="CB443" s="75"/>
      <c r="CC443" s="75"/>
      <c r="CD443" s="75"/>
      <c r="CE443" s="73"/>
      <c r="CF443" s="75"/>
      <c r="CG443" s="75"/>
      <c r="CH443" s="75"/>
      <c r="CI443" s="73"/>
      <c r="CJ443" s="75"/>
      <c r="CK443" s="75"/>
      <c r="CL443" s="75"/>
      <c r="CM443" s="73"/>
      <c r="CN443" s="75"/>
      <c r="CO443" s="75"/>
      <c r="CP443" s="75"/>
      <c r="CQ443" s="73"/>
      <c r="CR443" s="75"/>
      <c r="CS443" s="75"/>
      <c r="CT443" s="75"/>
      <c r="CU443" s="73"/>
      <c r="CV443" s="75"/>
      <c r="CW443" s="75"/>
      <c r="CX443" s="75"/>
      <c r="CY443" s="73"/>
      <c r="CZ443" s="75"/>
      <c r="DA443" s="75"/>
      <c r="DB443" s="75"/>
      <c r="DC443" s="73"/>
      <c r="DD443" s="75"/>
      <c r="DE443" s="75"/>
      <c r="DF443" s="75"/>
      <c r="DG443" s="73"/>
      <c r="DH443" s="75"/>
      <c r="DI443" s="75"/>
      <c r="DJ443" s="75"/>
      <c r="DK443" s="76"/>
    </row>
    <row r="444" spans="63:115" x14ac:dyDescent="0.25">
      <c r="BK444" s="75"/>
      <c r="BL444" s="75"/>
      <c r="BM444" s="75"/>
      <c r="BN444" s="73"/>
      <c r="BO444" s="75"/>
      <c r="BP444" s="75"/>
      <c r="BQ444" s="75"/>
      <c r="BR444" s="75"/>
      <c r="BS444" s="75"/>
      <c r="BT444" s="75"/>
      <c r="BU444" s="75"/>
      <c r="BV444" s="75"/>
      <c r="BW444" s="75"/>
      <c r="BX444" s="75"/>
      <c r="BY444" s="75"/>
      <c r="BZ444" s="75"/>
      <c r="CA444" s="73"/>
      <c r="CB444" s="75"/>
      <c r="CC444" s="75"/>
      <c r="CD444" s="75"/>
      <c r="CE444" s="73"/>
      <c r="CF444" s="75"/>
      <c r="CG444" s="75"/>
      <c r="CH444" s="75"/>
      <c r="CI444" s="73"/>
      <c r="CJ444" s="75"/>
      <c r="CK444" s="75"/>
      <c r="CL444" s="75"/>
      <c r="CM444" s="73"/>
      <c r="CN444" s="75"/>
      <c r="CO444" s="75"/>
      <c r="CP444" s="75"/>
      <c r="CQ444" s="73"/>
      <c r="CR444" s="75"/>
      <c r="CS444" s="75"/>
      <c r="CT444" s="75"/>
      <c r="CU444" s="73"/>
      <c r="CV444" s="75"/>
      <c r="CW444" s="75"/>
      <c r="CX444" s="75"/>
      <c r="CY444" s="73"/>
      <c r="CZ444" s="75"/>
      <c r="DA444" s="75"/>
      <c r="DB444" s="75"/>
      <c r="DC444" s="73"/>
      <c r="DD444" s="75"/>
      <c r="DE444" s="75"/>
      <c r="DF444" s="75"/>
      <c r="DG444" s="73"/>
      <c r="DH444" s="75"/>
      <c r="DI444" s="75"/>
      <c r="DJ444" s="75"/>
      <c r="DK444" s="76"/>
    </row>
    <row r="445" spans="63:115" x14ac:dyDescent="0.25">
      <c r="BK445" s="75"/>
      <c r="BL445" s="75"/>
      <c r="BM445" s="75"/>
      <c r="BN445" s="73"/>
      <c r="BO445" s="75"/>
      <c r="BP445" s="75"/>
      <c r="BQ445" s="75"/>
      <c r="BR445" s="75"/>
      <c r="BS445" s="75"/>
      <c r="BT445" s="75"/>
      <c r="BU445" s="75"/>
      <c r="BV445" s="75"/>
      <c r="BW445" s="75"/>
      <c r="BX445" s="75"/>
      <c r="BY445" s="75"/>
      <c r="BZ445" s="75"/>
      <c r="CA445" s="73"/>
      <c r="CB445" s="75"/>
      <c r="CC445" s="75"/>
      <c r="CD445" s="75"/>
      <c r="CE445" s="73"/>
      <c r="CF445" s="75"/>
      <c r="CG445" s="75"/>
      <c r="CH445" s="75"/>
      <c r="CI445" s="73"/>
      <c r="CJ445" s="75"/>
      <c r="CK445" s="75"/>
      <c r="CL445" s="75"/>
      <c r="CM445" s="73"/>
      <c r="CN445" s="75"/>
      <c r="CO445" s="75"/>
      <c r="CP445" s="75"/>
      <c r="CQ445" s="73"/>
      <c r="CR445" s="75"/>
      <c r="CS445" s="75"/>
      <c r="CT445" s="75"/>
      <c r="CU445" s="73"/>
      <c r="CV445" s="75"/>
      <c r="CW445" s="75"/>
      <c r="CX445" s="75"/>
      <c r="CY445" s="73"/>
      <c r="CZ445" s="75"/>
      <c r="DA445" s="75"/>
      <c r="DB445" s="75"/>
      <c r="DC445" s="73"/>
      <c r="DD445" s="75"/>
      <c r="DE445" s="75"/>
      <c r="DF445" s="75"/>
      <c r="DG445" s="73"/>
      <c r="DH445" s="75"/>
      <c r="DI445" s="75"/>
      <c r="DJ445" s="75"/>
      <c r="DK445" s="76"/>
    </row>
    <row r="446" spans="63:115" x14ac:dyDescent="0.25">
      <c r="BK446" s="75"/>
      <c r="BL446" s="75"/>
      <c r="BM446" s="75"/>
      <c r="BN446" s="73"/>
      <c r="BO446" s="75"/>
      <c r="BP446" s="75"/>
      <c r="BQ446" s="75"/>
      <c r="BR446" s="75"/>
      <c r="BS446" s="75"/>
      <c r="BT446" s="75"/>
      <c r="BU446" s="75"/>
      <c r="BV446" s="75"/>
      <c r="BW446" s="75"/>
      <c r="BX446" s="75"/>
      <c r="BY446" s="75"/>
      <c r="BZ446" s="75"/>
      <c r="CA446" s="73"/>
      <c r="CB446" s="75"/>
      <c r="CC446" s="75"/>
      <c r="CD446" s="75"/>
      <c r="CE446" s="73"/>
      <c r="CF446" s="75"/>
      <c r="CG446" s="75"/>
      <c r="CH446" s="75"/>
      <c r="CI446" s="73"/>
      <c r="CJ446" s="75"/>
      <c r="CK446" s="75"/>
      <c r="CL446" s="75"/>
      <c r="CM446" s="73"/>
      <c r="CN446" s="75"/>
      <c r="CO446" s="75"/>
      <c r="CP446" s="75"/>
      <c r="CQ446" s="73"/>
      <c r="CR446" s="75"/>
      <c r="CS446" s="75"/>
      <c r="CT446" s="75"/>
      <c r="CU446" s="73"/>
      <c r="CV446" s="75"/>
      <c r="CW446" s="75"/>
      <c r="CX446" s="75"/>
      <c r="CY446" s="73"/>
      <c r="CZ446" s="75"/>
      <c r="DA446" s="75"/>
      <c r="DB446" s="75"/>
      <c r="DC446" s="73"/>
      <c r="DD446" s="75"/>
      <c r="DE446" s="75"/>
      <c r="DF446" s="75"/>
      <c r="DG446" s="73"/>
      <c r="DH446" s="75"/>
      <c r="DI446" s="75"/>
      <c r="DJ446" s="75"/>
      <c r="DK446" s="76"/>
    </row>
    <row r="447" spans="63:115" x14ac:dyDescent="0.25">
      <c r="BK447" s="75"/>
      <c r="BL447" s="75"/>
      <c r="BM447" s="75"/>
      <c r="BN447" s="73"/>
      <c r="BO447" s="75"/>
      <c r="BP447" s="75"/>
      <c r="BQ447" s="75"/>
      <c r="BR447" s="75"/>
      <c r="BS447" s="75"/>
      <c r="BT447" s="75"/>
      <c r="BU447" s="75"/>
      <c r="BV447" s="75"/>
      <c r="BW447" s="75"/>
      <c r="BX447" s="75"/>
      <c r="BY447" s="75"/>
      <c r="BZ447" s="75"/>
      <c r="CA447" s="73"/>
      <c r="CB447" s="75"/>
      <c r="CC447" s="75"/>
      <c r="CD447" s="75"/>
      <c r="CE447" s="73"/>
      <c r="CF447" s="75"/>
      <c r="CG447" s="75"/>
      <c r="CH447" s="75"/>
      <c r="CI447" s="73"/>
      <c r="CJ447" s="75"/>
      <c r="CK447" s="75"/>
      <c r="CL447" s="75"/>
      <c r="CM447" s="73"/>
      <c r="CN447" s="75"/>
      <c r="CO447" s="75"/>
      <c r="CP447" s="75"/>
      <c r="CQ447" s="73"/>
      <c r="CR447" s="75"/>
      <c r="CS447" s="75"/>
      <c r="CT447" s="75"/>
      <c r="CU447" s="73"/>
      <c r="CV447" s="75"/>
      <c r="CW447" s="75"/>
      <c r="CX447" s="75"/>
      <c r="CY447" s="73"/>
      <c r="CZ447" s="75"/>
      <c r="DA447" s="75"/>
      <c r="DB447" s="75"/>
      <c r="DC447" s="73"/>
      <c r="DD447" s="75"/>
      <c r="DE447" s="75"/>
      <c r="DF447" s="75"/>
      <c r="DG447" s="73"/>
      <c r="DH447" s="75"/>
      <c r="DI447" s="75"/>
      <c r="DJ447" s="75"/>
      <c r="DK447" s="76"/>
    </row>
    <row r="448" spans="63:115" x14ac:dyDescent="0.25">
      <c r="BK448" s="75"/>
      <c r="BL448" s="75"/>
      <c r="BM448" s="75"/>
      <c r="BN448" s="73"/>
      <c r="BO448" s="75"/>
      <c r="BP448" s="75"/>
      <c r="BQ448" s="75"/>
      <c r="BR448" s="75"/>
      <c r="BS448" s="75"/>
      <c r="BT448" s="75"/>
      <c r="BU448" s="75"/>
      <c r="BV448" s="75"/>
      <c r="BW448" s="75"/>
      <c r="BX448" s="75"/>
      <c r="BY448" s="75"/>
      <c r="BZ448" s="75"/>
      <c r="CA448" s="73"/>
      <c r="CB448" s="75"/>
      <c r="CC448" s="75"/>
      <c r="CD448" s="75"/>
      <c r="CE448" s="73"/>
      <c r="CF448" s="75"/>
      <c r="CG448" s="75"/>
      <c r="CH448" s="75"/>
      <c r="CI448" s="73"/>
      <c r="CJ448" s="75"/>
      <c r="CK448" s="75"/>
      <c r="CL448" s="75"/>
      <c r="CM448" s="73"/>
      <c r="CN448" s="75"/>
      <c r="CO448" s="75"/>
      <c r="CP448" s="75"/>
      <c r="CQ448" s="73"/>
      <c r="CR448" s="75"/>
      <c r="CS448" s="75"/>
      <c r="CT448" s="75"/>
      <c r="CU448" s="73"/>
      <c r="CV448" s="75"/>
      <c r="CW448" s="75"/>
      <c r="CX448" s="75"/>
      <c r="CY448" s="73"/>
      <c r="CZ448" s="75"/>
      <c r="DA448" s="75"/>
      <c r="DB448" s="75"/>
      <c r="DC448" s="73"/>
      <c r="DD448" s="75"/>
      <c r="DE448" s="75"/>
      <c r="DF448" s="75"/>
      <c r="DG448" s="73"/>
      <c r="DH448" s="75"/>
      <c r="DI448" s="75"/>
      <c r="DJ448" s="75"/>
      <c r="DK448" s="76"/>
    </row>
    <row r="449" spans="63:115" x14ac:dyDescent="0.25">
      <c r="BK449" s="75"/>
      <c r="BL449" s="75"/>
      <c r="BM449" s="75"/>
      <c r="BN449" s="73"/>
      <c r="BO449" s="75"/>
      <c r="BP449" s="75"/>
      <c r="BQ449" s="75"/>
      <c r="BR449" s="75"/>
      <c r="BS449" s="75"/>
      <c r="BT449" s="75"/>
      <c r="BU449" s="75"/>
      <c r="BV449" s="75"/>
      <c r="BW449" s="75"/>
      <c r="BX449" s="75"/>
      <c r="BY449" s="75"/>
      <c r="BZ449" s="75"/>
      <c r="CA449" s="73"/>
      <c r="CB449" s="75"/>
      <c r="CC449" s="75"/>
      <c r="CD449" s="75"/>
      <c r="CE449" s="73"/>
      <c r="CF449" s="75"/>
      <c r="CG449" s="75"/>
      <c r="CH449" s="75"/>
      <c r="CI449" s="73"/>
      <c r="CJ449" s="75"/>
      <c r="CK449" s="75"/>
      <c r="CL449" s="75"/>
      <c r="CM449" s="73"/>
      <c r="CN449" s="75"/>
      <c r="CO449" s="75"/>
      <c r="CP449" s="75"/>
      <c r="CQ449" s="73"/>
      <c r="CR449" s="75"/>
      <c r="CS449" s="75"/>
      <c r="CT449" s="75"/>
      <c r="CU449" s="73"/>
      <c r="CV449" s="75"/>
      <c r="CW449" s="75"/>
      <c r="CX449" s="75"/>
      <c r="CY449" s="73"/>
      <c r="CZ449" s="75"/>
      <c r="DA449" s="75"/>
      <c r="DB449" s="75"/>
      <c r="DC449" s="73"/>
      <c r="DD449" s="75"/>
      <c r="DE449" s="75"/>
      <c r="DF449" s="75"/>
      <c r="DG449" s="73"/>
      <c r="DH449" s="75"/>
      <c r="DI449" s="75"/>
      <c r="DJ449" s="75"/>
      <c r="DK449" s="76"/>
    </row>
    <row r="450" spans="63:115" x14ac:dyDescent="0.25">
      <c r="BK450" s="75"/>
      <c r="BL450" s="75"/>
      <c r="BM450" s="75"/>
      <c r="BN450" s="73"/>
      <c r="BO450" s="75"/>
      <c r="BP450" s="75"/>
      <c r="BQ450" s="75"/>
      <c r="BR450" s="75"/>
      <c r="BS450" s="75"/>
      <c r="BT450" s="75"/>
      <c r="BU450" s="75"/>
      <c r="BV450" s="75"/>
      <c r="BW450" s="75"/>
      <c r="BX450" s="75"/>
      <c r="BY450" s="75"/>
      <c r="BZ450" s="75"/>
      <c r="CA450" s="73"/>
      <c r="CB450" s="75"/>
      <c r="CC450" s="75"/>
      <c r="CD450" s="75"/>
      <c r="CE450" s="73"/>
      <c r="CF450" s="75"/>
      <c r="CG450" s="75"/>
      <c r="CH450" s="75"/>
      <c r="CI450" s="73"/>
      <c r="CJ450" s="75"/>
      <c r="CK450" s="75"/>
      <c r="CL450" s="75"/>
      <c r="CM450" s="73"/>
      <c r="CN450" s="75"/>
      <c r="CO450" s="75"/>
      <c r="CP450" s="75"/>
      <c r="CQ450" s="73"/>
      <c r="CR450" s="75"/>
      <c r="CS450" s="75"/>
      <c r="CT450" s="75"/>
      <c r="CU450" s="73"/>
      <c r="CV450" s="75"/>
      <c r="CW450" s="75"/>
      <c r="CX450" s="75"/>
      <c r="CY450" s="73"/>
      <c r="CZ450" s="75"/>
      <c r="DA450" s="75"/>
      <c r="DB450" s="75"/>
      <c r="DC450" s="73"/>
      <c r="DD450" s="75"/>
      <c r="DE450" s="75"/>
      <c r="DF450" s="75"/>
      <c r="DG450" s="73"/>
      <c r="DH450" s="75"/>
      <c r="DI450" s="75"/>
      <c r="DJ450" s="75"/>
      <c r="DK450" s="76"/>
    </row>
    <row r="451" spans="63:115" x14ac:dyDescent="0.25">
      <c r="BK451" s="75"/>
      <c r="BL451" s="75"/>
      <c r="BM451" s="75"/>
      <c r="BN451" s="73"/>
      <c r="BO451" s="75"/>
      <c r="BP451" s="75"/>
      <c r="BQ451" s="75"/>
      <c r="BR451" s="75"/>
      <c r="BS451" s="75"/>
      <c r="BT451" s="75"/>
      <c r="BU451" s="75"/>
      <c r="BV451" s="75"/>
      <c r="BW451" s="75"/>
      <c r="BX451" s="75"/>
      <c r="BY451" s="75"/>
      <c r="BZ451" s="75"/>
      <c r="CA451" s="73"/>
      <c r="CB451" s="75"/>
      <c r="CC451" s="75"/>
      <c r="CD451" s="75"/>
      <c r="CE451" s="73"/>
      <c r="CF451" s="75"/>
      <c r="CG451" s="75"/>
      <c r="CH451" s="75"/>
      <c r="CI451" s="73"/>
      <c r="CJ451" s="75"/>
      <c r="CK451" s="75"/>
      <c r="CL451" s="75"/>
      <c r="CM451" s="73"/>
      <c r="CN451" s="75"/>
      <c r="CO451" s="75"/>
      <c r="CP451" s="75"/>
      <c r="CQ451" s="73"/>
      <c r="CR451" s="75"/>
      <c r="CS451" s="75"/>
      <c r="CT451" s="75"/>
      <c r="CU451" s="73"/>
      <c r="CV451" s="75"/>
      <c r="CW451" s="75"/>
      <c r="CX451" s="75"/>
      <c r="CY451" s="73"/>
      <c r="CZ451" s="75"/>
      <c r="DA451" s="75"/>
      <c r="DB451" s="75"/>
      <c r="DC451" s="73"/>
      <c r="DD451" s="75"/>
      <c r="DE451" s="75"/>
      <c r="DF451" s="75"/>
      <c r="DG451" s="73"/>
      <c r="DH451" s="75"/>
      <c r="DI451" s="75"/>
      <c r="DJ451" s="75"/>
      <c r="DK451" s="76"/>
    </row>
    <row r="452" spans="63:115" x14ac:dyDescent="0.25">
      <c r="BK452" s="75"/>
      <c r="BL452" s="75"/>
      <c r="BM452" s="75"/>
      <c r="BN452" s="73"/>
      <c r="BO452" s="75"/>
      <c r="BP452" s="75"/>
      <c r="BQ452" s="75"/>
      <c r="BR452" s="75"/>
      <c r="BS452" s="75"/>
      <c r="BT452" s="75"/>
      <c r="BU452" s="75"/>
      <c r="BV452" s="75"/>
      <c r="BW452" s="75"/>
      <c r="BX452" s="75"/>
      <c r="BY452" s="75"/>
      <c r="BZ452" s="75"/>
      <c r="CA452" s="73"/>
      <c r="CB452" s="75"/>
      <c r="CC452" s="75"/>
      <c r="CD452" s="75"/>
      <c r="CE452" s="73"/>
      <c r="CF452" s="75"/>
      <c r="CG452" s="75"/>
      <c r="CH452" s="75"/>
      <c r="CI452" s="73"/>
      <c r="CJ452" s="75"/>
      <c r="CK452" s="75"/>
      <c r="CL452" s="75"/>
      <c r="CM452" s="73"/>
      <c r="CN452" s="75"/>
      <c r="CO452" s="75"/>
      <c r="CP452" s="75"/>
      <c r="CQ452" s="73"/>
      <c r="CR452" s="75"/>
      <c r="CS452" s="75"/>
      <c r="CT452" s="75"/>
      <c r="CU452" s="73"/>
      <c r="CV452" s="75"/>
      <c r="CW452" s="75"/>
      <c r="CX452" s="75"/>
      <c r="CY452" s="73"/>
      <c r="CZ452" s="75"/>
      <c r="DA452" s="75"/>
      <c r="DB452" s="75"/>
      <c r="DC452" s="73"/>
      <c r="DD452" s="75"/>
      <c r="DE452" s="75"/>
      <c r="DF452" s="75"/>
      <c r="DG452" s="73"/>
      <c r="DH452" s="75"/>
      <c r="DI452" s="75"/>
      <c r="DJ452" s="75"/>
      <c r="DK452" s="76"/>
    </row>
    <row r="453" spans="63:115" x14ac:dyDescent="0.25">
      <c r="BK453" s="75"/>
      <c r="BL453" s="75"/>
      <c r="BM453" s="75"/>
      <c r="BN453" s="73"/>
      <c r="BO453" s="75"/>
      <c r="BP453" s="75"/>
      <c r="BQ453" s="75"/>
      <c r="BR453" s="75"/>
      <c r="BS453" s="75"/>
      <c r="BT453" s="75"/>
      <c r="BU453" s="75"/>
      <c r="BV453" s="75"/>
      <c r="BW453" s="75"/>
      <c r="BX453" s="75"/>
      <c r="BY453" s="75"/>
      <c r="BZ453" s="75"/>
      <c r="CA453" s="73"/>
      <c r="CB453" s="75"/>
      <c r="CC453" s="75"/>
      <c r="CD453" s="75"/>
      <c r="CE453" s="73"/>
      <c r="CF453" s="75"/>
      <c r="CG453" s="75"/>
      <c r="CH453" s="75"/>
      <c r="CI453" s="73"/>
      <c r="CJ453" s="75"/>
      <c r="CK453" s="75"/>
      <c r="CL453" s="75"/>
      <c r="CM453" s="73"/>
      <c r="CN453" s="75"/>
      <c r="CO453" s="75"/>
      <c r="CP453" s="75"/>
      <c r="CQ453" s="73"/>
      <c r="CR453" s="75"/>
      <c r="CS453" s="75"/>
      <c r="CT453" s="75"/>
      <c r="CU453" s="73"/>
      <c r="CV453" s="75"/>
      <c r="CW453" s="75"/>
      <c r="CX453" s="75"/>
      <c r="CY453" s="73"/>
      <c r="CZ453" s="75"/>
      <c r="DA453" s="75"/>
      <c r="DB453" s="75"/>
      <c r="DC453" s="73"/>
      <c r="DD453" s="75"/>
      <c r="DE453" s="75"/>
      <c r="DF453" s="75"/>
      <c r="DG453" s="73"/>
      <c r="DH453" s="75"/>
      <c r="DI453" s="75"/>
      <c r="DJ453" s="75"/>
      <c r="DK453" s="76"/>
    </row>
    <row r="454" spans="63:115" x14ac:dyDescent="0.25">
      <c r="BK454" s="75"/>
      <c r="BL454" s="75"/>
      <c r="BM454" s="75"/>
      <c r="BN454" s="73"/>
      <c r="BO454" s="75"/>
      <c r="BP454" s="75"/>
      <c r="BQ454" s="75"/>
      <c r="BR454" s="75"/>
      <c r="BS454" s="75"/>
      <c r="BT454" s="75"/>
      <c r="BU454" s="75"/>
      <c r="BV454" s="75"/>
      <c r="BW454" s="75"/>
      <c r="BX454" s="75"/>
      <c r="BY454" s="75"/>
      <c r="BZ454" s="75"/>
      <c r="CA454" s="73"/>
      <c r="CB454" s="75"/>
      <c r="CC454" s="75"/>
      <c r="CD454" s="75"/>
      <c r="CE454" s="73"/>
      <c r="CF454" s="75"/>
      <c r="CG454" s="75"/>
      <c r="CH454" s="75"/>
      <c r="CI454" s="73"/>
      <c r="CJ454" s="75"/>
      <c r="CK454" s="75"/>
      <c r="CL454" s="75"/>
      <c r="CM454" s="73"/>
      <c r="CN454" s="75"/>
      <c r="CO454" s="75"/>
      <c r="CP454" s="75"/>
      <c r="CQ454" s="73"/>
      <c r="CR454" s="75"/>
      <c r="CS454" s="75"/>
      <c r="CT454" s="75"/>
      <c r="CU454" s="73"/>
      <c r="CV454" s="75"/>
      <c r="CW454" s="75"/>
      <c r="CX454" s="75"/>
      <c r="CY454" s="73"/>
      <c r="CZ454" s="75"/>
      <c r="DA454" s="75"/>
      <c r="DB454" s="75"/>
      <c r="DC454" s="73"/>
      <c r="DD454" s="75"/>
      <c r="DE454" s="75"/>
      <c r="DF454" s="75"/>
      <c r="DG454" s="73"/>
      <c r="DH454" s="75"/>
      <c r="DI454" s="75"/>
      <c r="DJ454" s="75"/>
      <c r="DK454" s="76"/>
    </row>
    <row r="455" spans="63:115" x14ac:dyDescent="0.25">
      <c r="BK455" s="75"/>
      <c r="BL455" s="75"/>
      <c r="BM455" s="75"/>
      <c r="BN455" s="73"/>
      <c r="BO455" s="75"/>
      <c r="BP455" s="75"/>
      <c r="BQ455" s="75"/>
      <c r="BR455" s="75"/>
      <c r="BS455" s="75"/>
      <c r="BT455" s="75"/>
      <c r="BU455" s="75"/>
      <c r="BV455" s="75"/>
      <c r="BW455" s="75"/>
      <c r="BX455" s="75"/>
      <c r="BY455" s="75"/>
      <c r="BZ455" s="75"/>
      <c r="CA455" s="73"/>
      <c r="CB455" s="75"/>
      <c r="CC455" s="75"/>
      <c r="CD455" s="75"/>
      <c r="CE455" s="73"/>
      <c r="CF455" s="75"/>
      <c r="CG455" s="75"/>
      <c r="CH455" s="75"/>
      <c r="CI455" s="73"/>
      <c r="CJ455" s="75"/>
      <c r="CK455" s="75"/>
      <c r="CL455" s="75"/>
      <c r="CM455" s="73"/>
      <c r="CN455" s="75"/>
      <c r="CO455" s="75"/>
      <c r="CP455" s="75"/>
      <c r="CQ455" s="73"/>
      <c r="CR455" s="75"/>
      <c r="CS455" s="75"/>
      <c r="CT455" s="75"/>
      <c r="CU455" s="73"/>
      <c r="CV455" s="75"/>
      <c r="CW455" s="75"/>
      <c r="CX455" s="75"/>
      <c r="CY455" s="73"/>
      <c r="CZ455" s="75"/>
      <c r="DA455" s="75"/>
      <c r="DB455" s="75"/>
      <c r="DC455" s="73"/>
      <c r="DD455" s="75"/>
      <c r="DE455" s="75"/>
      <c r="DF455" s="75"/>
      <c r="DG455" s="73"/>
      <c r="DH455" s="75"/>
      <c r="DI455" s="75"/>
      <c r="DJ455" s="75"/>
      <c r="DK455" s="76"/>
    </row>
    <row r="456" spans="63:115" x14ac:dyDescent="0.25">
      <c r="BK456" s="75"/>
      <c r="BL456" s="75"/>
      <c r="BM456" s="75"/>
      <c r="BN456" s="73"/>
      <c r="BO456" s="75"/>
      <c r="BP456" s="75"/>
      <c r="BQ456" s="75"/>
      <c r="BR456" s="75"/>
      <c r="BS456" s="75"/>
      <c r="BT456" s="75"/>
      <c r="BU456" s="75"/>
      <c r="BV456" s="75"/>
      <c r="BW456" s="75"/>
      <c r="BX456" s="75"/>
      <c r="BY456" s="75"/>
      <c r="BZ456" s="75"/>
      <c r="CA456" s="73"/>
      <c r="CB456" s="75"/>
      <c r="CC456" s="75"/>
      <c r="CD456" s="75"/>
      <c r="CE456" s="73"/>
      <c r="CF456" s="75"/>
      <c r="CG456" s="75"/>
      <c r="CH456" s="75"/>
      <c r="CI456" s="73"/>
      <c r="CJ456" s="75"/>
      <c r="CK456" s="75"/>
      <c r="CL456" s="75"/>
      <c r="CM456" s="73"/>
      <c r="CN456" s="75"/>
      <c r="CO456" s="75"/>
      <c r="CP456" s="75"/>
      <c r="CQ456" s="73"/>
      <c r="CR456" s="75"/>
      <c r="CS456" s="75"/>
      <c r="CT456" s="75"/>
      <c r="CU456" s="73"/>
      <c r="CV456" s="75"/>
      <c r="CW456" s="75"/>
      <c r="CX456" s="75"/>
      <c r="CY456" s="73"/>
      <c r="CZ456" s="75"/>
      <c r="DA456" s="75"/>
      <c r="DB456" s="75"/>
      <c r="DC456" s="73"/>
      <c r="DD456" s="75"/>
      <c r="DE456" s="75"/>
      <c r="DF456" s="75"/>
      <c r="DG456" s="73"/>
      <c r="DH456" s="75"/>
      <c r="DI456" s="75"/>
      <c r="DJ456" s="75"/>
      <c r="DK456" s="76"/>
    </row>
    <row r="457" spans="63:115" x14ac:dyDescent="0.25">
      <c r="BK457" s="75"/>
      <c r="BL457" s="75"/>
      <c r="BM457" s="75"/>
      <c r="BN457" s="73"/>
      <c r="BO457" s="75"/>
      <c r="BP457" s="75"/>
      <c r="BQ457" s="75"/>
      <c r="BR457" s="75"/>
      <c r="BS457" s="75"/>
      <c r="BT457" s="75"/>
      <c r="BU457" s="75"/>
      <c r="BV457" s="75"/>
      <c r="BW457" s="75"/>
      <c r="BX457" s="75"/>
      <c r="BY457" s="75"/>
      <c r="BZ457" s="75"/>
      <c r="CA457" s="73"/>
      <c r="CB457" s="75"/>
      <c r="CC457" s="75"/>
      <c r="CD457" s="75"/>
      <c r="CE457" s="73"/>
      <c r="CF457" s="75"/>
      <c r="CG457" s="75"/>
      <c r="CH457" s="75"/>
      <c r="CI457" s="73"/>
      <c r="CJ457" s="75"/>
      <c r="CK457" s="75"/>
      <c r="CL457" s="75"/>
      <c r="CM457" s="73"/>
      <c r="CN457" s="75"/>
      <c r="CO457" s="75"/>
      <c r="CP457" s="75"/>
      <c r="CQ457" s="73"/>
      <c r="CR457" s="75"/>
      <c r="CS457" s="75"/>
      <c r="CT457" s="75"/>
      <c r="CU457" s="73"/>
      <c r="CV457" s="75"/>
      <c r="CW457" s="75"/>
      <c r="CX457" s="75"/>
      <c r="CY457" s="73"/>
      <c r="CZ457" s="75"/>
      <c r="DA457" s="75"/>
      <c r="DB457" s="75"/>
      <c r="DC457" s="73"/>
      <c r="DD457" s="75"/>
      <c r="DE457" s="75"/>
      <c r="DF457" s="75"/>
      <c r="DG457" s="73"/>
      <c r="DH457" s="75"/>
      <c r="DI457" s="75"/>
      <c r="DJ457" s="75"/>
      <c r="DK457" s="76"/>
    </row>
    <row r="458" spans="63:115" x14ac:dyDescent="0.25">
      <c r="BK458" s="75"/>
      <c r="BL458" s="75"/>
      <c r="BM458" s="75"/>
      <c r="BN458" s="73"/>
      <c r="BO458" s="75"/>
      <c r="BP458" s="75"/>
      <c r="BQ458" s="75"/>
      <c r="BR458" s="75"/>
      <c r="BS458" s="75"/>
      <c r="BT458" s="75"/>
      <c r="BU458" s="75"/>
      <c r="BV458" s="75"/>
      <c r="BW458" s="75"/>
      <c r="BX458" s="75"/>
      <c r="BY458" s="75"/>
      <c r="BZ458" s="75"/>
      <c r="CA458" s="73"/>
      <c r="CB458" s="75"/>
      <c r="CC458" s="75"/>
      <c r="CD458" s="75"/>
      <c r="CE458" s="73"/>
      <c r="CF458" s="75"/>
      <c r="CG458" s="75"/>
      <c r="CH458" s="75"/>
      <c r="CI458" s="73"/>
      <c r="CJ458" s="75"/>
      <c r="CK458" s="75"/>
      <c r="CL458" s="75"/>
      <c r="CM458" s="73"/>
      <c r="CN458" s="75"/>
      <c r="CO458" s="75"/>
      <c r="CP458" s="75"/>
      <c r="CQ458" s="73"/>
      <c r="CR458" s="75"/>
      <c r="CS458" s="75"/>
      <c r="CT458" s="75"/>
      <c r="CU458" s="73"/>
      <c r="CV458" s="75"/>
      <c r="CW458" s="75"/>
      <c r="CX458" s="75"/>
      <c r="CY458" s="73"/>
      <c r="CZ458" s="75"/>
      <c r="DA458" s="75"/>
      <c r="DB458" s="75"/>
      <c r="DC458" s="73"/>
      <c r="DD458" s="75"/>
      <c r="DE458" s="75"/>
      <c r="DF458" s="75"/>
      <c r="DG458" s="73"/>
      <c r="DH458" s="75"/>
      <c r="DI458" s="75"/>
      <c r="DJ458" s="75"/>
      <c r="DK458" s="76"/>
    </row>
    <row r="459" spans="63:115" x14ac:dyDescent="0.25">
      <c r="BK459" s="75"/>
      <c r="BL459" s="75"/>
      <c r="BM459" s="75"/>
      <c r="BN459" s="73"/>
      <c r="BO459" s="75"/>
      <c r="BP459" s="75"/>
      <c r="BQ459" s="75"/>
      <c r="BR459" s="75"/>
      <c r="BS459" s="75"/>
      <c r="BT459" s="75"/>
      <c r="BU459" s="75"/>
      <c r="BV459" s="75"/>
      <c r="BW459" s="75"/>
      <c r="BX459" s="75"/>
      <c r="BY459" s="75"/>
      <c r="BZ459" s="75"/>
      <c r="CA459" s="73"/>
      <c r="CB459" s="75"/>
      <c r="CC459" s="75"/>
      <c r="CD459" s="75"/>
      <c r="CE459" s="73"/>
      <c r="CF459" s="75"/>
      <c r="CG459" s="75"/>
      <c r="CH459" s="75"/>
      <c r="CI459" s="73"/>
      <c r="CJ459" s="75"/>
      <c r="CK459" s="75"/>
      <c r="CL459" s="75"/>
      <c r="CM459" s="73"/>
      <c r="CN459" s="75"/>
      <c r="CO459" s="75"/>
      <c r="CP459" s="75"/>
      <c r="CQ459" s="73"/>
      <c r="CR459" s="75"/>
      <c r="CS459" s="75"/>
      <c r="CT459" s="75"/>
      <c r="CU459" s="73"/>
      <c r="CV459" s="75"/>
      <c r="CW459" s="75"/>
      <c r="CX459" s="75"/>
      <c r="CY459" s="73"/>
      <c r="CZ459" s="75"/>
      <c r="DA459" s="75"/>
      <c r="DB459" s="75"/>
      <c r="DC459" s="73"/>
      <c r="DD459" s="75"/>
      <c r="DE459" s="75"/>
      <c r="DF459" s="75"/>
      <c r="DG459" s="73"/>
      <c r="DH459" s="75"/>
      <c r="DI459" s="75"/>
      <c r="DJ459" s="75"/>
      <c r="DK459" s="76"/>
    </row>
    <row r="460" spans="63:115" x14ac:dyDescent="0.25">
      <c r="BK460" s="75"/>
      <c r="BL460" s="75"/>
      <c r="BM460" s="75"/>
      <c r="BN460" s="73"/>
      <c r="BO460" s="75"/>
      <c r="BP460" s="75"/>
      <c r="BQ460" s="75"/>
      <c r="BR460" s="75"/>
      <c r="BS460" s="75"/>
      <c r="BT460" s="75"/>
      <c r="BU460" s="75"/>
      <c r="BV460" s="75"/>
      <c r="BW460" s="75"/>
      <c r="BX460" s="75"/>
      <c r="BY460" s="75"/>
      <c r="BZ460" s="75"/>
      <c r="CA460" s="73"/>
      <c r="CB460" s="75"/>
      <c r="CC460" s="75"/>
      <c r="CD460" s="75"/>
      <c r="CE460" s="73"/>
      <c r="CF460" s="75"/>
      <c r="CG460" s="75"/>
      <c r="CH460" s="75"/>
      <c r="CI460" s="73"/>
      <c r="CJ460" s="75"/>
      <c r="CK460" s="75"/>
      <c r="CL460" s="75"/>
      <c r="CM460" s="73"/>
      <c r="CN460" s="75"/>
      <c r="CO460" s="75"/>
      <c r="CP460" s="75"/>
      <c r="CQ460" s="73"/>
      <c r="CR460" s="75"/>
      <c r="CS460" s="75"/>
      <c r="CT460" s="75"/>
      <c r="CU460" s="73"/>
      <c r="CV460" s="75"/>
      <c r="CW460" s="75"/>
      <c r="CX460" s="75"/>
      <c r="CY460" s="73"/>
      <c r="CZ460" s="75"/>
      <c r="DA460" s="75"/>
      <c r="DB460" s="75"/>
      <c r="DC460" s="73"/>
      <c r="DD460" s="75"/>
      <c r="DE460" s="75"/>
      <c r="DF460" s="75"/>
      <c r="DG460" s="73"/>
      <c r="DH460" s="75"/>
      <c r="DI460" s="75"/>
      <c r="DJ460" s="75"/>
      <c r="DK460" s="76"/>
    </row>
    <row r="461" spans="63:115" x14ac:dyDescent="0.25">
      <c r="BK461" s="75"/>
      <c r="BL461" s="75"/>
      <c r="BM461" s="75"/>
      <c r="BN461" s="73"/>
      <c r="BO461" s="75"/>
      <c r="BP461" s="75"/>
      <c r="BQ461" s="75"/>
      <c r="BR461" s="75"/>
      <c r="BS461" s="75"/>
      <c r="BT461" s="75"/>
      <c r="BU461" s="75"/>
      <c r="BV461" s="75"/>
      <c r="BW461" s="75"/>
      <c r="BX461" s="75"/>
      <c r="BY461" s="75"/>
      <c r="BZ461" s="75"/>
      <c r="CA461" s="73"/>
      <c r="CB461" s="75"/>
      <c r="CC461" s="75"/>
      <c r="CD461" s="75"/>
      <c r="CE461" s="73"/>
      <c r="CF461" s="75"/>
      <c r="CG461" s="75"/>
      <c r="CH461" s="75"/>
      <c r="CI461" s="73"/>
      <c r="CJ461" s="75"/>
      <c r="CK461" s="75"/>
      <c r="CL461" s="75"/>
      <c r="CM461" s="73"/>
      <c r="CN461" s="75"/>
      <c r="CO461" s="75"/>
      <c r="CP461" s="75"/>
      <c r="CQ461" s="73"/>
      <c r="CR461" s="75"/>
      <c r="CS461" s="75"/>
      <c r="CT461" s="75"/>
      <c r="CU461" s="73"/>
      <c r="CV461" s="75"/>
      <c r="CW461" s="75"/>
      <c r="CX461" s="75"/>
      <c r="CY461" s="73"/>
      <c r="CZ461" s="75"/>
      <c r="DA461" s="75"/>
      <c r="DB461" s="75"/>
      <c r="DC461" s="73"/>
      <c r="DD461" s="75"/>
      <c r="DE461" s="75"/>
      <c r="DF461" s="75"/>
      <c r="DG461" s="73"/>
      <c r="DH461" s="75"/>
      <c r="DI461" s="75"/>
      <c r="DJ461" s="75"/>
      <c r="DK461" s="76"/>
    </row>
    <row r="462" spans="63:115" x14ac:dyDescent="0.25">
      <c r="BK462" s="75"/>
      <c r="BL462" s="75"/>
      <c r="BM462" s="75"/>
      <c r="BN462" s="73"/>
      <c r="BO462" s="75"/>
      <c r="BP462" s="75"/>
      <c r="BQ462" s="75"/>
      <c r="BR462" s="75"/>
      <c r="BS462" s="75"/>
      <c r="BT462" s="75"/>
      <c r="BU462" s="75"/>
      <c r="BV462" s="75"/>
      <c r="BW462" s="75"/>
      <c r="BX462" s="75"/>
      <c r="BY462" s="75"/>
      <c r="BZ462" s="75"/>
      <c r="CA462" s="73"/>
      <c r="CB462" s="75"/>
      <c r="CC462" s="75"/>
      <c r="CD462" s="75"/>
      <c r="CE462" s="73"/>
      <c r="CF462" s="75"/>
      <c r="CG462" s="75"/>
      <c r="CH462" s="75"/>
      <c r="CI462" s="73"/>
      <c r="CJ462" s="75"/>
      <c r="CK462" s="75"/>
      <c r="CL462" s="75"/>
      <c r="CM462" s="73"/>
      <c r="CN462" s="75"/>
      <c r="CO462" s="75"/>
      <c r="CP462" s="75"/>
      <c r="CQ462" s="73"/>
      <c r="CR462" s="75"/>
      <c r="CS462" s="75"/>
      <c r="CT462" s="75"/>
      <c r="CU462" s="73"/>
      <c r="CV462" s="75"/>
      <c r="CW462" s="75"/>
      <c r="CX462" s="75"/>
      <c r="CY462" s="73"/>
      <c r="CZ462" s="75"/>
      <c r="DA462" s="75"/>
      <c r="DB462" s="75"/>
      <c r="DC462" s="73"/>
      <c r="DD462" s="75"/>
      <c r="DE462" s="75"/>
      <c r="DF462" s="75"/>
      <c r="DG462" s="73"/>
      <c r="DH462" s="75"/>
      <c r="DI462" s="75"/>
      <c r="DJ462" s="75"/>
      <c r="DK462" s="76"/>
    </row>
    <row r="463" spans="63:115" x14ac:dyDescent="0.25">
      <c r="BK463" s="75"/>
      <c r="BL463" s="75"/>
      <c r="BM463" s="75"/>
      <c r="BN463" s="73"/>
      <c r="BO463" s="75"/>
      <c r="BP463" s="75"/>
      <c r="BQ463" s="75"/>
      <c r="BR463" s="75"/>
      <c r="BS463" s="75"/>
      <c r="BT463" s="75"/>
      <c r="BU463" s="75"/>
      <c r="BV463" s="75"/>
      <c r="BW463" s="75"/>
      <c r="BX463" s="75"/>
      <c r="BY463" s="75"/>
      <c r="BZ463" s="75"/>
      <c r="CA463" s="73"/>
      <c r="CB463" s="75"/>
      <c r="CC463" s="75"/>
      <c r="CD463" s="75"/>
      <c r="CE463" s="73"/>
      <c r="CF463" s="75"/>
      <c r="CG463" s="75"/>
      <c r="CH463" s="75"/>
      <c r="CI463" s="73"/>
      <c r="CJ463" s="75"/>
      <c r="CK463" s="75"/>
      <c r="CL463" s="75"/>
      <c r="CM463" s="73"/>
      <c r="CN463" s="75"/>
      <c r="CO463" s="75"/>
      <c r="CP463" s="75"/>
      <c r="CQ463" s="73"/>
      <c r="CR463" s="75"/>
      <c r="CS463" s="75"/>
      <c r="CT463" s="75"/>
      <c r="CU463" s="73"/>
      <c r="CV463" s="75"/>
      <c r="CW463" s="75"/>
      <c r="CX463" s="75"/>
      <c r="CY463" s="73"/>
      <c r="CZ463" s="75"/>
      <c r="DA463" s="75"/>
      <c r="DB463" s="75"/>
      <c r="DC463" s="73"/>
      <c r="DD463" s="75"/>
      <c r="DE463" s="75"/>
      <c r="DF463" s="75"/>
      <c r="DG463" s="73"/>
      <c r="DH463" s="75"/>
      <c r="DI463" s="75"/>
      <c r="DJ463" s="75"/>
      <c r="DK463" s="76"/>
    </row>
    <row r="464" spans="63:115" x14ac:dyDescent="0.25">
      <c r="BK464" s="75"/>
      <c r="BL464" s="75"/>
      <c r="BM464" s="75"/>
      <c r="BN464" s="73"/>
      <c r="BO464" s="75"/>
      <c r="BP464" s="75"/>
      <c r="BQ464" s="75"/>
      <c r="BR464" s="75"/>
      <c r="BS464" s="75"/>
      <c r="BT464" s="75"/>
      <c r="BU464" s="75"/>
      <c r="BV464" s="75"/>
      <c r="BW464" s="75"/>
      <c r="BX464" s="75"/>
      <c r="BY464" s="75"/>
      <c r="BZ464" s="75"/>
      <c r="CA464" s="73"/>
      <c r="CB464" s="75"/>
      <c r="CC464" s="75"/>
      <c r="CD464" s="75"/>
      <c r="CE464" s="73"/>
      <c r="CF464" s="75"/>
      <c r="CG464" s="75"/>
      <c r="CH464" s="75"/>
      <c r="CI464" s="73"/>
      <c r="CJ464" s="75"/>
      <c r="CK464" s="75"/>
      <c r="CL464" s="75"/>
      <c r="CM464" s="73"/>
      <c r="CN464" s="75"/>
      <c r="CO464" s="75"/>
      <c r="CP464" s="75"/>
      <c r="CQ464" s="73"/>
      <c r="CR464" s="75"/>
      <c r="CS464" s="75"/>
      <c r="CT464" s="75"/>
      <c r="CU464" s="73"/>
      <c r="CV464" s="75"/>
      <c r="CW464" s="75"/>
      <c r="CX464" s="75"/>
      <c r="CY464" s="73"/>
      <c r="CZ464" s="75"/>
      <c r="DA464" s="75"/>
      <c r="DB464" s="75"/>
      <c r="DC464" s="73"/>
      <c r="DD464" s="75"/>
      <c r="DE464" s="75"/>
      <c r="DF464" s="75"/>
      <c r="DG464" s="73"/>
      <c r="DH464" s="75"/>
      <c r="DI464" s="75"/>
      <c r="DJ464" s="75"/>
      <c r="DK464" s="76"/>
    </row>
    <row r="465" spans="63:115" x14ac:dyDescent="0.25">
      <c r="BK465" s="75"/>
      <c r="BL465" s="75"/>
      <c r="BM465" s="75"/>
      <c r="BN465" s="73"/>
      <c r="BO465" s="75"/>
      <c r="BP465" s="75"/>
      <c r="BQ465" s="75"/>
      <c r="BR465" s="75"/>
      <c r="BS465" s="75"/>
      <c r="BT465" s="75"/>
      <c r="BU465" s="75"/>
      <c r="BV465" s="75"/>
      <c r="BW465" s="75"/>
      <c r="BX465" s="75"/>
      <c r="BY465" s="75"/>
      <c r="BZ465" s="75"/>
      <c r="CA465" s="73"/>
      <c r="CB465" s="75"/>
      <c r="CC465" s="75"/>
      <c r="CD465" s="75"/>
      <c r="CE465" s="73"/>
      <c r="CF465" s="75"/>
      <c r="CG465" s="75"/>
      <c r="CH465" s="75"/>
      <c r="CI465" s="73"/>
      <c r="CJ465" s="75"/>
      <c r="CK465" s="75"/>
      <c r="CL465" s="75"/>
      <c r="CM465" s="73"/>
      <c r="CN465" s="75"/>
      <c r="CO465" s="75"/>
      <c r="CP465" s="75"/>
      <c r="CQ465" s="73"/>
      <c r="CR465" s="75"/>
      <c r="CS465" s="75"/>
      <c r="CT465" s="75"/>
      <c r="CU465" s="73"/>
      <c r="CV465" s="75"/>
      <c r="CW465" s="75"/>
      <c r="CX465" s="75"/>
      <c r="CY465" s="73"/>
      <c r="CZ465" s="75"/>
      <c r="DA465" s="75"/>
      <c r="DB465" s="75"/>
      <c r="DC465" s="73"/>
      <c r="DD465" s="75"/>
      <c r="DE465" s="75"/>
      <c r="DF465" s="75"/>
      <c r="DG465" s="73"/>
      <c r="DH465" s="75"/>
      <c r="DI465" s="75"/>
      <c r="DJ465" s="75"/>
      <c r="DK465" s="76"/>
    </row>
    <row r="466" spans="63:115" x14ac:dyDescent="0.25">
      <c r="BK466" s="75"/>
      <c r="BL466" s="75"/>
      <c r="BM466" s="75"/>
      <c r="BN466" s="73"/>
      <c r="BO466" s="75"/>
      <c r="BP466" s="75"/>
      <c r="BQ466" s="75"/>
      <c r="BR466" s="75"/>
      <c r="BS466" s="75"/>
      <c r="BT466" s="75"/>
      <c r="BU466" s="75"/>
      <c r="BV466" s="75"/>
      <c r="BW466" s="75"/>
      <c r="BX466" s="75"/>
      <c r="BY466" s="75"/>
      <c r="BZ466" s="75"/>
      <c r="CA466" s="73"/>
      <c r="CB466" s="75"/>
      <c r="CC466" s="75"/>
      <c r="CD466" s="75"/>
      <c r="CE466" s="73"/>
      <c r="CF466" s="75"/>
      <c r="CG466" s="75"/>
      <c r="CH466" s="75"/>
      <c r="CI466" s="73"/>
      <c r="CJ466" s="75"/>
      <c r="CK466" s="75"/>
      <c r="CL466" s="75"/>
      <c r="CM466" s="73"/>
      <c r="CN466" s="75"/>
      <c r="CO466" s="75"/>
      <c r="CP466" s="75"/>
      <c r="CQ466" s="73"/>
      <c r="CR466" s="75"/>
      <c r="CS466" s="75"/>
      <c r="CT466" s="75"/>
      <c r="CU466" s="73"/>
      <c r="CV466" s="75"/>
      <c r="CW466" s="75"/>
      <c r="CX466" s="75"/>
      <c r="CY466" s="73"/>
      <c r="CZ466" s="75"/>
      <c r="DA466" s="75"/>
      <c r="DB466" s="75"/>
      <c r="DC466" s="73"/>
      <c r="DD466" s="75"/>
      <c r="DE466" s="75"/>
      <c r="DF466" s="75"/>
      <c r="DG466" s="73"/>
      <c r="DH466" s="75"/>
      <c r="DI466" s="75"/>
      <c r="DJ466" s="75"/>
      <c r="DK466" s="76"/>
    </row>
    <row r="467" spans="63:115" x14ac:dyDescent="0.25">
      <c r="BK467" s="75"/>
      <c r="BL467" s="75"/>
      <c r="BM467" s="75"/>
      <c r="BN467" s="73"/>
      <c r="BO467" s="75"/>
      <c r="BP467" s="75"/>
      <c r="BQ467" s="75"/>
      <c r="BR467" s="75"/>
      <c r="BS467" s="75"/>
      <c r="BT467" s="75"/>
      <c r="BU467" s="75"/>
      <c r="BV467" s="75"/>
      <c r="BW467" s="75"/>
      <c r="BX467" s="75"/>
      <c r="BY467" s="75"/>
      <c r="BZ467" s="75"/>
      <c r="CA467" s="73"/>
      <c r="CB467" s="75"/>
      <c r="CC467" s="75"/>
      <c r="CD467" s="75"/>
      <c r="CE467" s="73"/>
      <c r="CF467" s="75"/>
      <c r="CG467" s="75"/>
      <c r="CH467" s="75"/>
      <c r="CI467" s="73"/>
      <c r="CJ467" s="75"/>
      <c r="CK467" s="75"/>
      <c r="CL467" s="75"/>
      <c r="CM467" s="73"/>
      <c r="CN467" s="75"/>
      <c r="CO467" s="75"/>
      <c r="CP467" s="75"/>
      <c r="CQ467" s="73"/>
      <c r="CR467" s="75"/>
      <c r="CS467" s="75"/>
      <c r="CT467" s="75"/>
      <c r="CU467" s="73"/>
      <c r="CV467" s="75"/>
      <c r="CW467" s="75"/>
      <c r="CX467" s="75"/>
      <c r="CY467" s="73"/>
      <c r="CZ467" s="75"/>
      <c r="DA467" s="75"/>
      <c r="DB467" s="75"/>
      <c r="DC467" s="73"/>
      <c r="DD467" s="75"/>
      <c r="DE467" s="75"/>
      <c r="DF467" s="75"/>
      <c r="DG467" s="73"/>
      <c r="DH467" s="75"/>
      <c r="DI467" s="75"/>
      <c r="DJ467" s="75"/>
      <c r="DK467" s="76"/>
    </row>
    <row r="468" spans="63:115" x14ac:dyDescent="0.25">
      <c r="BK468" s="75"/>
      <c r="BL468" s="75"/>
      <c r="BM468" s="75"/>
      <c r="BN468" s="73"/>
      <c r="BO468" s="75"/>
      <c r="BP468" s="75"/>
      <c r="BQ468" s="75"/>
      <c r="BR468" s="75"/>
      <c r="BS468" s="75"/>
      <c r="BT468" s="75"/>
      <c r="BU468" s="75"/>
      <c r="BV468" s="75"/>
      <c r="BW468" s="75"/>
      <c r="BX468" s="75"/>
      <c r="BY468" s="75"/>
      <c r="BZ468" s="75"/>
      <c r="CA468" s="73"/>
      <c r="CB468" s="75"/>
      <c r="CC468" s="75"/>
      <c r="CD468" s="75"/>
      <c r="CE468" s="73"/>
      <c r="CF468" s="75"/>
      <c r="CG468" s="75"/>
      <c r="CH468" s="75"/>
      <c r="CI468" s="73"/>
      <c r="CJ468" s="75"/>
      <c r="CK468" s="75"/>
      <c r="CL468" s="75"/>
      <c r="CM468" s="73"/>
      <c r="CN468" s="75"/>
      <c r="CO468" s="75"/>
      <c r="CP468" s="75"/>
      <c r="CQ468" s="73"/>
      <c r="CR468" s="75"/>
      <c r="CS468" s="75"/>
      <c r="CT468" s="75"/>
      <c r="CU468" s="73"/>
      <c r="CV468" s="75"/>
      <c r="CW468" s="75"/>
      <c r="CX468" s="75"/>
      <c r="CY468" s="73"/>
      <c r="CZ468" s="75"/>
      <c r="DA468" s="75"/>
      <c r="DB468" s="75"/>
      <c r="DC468" s="73"/>
      <c r="DD468" s="75"/>
      <c r="DE468" s="75"/>
      <c r="DF468" s="75"/>
      <c r="DG468" s="73"/>
      <c r="DH468" s="75"/>
      <c r="DI468" s="75"/>
      <c r="DJ468" s="75"/>
      <c r="DK468" s="76"/>
    </row>
    <row r="469" spans="63:115" x14ac:dyDescent="0.25">
      <c r="BK469" s="75"/>
      <c r="BL469" s="75"/>
      <c r="BM469" s="75"/>
      <c r="BN469" s="73"/>
      <c r="BO469" s="75"/>
      <c r="BP469" s="75"/>
      <c r="BQ469" s="75"/>
      <c r="BR469" s="75"/>
      <c r="BS469" s="75"/>
      <c r="BT469" s="75"/>
      <c r="BU469" s="75"/>
      <c r="BV469" s="75"/>
      <c r="BW469" s="75"/>
      <c r="BX469" s="75"/>
      <c r="BY469" s="75"/>
      <c r="BZ469" s="75"/>
      <c r="CA469" s="73"/>
      <c r="CB469" s="75"/>
      <c r="CC469" s="75"/>
      <c r="CD469" s="75"/>
      <c r="CE469" s="73"/>
      <c r="CF469" s="75"/>
      <c r="CG469" s="75"/>
      <c r="CH469" s="75"/>
      <c r="CI469" s="73"/>
      <c r="CJ469" s="75"/>
      <c r="CK469" s="75"/>
      <c r="CL469" s="75"/>
      <c r="CM469" s="73"/>
      <c r="CN469" s="75"/>
      <c r="CO469" s="75"/>
      <c r="CP469" s="75"/>
      <c r="CQ469" s="73"/>
      <c r="CR469" s="75"/>
      <c r="CS469" s="75"/>
      <c r="CT469" s="75"/>
      <c r="CU469" s="73"/>
      <c r="CV469" s="75"/>
      <c r="CW469" s="75"/>
      <c r="CX469" s="75"/>
      <c r="CY469" s="73"/>
      <c r="CZ469" s="75"/>
      <c r="DA469" s="75"/>
      <c r="DB469" s="75"/>
      <c r="DC469" s="73"/>
      <c r="DD469" s="75"/>
      <c r="DE469" s="75"/>
      <c r="DF469" s="75"/>
      <c r="DG469" s="73"/>
      <c r="DH469" s="75"/>
      <c r="DI469" s="75"/>
      <c r="DJ469" s="75"/>
      <c r="DK469" s="76"/>
    </row>
    <row r="470" spans="63:115" x14ac:dyDescent="0.25">
      <c r="BK470" s="75"/>
      <c r="BL470" s="75"/>
      <c r="BM470" s="75"/>
      <c r="BN470" s="73"/>
      <c r="BO470" s="75"/>
      <c r="BP470" s="75"/>
      <c r="BQ470" s="75"/>
      <c r="BR470" s="75"/>
      <c r="BS470" s="75"/>
      <c r="BT470" s="75"/>
      <c r="BU470" s="75"/>
      <c r="BV470" s="75"/>
      <c r="BW470" s="75"/>
      <c r="BX470" s="75"/>
      <c r="BY470" s="75"/>
      <c r="BZ470" s="75"/>
      <c r="CA470" s="73"/>
      <c r="CB470" s="75"/>
      <c r="CC470" s="75"/>
      <c r="CD470" s="75"/>
      <c r="CE470" s="73"/>
      <c r="CF470" s="75"/>
      <c r="CG470" s="75"/>
      <c r="CH470" s="75"/>
      <c r="CI470" s="73"/>
      <c r="CJ470" s="75"/>
      <c r="CK470" s="75"/>
      <c r="CL470" s="75"/>
      <c r="CM470" s="73"/>
      <c r="CN470" s="75"/>
      <c r="CO470" s="75"/>
      <c r="CP470" s="75"/>
      <c r="CQ470" s="73"/>
      <c r="CR470" s="75"/>
      <c r="CS470" s="75"/>
      <c r="CT470" s="75"/>
      <c r="CU470" s="73"/>
      <c r="CV470" s="75"/>
      <c r="CW470" s="75"/>
      <c r="CX470" s="75"/>
      <c r="CY470" s="73"/>
      <c r="CZ470" s="75"/>
      <c r="DA470" s="75"/>
      <c r="DB470" s="75"/>
      <c r="DC470" s="73"/>
      <c r="DD470" s="75"/>
      <c r="DE470" s="75"/>
      <c r="DF470" s="75"/>
      <c r="DG470" s="73"/>
      <c r="DH470" s="75"/>
      <c r="DI470" s="75"/>
      <c r="DJ470" s="75"/>
      <c r="DK470" s="76"/>
    </row>
    <row r="471" spans="63:115" x14ac:dyDescent="0.25">
      <c r="BK471" s="75"/>
      <c r="BL471" s="75"/>
      <c r="BM471" s="75"/>
      <c r="BN471" s="73"/>
      <c r="BO471" s="75"/>
      <c r="BP471" s="75"/>
      <c r="BQ471" s="75"/>
      <c r="BR471" s="75"/>
      <c r="BS471" s="75"/>
      <c r="BT471" s="75"/>
      <c r="BU471" s="75"/>
      <c r="BV471" s="75"/>
      <c r="BW471" s="75"/>
      <c r="BX471" s="75"/>
      <c r="BY471" s="75"/>
      <c r="BZ471" s="75"/>
      <c r="CA471" s="73"/>
      <c r="CB471" s="75"/>
      <c r="CC471" s="75"/>
      <c r="CD471" s="75"/>
      <c r="CE471" s="73"/>
      <c r="CF471" s="75"/>
      <c r="CG471" s="75"/>
      <c r="CH471" s="75"/>
      <c r="CI471" s="73"/>
      <c r="CJ471" s="75"/>
      <c r="CK471" s="75"/>
      <c r="CL471" s="75"/>
      <c r="CM471" s="73"/>
      <c r="CN471" s="75"/>
      <c r="CO471" s="75"/>
      <c r="CP471" s="75"/>
      <c r="CQ471" s="73"/>
      <c r="CR471" s="75"/>
      <c r="CS471" s="75"/>
      <c r="CT471" s="75"/>
      <c r="CU471" s="73"/>
      <c r="CV471" s="75"/>
      <c r="CW471" s="75"/>
      <c r="CX471" s="75"/>
      <c r="CY471" s="73"/>
      <c r="CZ471" s="75"/>
      <c r="DA471" s="75"/>
      <c r="DB471" s="75"/>
      <c r="DC471" s="73"/>
      <c r="DD471" s="75"/>
      <c r="DE471" s="75"/>
      <c r="DF471" s="75"/>
      <c r="DG471" s="73"/>
      <c r="DH471" s="75"/>
      <c r="DI471" s="75"/>
      <c r="DJ471" s="75"/>
      <c r="DK471" s="76"/>
    </row>
    <row r="472" spans="63:115" x14ac:dyDescent="0.25">
      <c r="BK472" s="75"/>
      <c r="BL472" s="75"/>
      <c r="BM472" s="75"/>
      <c r="BN472" s="73"/>
      <c r="BO472" s="75"/>
      <c r="BP472" s="75"/>
      <c r="BQ472" s="75"/>
      <c r="BR472" s="75"/>
      <c r="BS472" s="75"/>
      <c r="BT472" s="75"/>
      <c r="BU472" s="75"/>
      <c r="BV472" s="75"/>
      <c r="BW472" s="75"/>
      <c r="BX472" s="75"/>
      <c r="BY472" s="75"/>
      <c r="BZ472" s="75"/>
      <c r="CA472" s="73"/>
      <c r="CB472" s="75"/>
      <c r="CC472" s="75"/>
      <c r="CD472" s="75"/>
      <c r="CE472" s="73"/>
      <c r="CF472" s="75"/>
      <c r="CG472" s="75"/>
      <c r="CH472" s="75"/>
      <c r="CI472" s="73"/>
      <c r="CJ472" s="75"/>
      <c r="CK472" s="75"/>
      <c r="CL472" s="75"/>
      <c r="CM472" s="73"/>
      <c r="CN472" s="75"/>
      <c r="CO472" s="75"/>
      <c r="CP472" s="75"/>
      <c r="CQ472" s="73"/>
      <c r="CR472" s="75"/>
      <c r="CS472" s="75"/>
      <c r="CT472" s="75"/>
      <c r="CU472" s="73"/>
      <c r="CV472" s="75"/>
      <c r="CW472" s="75"/>
      <c r="CX472" s="75"/>
      <c r="CY472" s="73"/>
      <c r="CZ472" s="75"/>
      <c r="DA472" s="75"/>
      <c r="DB472" s="75"/>
      <c r="DC472" s="73"/>
      <c r="DD472" s="75"/>
      <c r="DE472" s="75"/>
      <c r="DF472" s="75"/>
      <c r="DG472" s="73"/>
      <c r="DH472" s="75"/>
      <c r="DI472" s="75"/>
      <c r="DJ472" s="75"/>
      <c r="DK472" s="76"/>
    </row>
    <row r="473" spans="63:115" x14ac:dyDescent="0.25">
      <c r="BK473" s="75"/>
      <c r="BL473" s="75"/>
      <c r="BM473" s="75"/>
      <c r="BN473" s="73"/>
      <c r="BO473" s="75"/>
      <c r="BP473" s="75"/>
      <c r="BQ473" s="75"/>
      <c r="BR473" s="75"/>
      <c r="BS473" s="75"/>
      <c r="BT473" s="75"/>
      <c r="BU473" s="75"/>
      <c r="BV473" s="75"/>
      <c r="BW473" s="75"/>
      <c r="BX473" s="75"/>
      <c r="BY473" s="75"/>
      <c r="BZ473" s="75"/>
      <c r="CA473" s="73"/>
      <c r="CB473" s="75"/>
      <c r="CC473" s="75"/>
      <c r="CD473" s="75"/>
      <c r="CE473" s="73"/>
      <c r="CF473" s="75"/>
      <c r="CG473" s="75"/>
      <c r="CH473" s="75"/>
      <c r="CI473" s="73"/>
      <c r="CJ473" s="75"/>
      <c r="CK473" s="75"/>
      <c r="CL473" s="75"/>
      <c r="CM473" s="73"/>
      <c r="CN473" s="75"/>
      <c r="CO473" s="75"/>
      <c r="CP473" s="75"/>
      <c r="CQ473" s="73"/>
      <c r="CR473" s="75"/>
      <c r="CS473" s="75"/>
      <c r="CT473" s="75"/>
      <c r="CU473" s="73"/>
      <c r="CV473" s="75"/>
      <c r="CW473" s="75"/>
      <c r="CX473" s="75"/>
      <c r="CY473" s="73"/>
      <c r="CZ473" s="75"/>
      <c r="DA473" s="75"/>
      <c r="DB473" s="75"/>
      <c r="DC473" s="73"/>
      <c r="DD473" s="75"/>
      <c r="DE473" s="75"/>
      <c r="DF473" s="75"/>
      <c r="DG473" s="73"/>
      <c r="DH473" s="75"/>
      <c r="DI473" s="75"/>
      <c r="DJ473" s="75"/>
      <c r="DK473" s="76"/>
    </row>
    <row r="474" spans="63:115" x14ac:dyDescent="0.25">
      <c r="BK474" s="75"/>
      <c r="BL474" s="75"/>
      <c r="BM474" s="75"/>
      <c r="BN474" s="73"/>
      <c r="BO474" s="75"/>
      <c r="BP474" s="75"/>
      <c r="BQ474" s="75"/>
      <c r="BR474" s="75"/>
      <c r="BS474" s="75"/>
      <c r="BT474" s="75"/>
      <c r="BU474" s="75"/>
      <c r="BV474" s="75"/>
      <c r="BW474" s="75"/>
      <c r="BX474" s="75"/>
      <c r="BY474" s="75"/>
      <c r="BZ474" s="75"/>
      <c r="CA474" s="73"/>
      <c r="CB474" s="75"/>
      <c r="CC474" s="75"/>
      <c r="CD474" s="75"/>
      <c r="CE474" s="73"/>
      <c r="CF474" s="75"/>
      <c r="CG474" s="75"/>
      <c r="CH474" s="75"/>
      <c r="CI474" s="73"/>
      <c r="CJ474" s="75"/>
      <c r="CK474" s="75"/>
      <c r="CL474" s="75"/>
      <c r="CM474" s="73"/>
      <c r="CN474" s="75"/>
      <c r="CO474" s="75"/>
      <c r="CP474" s="75"/>
      <c r="CQ474" s="73"/>
      <c r="CR474" s="75"/>
      <c r="CS474" s="75"/>
      <c r="CT474" s="75"/>
      <c r="CU474" s="73"/>
      <c r="CV474" s="75"/>
      <c r="CW474" s="75"/>
      <c r="CX474" s="75"/>
      <c r="CY474" s="73"/>
      <c r="CZ474" s="75"/>
      <c r="DA474" s="75"/>
      <c r="DB474" s="75"/>
      <c r="DC474" s="73"/>
      <c r="DD474" s="75"/>
      <c r="DE474" s="75"/>
      <c r="DF474" s="75"/>
      <c r="DG474" s="73"/>
      <c r="DH474" s="75"/>
      <c r="DI474" s="75"/>
      <c r="DJ474" s="75"/>
      <c r="DK474" s="76"/>
    </row>
    <row r="475" spans="63:115" x14ac:dyDescent="0.25">
      <c r="BK475" s="75"/>
      <c r="BL475" s="75"/>
      <c r="BM475" s="75"/>
      <c r="BN475" s="73"/>
      <c r="BO475" s="75"/>
      <c r="BP475" s="75"/>
      <c r="BQ475" s="75"/>
      <c r="BR475" s="75"/>
      <c r="BS475" s="75"/>
      <c r="BT475" s="75"/>
      <c r="BU475" s="75"/>
      <c r="BV475" s="75"/>
      <c r="BW475" s="75"/>
      <c r="BX475" s="75"/>
      <c r="BY475" s="75"/>
      <c r="BZ475" s="75"/>
      <c r="CA475" s="73"/>
      <c r="CB475" s="75"/>
      <c r="CC475" s="75"/>
      <c r="CD475" s="75"/>
      <c r="CE475" s="73"/>
      <c r="CF475" s="75"/>
      <c r="CG475" s="75"/>
      <c r="CH475" s="75"/>
      <c r="CI475" s="73"/>
      <c r="CJ475" s="75"/>
      <c r="CK475" s="75"/>
      <c r="CL475" s="75"/>
      <c r="CM475" s="73"/>
      <c r="CN475" s="75"/>
      <c r="CO475" s="75"/>
      <c r="CP475" s="75"/>
      <c r="CQ475" s="73"/>
      <c r="CR475" s="75"/>
      <c r="CS475" s="75"/>
      <c r="CT475" s="75"/>
      <c r="CU475" s="73"/>
      <c r="CV475" s="75"/>
      <c r="CW475" s="75"/>
      <c r="CX475" s="75"/>
      <c r="CY475" s="73"/>
      <c r="CZ475" s="75"/>
      <c r="DA475" s="75"/>
      <c r="DB475" s="75"/>
      <c r="DC475" s="73"/>
      <c r="DD475" s="75"/>
      <c r="DE475" s="75"/>
      <c r="DF475" s="75"/>
      <c r="DG475" s="73"/>
      <c r="DH475" s="75"/>
      <c r="DI475" s="75"/>
      <c r="DJ475" s="75"/>
      <c r="DK475" s="76"/>
    </row>
    <row r="476" spans="63:115" x14ac:dyDescent="0.25">
      <c r="BK476" s="75"/>
      <c r="BL476" s="75"/>
      <c r="BM476" s="75"/>
      <c r="BN476" s="73"/>
      <c r="BO476" s="75"/>
      <c r="BP476" s="75"/>
      <c r="BQ476" s="75"/>
      <c r="BR476" s="75"/>
      <c r="BS476" s="75"/>
      <c r="BT476" s="75"/>
      <c r="BU476" s="75"/>
      <c r="BV476" s="75"/>
      <c r="BW476" s="75"/>
      <c r="BX476" s="75"/>
      <c r="BY476" s="75"/>
      <c r="BZ476" s="75"/>
      <c r="CA476" s="73"/>
      <c r="CB476" s="75"/>
      <c r="CC476" s="75"/>
      <c r="CD476" s="75"/>
      <c r="CE476" s="73"/>
      <c r="CF476" s="75"/>
      <c r="CG476" s="75"/>
      <c r="CH476" s="75"/>
      <c r="CI476" s="73"/>
      <c r="CJ476" s="75"/>
      <c r="CK476" s="75"/>
      <c r="CL476" s="75"/>
      <c r="CM476" s="73"/>
      <c r="CN476" s="75"/>
      <c r="CO476" s="75"/>
      <c r="CP476" s="75"/>
      <c r="CQ476" s="73"/>
      <c r="CR476" s="75"/>
      <c r="CS476" s="75"/>
      <c r="CT476" s="75"/>
      <c r="CU476" s="73"/>
      <c r="CV476" s="75"/>
      <c r="CW476" s="75"/>
      <c r="CX476" s="75"/>
      <c r="CY476" s="73"/>
      <c r="CZ476" s="75"/>
      <c r="DA476" s="75"/>
      <c r="DB476" s="75"/>
      <c r="DC476" s="73"/>
      <c r="DD476" s="75"/>
      <c r="DE476" s="75"/>
      <c r="DF476" s="75"/>
      <c r="DG476" s="73"/>
      <c r="DH476" s="75"/>
      <c r="DI476" s="75"/>
      <c r="DJ476" s="75"/>
      <c r="DK476" s="76"/>
    </row>
    <row r="477" spans="63:115" x14ac:dyDescent="0.25">
      <c r="BK477" s="75"/>
      <c r="BL477" s="75"/>
      <c r="BM477" s="75"/>
      <c r="BN477" s="73"/>
      <c r="BO477" s="75"/>
      <c r="BP477" s="75"/>
      <c r="BQ477" s="75"/>
      <c r="BR477" s="75"/>
      <c r="BS477" s="75"/>
      <c r="BT477" s="75"/>
      <c r="BU477" s="75"/>
      <c r="BV477" s="75"/>
      <c r="BW477" s="75"/>
      <c r="BX477" s="75"/>
      <c r="BY477" s="75"/>
      <c r="BZ477" s="75"/>
      <c r="CA477" s="73"/>
      <c r="CB477" s="75"/>
      <c r="CC477" s="75"/>
      <c r="CD477" s="75"/>
      <c r="CE477" s="73"/>
      <c r="CF477" s="75"/>
      <c r="CG477" s="75"/>
      <c r="CH477" s="75"/>
      <c r="CI477" s="73"/>
      <c r="CJ477" s="75"/>
      <c r="CK477" s="75"/>
      <c r="CL477" s="75"/>
      <c r="CM477" s="73"/>
      <c r="CN477" s="75"/>
      <c r="CO477" s="75"/>
      <c r="CP477" s="75"/>
      <c r="CQ477" s="73"/>
      <c r="CR477" s="75"/>
      <c r="CS477" s="75"/>
      <c r="CT477" s="75"/>
      <c r="CU477" s="73"/>
      <c r="CV477" s="75"/>
      <c r="CW477" s="75"/>
      <c r="CX477" s="75"/>
      <c r="CY477" s="73"/>
      <c r="CZ477" s="75"/>
      <c r="DA477" s="75"/>
      <c r="DB477" s="75"/>
      <c r="DC477" s="73"/>
      <c r="DD477" s="75"/>
      <c r="DE477" s="75"/>
      <c r="DF477" s="75"/>
      <c r="DG477" s="73"/>
      <c r="DH477" s="75"/>
      <c r="DI477" s="75"/>
      <c r="DJ477" s="75"/>
      <c r="DK477" s="76"/>
    </row>
    <row r="478" spans="63:115" x14ac:dyDescent="0.25">
      <c r="BK478" s="75"/>
      <c r="BL478" s="75"/>
      <c r="BM478" s="75"/>
      <c r="BN478" s="73"/>
      <c r="BO478" s="75"/>
      <c r="BP478" s="75"/>
      <c r="BQ478" s="75"/>
      <c r="BR478" s="75"/>
      <c r="BS478" s="75"/>
      <c r="BT478" s="75"/>
      <c r="BU478" s="75"/>
      <c r="BV478" s="75"/>
      <c r="BW478" s="75"/>
      <c r="BX478" s="75"/>
      <c r="BY478" s="75"/>
      <c r="BZ478" s="75"/>
      <c r="CA478" s="73"/>
      <c r="CB478" s="75"/>
      <c r="CC478" s="75"/>
      <c r="CD478" s="75"/>
      <c r="CE478" s="73"/>
      <c r="CF478" s="75"/>
      <c r="CG478" s="75"/>
      <c r="CH478" s="75"/>
      <c r="CI478" s="73"/>
      <c r="CJ478" s="75"/>
      <c r="CK478" s="75"/>
      <c r="CL478" s="75"/>
      <c r="CM478" s="73"/>
      <c r="CN478" s="75"/>
      <c r="CO478" s="75"/>
      <c r="CP478" s="75"/>
      <c r="CQ478" s="73"/>
      <c r="CR478" s="75"/>
      <c r="CS478" s="75"/>
      <c r="CT478" s="75"/>
      <c r="CU478" s="73"/>
      <c r="CV478" s="75"/>
      <c r="CW478" s="75"/>
      <c r="CX478" s="75"/>
      <c r="CY478" s="73"/>
      <c r="CZ478" s="75"/>
      <c r="DA478" s="75"/>
      <c r="DB478" s="75"/>
      <c r="DC478" s="73"/>
      <c r="DD478" s="75"/>
      <c r="DE478" s="75"/>
      <c r="DF478" s="75"/>
      <c r="DG478" s="73"/>
      <c r="DH478" s="75"/>
      <c r="DI478" s="75"/>
      <c r="DJ478" s="75"/>
      <c r="DK478" s="76"/>
    </row>
    <row r="479" spans="63:115" x14ac:dyDescent="0.25">
      <c r="BK479" s="75"/>
      <c r="BL479" s="75"/>
      <c r="BM479" s="75"/>
      <c r="BN479" s="73"/>
      <c r="BO479" s="75"/>
      <c r="BP479" s="75"/>
      <c r="BQ479" s="75"/>
      <c r="BR479" s="75"/>
      <c r="BS479" s="75"/>
      <c r="BT479" s="75"/>
      <c r="BU479" s="75"/>
      <c r="BV479" s="75"/>
      <c r="BW479" s="75"/>
      <c r="BX479" s="75"/>
      <c r="BY479" s="75"/>
      <c r="BZ479" s="75"/>
      <c r="CA479" s="73"/>
      <c r="CB479" s="75"/>
      <c r="CC479" s="75"/>
      <c r="CD479" s="75"/>
      <c r="CE479" s="73"/>
      <c r="CF479" s="75"/>
      <c r="CG479" s="75"/>
      <c r="CH479" s="75"/>
      <c r="CI479" s="73"/>
      <c r="CJ479" s="75"/>
      <c r="CK479" s="75"/>
      <c r="CL479" s="75"/>
      <c r="CM479" s="73"/>
      <c r="CN479" s="75"/>
      <c r="CO479" s="75"/>
      <c r="CP479" s="75"/>
      <c r="CQ479" s="73"/>
      <c r="CR479" s="75"/>
      <c r="CS479" s="75"/>
      <c r="CT479" s="75"/>
      <c r="CU479" s="73"/>
      <c r="CV479" s="75"/>
      <c r="CW479" s="75"/>
      <c r="CX479" s="75"/>
      <c r="CY479" s="73"/>
      <c r="CZ479" s="75"/>
      <c r="DA479" s="75"/>
      <c r="DB479" s="75"/>
      <c r="DC479" s="73"/>
      <c r="DD479" s="75"/>
      <c r="DE479" s="75"/>
      <c r="DF479" s="75"/>
      <c r="DG479" s="73"/>
      <c r="DH479" s="75"/>
      <c r="DI479" s="75"/>
      <c r="DJ479" s="75"/>
      <c r="DK479" s="76"/>
    </row>
    <row r="480" spans="63:115" x14ac:dyDescent="0.25">
      <c r="BK480" s="75"/>
      <c r="BL480" s="75"/>
      <c r="BM480" s="75"/>
      <c r="BN480" s="73"/>
      <c r="BO480" s="75"/>
      <c r="BP480" s="75"/>
      <c r="BQ480" s="75"/>
      <c r="BR480" s="75"/>
      <c r="BS480" s="75"/>
      <c r="BT480" s="75"/>
      <c r="BU480" s="75"/>
      <c r="BV480" s="75"/>
      <c r="BW480" s="75"/>
      <c r="BX480" s="75"/>
      <c r="BY480" s="75"/>
      <c r="BZ480" s="75"/>
      <c r="CA480" s="73"/>
      <c r="CB480" s="75"/>
      <c r="CC480" s="75"/>
      <c r="CD480" s="75"/>
      <c r="CE480" s="73"/>
      <c r="CF480" s="75"/>
      <c r="CG480" s="75"/>
      <c r="CH480" s="75"/>
      <c r="CI480" s="73"/>
      <c r="CJ480" s="75"/>
      <c r="CK480" s="75"/>
      <c r="CL480" s="75"/>
      <c r="CM480" s="73"/>
      <c r="CN480" s="75"/>
      <c r="CO480" s="75"/>
      <c r="CP480" s="75"/>
      <c r="CQ480" s="73"/>
      <c r="CR480" s="75"/>
      <c r="CS480" s="75"/>
      <c r="CT480" s="75"/>
      <c r="CU480" s="73"/>
      <c r="CV480" s="75"/>
      <c r="CW480" s="75"/>
      <c r="CX480" s="75"/>
      <c r="CY480" s="73"/>
      <c r="CZ480" s="75"/>
      <c r="DA480" s="75"/>
      <c r="DB480" s="75"/>
      <c r="DC480" s="73"/>
      <c r="DD480" s="75"/>
      <c r="DE480" s="75"/>
      <c r="DF480" s="75"/>
      <c r="DG480" s="73"/>
      <c r="DH480" s="75"/>
      <c r="DI480" s="75"/>
      <c r="DJ480" s="75"/>
      <c r="DK480" s="76"/>
    </row>
    <row r="481" spans="63:115" x14ac:dyDescent="0.25">
      <c r="BK481" s="75"/>
      <c r="BL481" s="75"/>
      <c r="BM481" s="75"/>
      <c r="BN481" s="73"/>
      <c r="BO481" s="75"/>
      <c r="BP481" s="75"/>
      <c r="BQ481" s="75"/>
      <c r="BR481" s="75"/>
      <c r="BS481" s="75"/>
      <c r="BT481" s="75"/>
      <c r="BU481" s="75"/>
      <c r="BV481" s="75"/>
      <c r="BW481" s="75"/>
      <c r="BX481" s="75"/>
      <c r="BY481" s="75"/>
      <c r="BZ481" s="75"/>
      <c r="CA481" s="73"/>
      <c r="CB481" s="75"/>
      <c r="CC481" s="75"/>
      <c r="CD481" s="75"/>
      <c r="CE481" s="73"/>
      <c r="CF481" s="75"/>
      <c r="CG481" s="75"/>
      <c r="CH481" s="75"/>
      <c r="CI481" s="73"/>
      <c r="CJ481" s="75"/>
      <c r="CK481" s="75"/>
      <c r="CL481" s="75"/>
      <c r="CM481" s="73"/>
      <c r="CN481" s="75"/>
      <c r="CO481" s="75"/>
      <c r="CP481" s="75"/>
      <c r="CQ481" s="73"/>
      <c r="CR481" s="75"/>
      <c r="CS481" s="75"/>
      <c r="CT481" s="75"/>
      <c r="CU481" s="73"/>
      <c r="CV481" s="75"/>
      <c r="CW481" s="75"/>
      <c r="CX481" s="75"/>
      <c r="CY481" s="73"/>
      <c r="CZ481" s="75"/>
      <c r="DA481" s="75"/>
      <c r="DB481" s="75"/>
      <c r="DC481" s="73"/>
      <c r="DD481" s="75"/>
      <c r="DE481" s="75"/>
      <c r="DF481" s="75"/>
      <c r="DG481" s="73"/>
      <c r="DH481" s="75"/>
      <c r="DI481" s="75"/>
      <c r="DJ481" s="75"/>
      <c r="DK481" s="76"/>
    </row>
    <row r="482" spans="63:115" x14ac:dyDescent="0.25">
      <c r="BK482" s="75"/>
      <c r="BL482" s="75"/>
      <c r="BM482" s="75"/>
      <c r="BN482" s="73"/>
      <c r="BO482" s="75"/>
      <c r="BP482" s="75"/>
      <c r="BQ482" s="75"/>
      <c r="BR482" s="75"/>
      <c r="BS482" s="75"/>
      <c r="BT482" s="75"/>
      <c r="BU482" s="75"/>
      <c r="BV482" s="75"/>
      <c r="BW482" s="75"/>
      <c r="BX482" s="75"/>
      <c r="BY482" s="75"/>
      <c r="BZ482" s="75"/>
      <c r="CA482" s="73"/>
      <c r="CB482" s="75"/>
      <c r="CC482" s="75"/>
      <c r="CD482" s="75"/>
      <c r="CE482" s="73"/>
      <c r="CF482" s="75"/>
      <c r="CG482" s="75"/>
      <c r="CH482" s="75"/>
      <c r="CI482" s="73"/>
      <c r="CJ482" s="75"/>
      <c r="CK482" s="75"/>
      <c r="CL482" s="75"/>
      <c r="CM482" s="73"/>
      <c r="CN482" s="75"/>
      <c r="CO482" s="75"/>
      <c r="CP482" s="75"/>
      <c r="CQ482" s="73"/>
      <c r="CR482" s="75"/>
      <c r="CS482" s="75"/>
      <c r="CT482" s="75"/>
      <c r="CU482" s="73"/>
      <c r="CV482" s="75"/>
      <c r="CW482" s="75"/>
      <c r="CX482" s="75"/>
      <c r="CY482" s="73"/>
      <c r="CZ482" s="75"/>
      <c r="DA482" s="75"/>
      <c r="DB482" s="75"/>
      <c r="DC482" s="73"/>
      <c r="DD482" s="75"/>
      <c r="DE482" s="75"/>
      <c r="DF482" s="75"/>
      <c r="DG482" s="73"/>
      <c r="DH482" s="75"/>
      <c r="DI482" s="75"/>
      <c r="DJ482" s="75"/>
      <c r="DK482" s="76"/>
    </row>
    <row r="483" spans="63:115" x14ac:dyDescent="0.25">
      <c r="BK483" s="75"/>
      <c r="BL483" s="75"/>
      <c r="BM483" s="75"/>
      <c r="BN483" s="73"/>
      <c r="BO483" s="75"/>
      <c r="BP483" s="75"/>
      <c r="BQ483" s="75"/>
      <c r="BR483" s="75"/>
      <c r="BS483" s="75"/>
      <c r="BT483" s="75"/>
      <c r="BU483" s="75"/>
      <c r="BV483" s="75"/>
      <c r="BW483" s="75"/>
      <c r="BX483" s="75"/>
      <c r="BY483" s="75"/>
      <c r="BZ483" s="75"/>
      <c r="CA483" s="73"/>
      <c r="CB483" s="75"/>
      <c r="CC483" s="75"/>
      <c r="CD483" s="75"/>
      <c r="CE483" s="73"/>
      <c r="CF483" s="75"/>
      <c r="CG483" s="75"/>
      <c r="CH483" s="75"/>
      <c r="CI483" s="73"/>
      <c r="CJ483" s="75"/>
      <c r="CK483" s="75"/>
      <c r="CL483" s="75"/>
      <c r="CM483" s="73"/>
      <c r="CN483" s="75"/>
      <c r="CO483" s="75"/>
      <c r="CP483" s="75"/>
      <c r="CQ483" s="73"/>
      <c r="CR483" s="75"/>
      <c r="CS483" s="75"/>
      <c r="CT483" s="75"/>
      <c r="CU483" s="73"/>
      <c r="CV483" s="75"/>
      <c r="CW483" s="75"/>
      <c r="CX483" s="75"/>
      <c r="CY483" s="73"/>
      <c r="CZ483" s="75"/>
      <c r="DA483" s="75"/>
      <c r="DB483" s="75"/>
      <c r="DC483" s="73"/>
      <c r="DD483" s="75"/>
      <c r="DE483" s="75"/>
      <c r="DF483" s="75"/>
      <c r="DG483" s="73"/>
      <c r="DH483" s="75"/>
      <c r="DI483" s="75"/>
      <c r="DJ483" s="75"/>
      <c r="DK483" s="76"/>
    </row>
    <row r="484" spans="63:115" x14ac:dyDescent="0.25">
      <c r="BK484" s="75"/>
      <c r="BL484" s="75"/>
      <c r="BM484" s="75"/>
      <c r="BN484" s="73"/>
      <c r="BO484" s="75"/>
      <c r="BP484" s="75"/>
      <c r="BQ484" s="75"/>
      <c r="BR484" s="75"/>
      <c r="BS484" s="75"/>
      <c r="BT484" s="75"/>
      <c r="BU484" s="75"/>
      <c r="BV484" s="75"/>
      <c r="BW484" s="75"/>
      <c r="BX484" s="75"/>
      <c r="BY484" s="75"/>
      <c r="BZ484" s="75"/>
      <c r="CA484" s="73"/>
      <c r="CB484" s="75"/>
      <c r="CC484" s="75"/>
      <c r="CD484" s="75"/>
      <c r="CE484" s="73"/>
      <c r="CF484" s="75"/>
      <c r="CG484" s="75"/>
      <c r="CH484" s="75"/>
      <c r="CI484" s="73"/>
      <c r="CJ484" s="75"/>
      <c r="CK484" s="75"/>
      <c r="CL484" s="75"/>
      <c r="CM484" s="73"/>
      <c r="CN484" s="75"/>
      <c r="CO484" s="75"/>
      <c r="CP484" s="75"/>
      <c r="CQ484" s="73"/>
      <c r="CR484" s="75"/>
      <c r="CS484" s="75"/>
      <c r="CT484" s="75"/>
      <c r="CU484" s="73"/>
      <c r="CV484" s="75"/>
      <c r="CW484" s="75"/>
      <c r="CX484" s="75"/>
      <c r="CY484" s="73"/>
      <c r="CZ484" s="75"/>
      <c r="DA484" s="75"/>
      <c r="DB484" s="75"/>
      <c r="DC484" s="73"/>
      <c r="DD484" s="75"/>
      <c r="DE484" s="75"/>
      <c r="DF484" s="75"/>
      <c r="DG484" s="73"/>
      <c r="DH484" s="75"/>
      <c r="DI484" s="75"/>
      <c r="DJ484" s="75"/>
      <c r="DK484" s="76"/>
    </row>
    <row r="485" spans="63:115" x14ac:dyDescent="0.25">
      <c r="BK485" s="75"/>
      <c r="BL485" s="75"/>
      <c r="BM485" s="75"/>
      <c r="BN485" s="73"/>
      <c r="BO485" s="75"/>
      <c r="BP485" s="75"/>
      <c r="BQ485" s="75"/>
      <c r="BR485" s="75"/>
      <c r="BS485" s="75"/>
      <c r="BT485" s="75"/>
      <c r="BU485" s="75"/>
      <c r="BV485" s="75"/>
      <c r="BW485" s="75"/>
      <c r="BX485" s="75"/>
      <c r="BY485" s="75"/>
      <c r="BZ485" s="75"/>
      <c r="CA485" s="73"/>
      <c r="CB485" s="75"/>
      <c r="CC485" s="75"/>
      <c r="CD485" s="75"/>
      <c r="CE485" s="73"/>
      <c r="CF485" s="75"/>
      <c r="CG485" s="75"/>
      <c r="CH485" s="75"/>
      <c r="CI485" s="73"/>
      <c r="CJ485" s="75"/>
      <c r="CK485" s="75"/>
      <c r="CL485" s="75"/>
      <c r="CM485" s="73"/>
      <c r="CN485" s="75"/>
      <c r="CO485" s="75"/>
      <c r="CP485" s="75"/>
      <c r="CQ485" s="73"/>
      <c r="CR485" s="75"/>
      <c r="CS485" s="75"/>
      <c r="CT485" s="75"/>
      <c r="CU485" s="73"/>
      <c r="CV485" s="75"/>
      <c r="CW485" s="75"/>
      <c r="CX485" s="75"/>
      <c r="CY485" s="73"/>
      <c r="CZ485" s="75"/>
      <c r="DA485" s="75"/>
      <c r="DB485" s="75"/>
      <c r="DC485" s="73"/>
      <c r="DD485" s="75"/>
      <c r="DE485" s="75"/>
      <c r="DF485" s="75"/>
      <c r="DG485" s="73"/>
      <c r="DH485" s="75"/>
      <c r="DI485" s="75"/>
      <c r="DJ485" s="75"/>
      <c r="DK485" s="76"/>
    </row>
    <row r="486" spans="63:115" x14ac:dyDescent="0.25">
      <c r="BK486" s="75"/>
      <c r="BL486" s="75"/>
      <c r="BM486" s="75"/>
      <c r="BN486" s="73"/>
      <c r="BO486" s="75"/>
      <c r="BP486" s="75"/>
      <c r="BQ486" s="75"/>
      <c r="BR486" s="75"/>
      <c r="BS486" s="75"/>
      <c r="BT486" s="75"/>
      <c r="BU486" s="75"/>
      <c r="BV486" s="75"/>
      <c r="BW486" s="75"/>
      <c r="BX486" s="75"/>
      <c r="BY486" s="75"/>
      <c r="BZ486" s="75"/>
      <c r="CA486" s="73"/>
      <c r="CB486" s="75"/>
      <c r="CC486" s="75"/>
      <c r="CD486" s="75"/>
      <c r="CE486" s="73"/>
      <c r="CF486" s="75"/>
      <c r="CG486" s="75"/>
      <c r="CH486" s="75"/>
      <c r="CI486" s="73"/>
      <c r="CJ486" s="75"/>
      <c r="CK486" s="75"/>
      <c r="CL486" s="75"/>
      <c r="CM486" s="73"/>
      <c r="CN486" s="75"/>
      <c r="CO486" s="75"/>
      <c r="CP486" s="75"/>
      <c r="CQ486" s="73"/>
      <c r="CR486" s="75"/>
      <c r="CS486" s="75"/>
      <c r="CT486" s="75"/>
      <c r="CU486" s="73"/>
      <c r="CV486" s="75"/>
      <c r="CW486" s="75"/>
      <c r="CX486" s="75"/>
      <c r="CY486" s="73"/>
      <c r="CZ486" s="75"/>
      <c r="DA486" s="75"/>
      <c r="DB486" s="75"/>
      <c r="DC486" s="73"/>
      <c r="DD486" s="75"/>
      <c r="DE486" s="75"/>
      <c r="DF486" s="75"/>
      <c r="DG486" s="73"/>
      <c r="DH486" s="75"/>
      <c r="DI486" s="75"/>
      <c r="DJ486" s="75"/>
      <c r="DK486" s="76"/>
    </row>
    <row r="487" spans="63:115" x14ac:dyDescent="0.25">
      <c r="BK487" s="75"/>
      <c r="BL487" s="75"/>
      <c r="BM487" s="75"/>
      <c r="BN487" s="73"/>
      <c r="BO487" s="75"/>
      <c r="BP487" s="75"/>
      <c r="BQ487" s="75"/>
      <c r="BR487" s="75"/>
      <c r="BS487" s="75"/>
      <c r="BT487" s="75"/>
      <c r="BU487" s="75"/>
      <c r="BV487" s="75"/>
      <c r="BW487" s="75"/>
      <c r="BX487" s="75"/>
      <c r="BY487" s="75"/>
      <c r="BZ487" s="75"/>
      <c r="CA487" s="73"/>
      <c r="CB487" s="75"/>
      <c r="CC487" s="75"/>
      <c r="CD487" s="75"/>
      <c r="CE487" s="73"/>
      <c r="CF487" s="75"/>
      <c r="CG487" s="75"/>
      <c r="CH487" s="75"/>
      <c r="CI487" s="73"/>
      <c r="CJ487" s="75"/>
      <c r="CK487" s="75"/>
      <c r="CL487" s="75"/>
      <c r="CM487" s="73"/>
      <c r="CN487" s="75"/>
      <c r="CO487" s="75"/>
      <c r="CP487" s="75"/>
      <c r="CQ487" s="73"/>
      <c r="CR487" s="75"/>
      <c r="CS487" s="75"/>
      <c r="CT487" s="75"/>
      <c r="CU487" s="73"/>
      <c r="CV487" s="75"/>
      <c r="CW487" s="75"/>
      <c r="CX487" s="75"/>
      <c r="CY487" s="73"/>
      <c r="CZ487" s="75"/>
      <c r="DA487" s="75"/>
      <c r="DB487" s="75"/>
      <c r="DC487" s="73"/>
      <c r="DD487" s="75"/>
      <c r="DE487" s="75"/>
      <c r="DF487" s="75"/>
      <c r="DG487" s="73"/>
      <c r="DH487" s="75"/>
      <c r="DI487" s="75"/>
      <c r="DJ487" s="75"/>
      <c r="DK487" s="76"/>
    </row>
    <row r="488" spans="63:115" x14ac:dyDescent="0.25">
      <c r="BK488" s="75"/>
      <c r="BL488" s="75"/>
      <c r="BM488" s="75"/>
      <c r="BN488" s="73"/>
      <c r="BO488" s="75"/>
      <c r="BP488" s="75"/>
      <c r="BQ488" s="75"/>
      <c r="BR488" s="75"/>
      <c r="BS488" s="75"/>
      <c r="BT488" s="75"/>
      <c r="BU488" s="75"/>
      <c r="BV488" s="75"/>
      <c r="BW488" s="75"/>
      <c r="BX488" s="75"/>
      <c r="BY488" s="75"/>
      <c r="BZ488" s="75"/>
      <c r="CA488" s="73"/>
      <c r="CB488" s="75"/>
      <c r="CC488" s="75"/>
      <c r="CD488" s="75"/>
      <c r="CE488" s="73"/>
      <c r="CF488" s="75"/>
      <c r="CG488" s="75"/>
      <c r="CH488" s="75"/>
      <c r="CI488" s="73"/>
      <c r="CJ488" s="75"/>
      <c r="CK488" s="75"/>
      <c r="CL488" s="75"/>
      <c r="CM488" s="73"/>
      <c r="CN488" s="75"/>
      <c r="CO488" s="75"/>
      <c r="CP488" s="75"/>
      <c r="CQ488" s="73"/>
      <c r="CR488" s="75"/>
      <c r="CS488" s="75"/>
      <c r="CT488" s="75"/>
      <c r="CU488" s="73"/>
      <c r="CV488" s="75"/>
      <c r="CW488" s="75"/>
      <c r="CX488" s="75"/>
      <c r="CY488" s="73"/>
      <c r="CZ488" s="75"/>
      <c r="DA488" s="75"/>
      <c r="DB488" s="75"/>
      <c r="DC488" s="73"/>
      <c r="DD488" s="75"/>
      <c r="DE488" s="75"/>
      <c r="DF488" s="75"/>
      <c r="DG488" s="73"/>
      <c r="DH488" s="75"/>
      <c r="DI488" s="75"/>
      <c r="DJ488" s="75"/>
      <c r="DK488" s="76"/>
    </row>
    <row r="489" spans="63:115" x14ac:dyDescent="0.25">
      <c r="BK489" s="75"/>
      <c r="BL489" s="75"/>
      <c r="BM489" s="75"/>
      <c r="BN489" s="73"/>
      <c r="BO489" s="75"/>
      <c r="BP489" s="75"/>
      <c r="BQ489" s="75"/>
      <c r="BR489" s="75"/>
      <c r="BS489" s="75"/>
      <c r="BT489" s="75"/>
      <c r="BU489" s="75"/>
      <c r="BV489" s="75"/>
      <c r="BW489" s="75"/>
      <c r="BX489" s="75"/>
      <c r="BY489" s="75"/>
      <c r="BZ489" s="75"/>
      <c r="CA489" s="73"/>
      <c r="CB489" s="75"/>
      <c r="CC489" s="75"/>
      <c r="CD489" s="75"/>
      <c r="CE489" s="73"/>
      <c r="CF489" s="75"/>
      <c r="CG489" s="75"/>
      <c r="CH489" s="75"/>
      <c r="CI489" s="73"/>
      <c r="CJ489" s="75"/>
      <c r="CK489" s="75"/>
      <c r="CL489" s="75"/>
      <c r="CM489" s="73"/>
      <c r="CN489" s="75"/>
      <c r="CO489" s="75"/>
      <c r="CP489" s="75"/>
      <c r="CQ489" s="73"/>
      <c r="CR489" s="75"/>
      <c r="CS489" s="75"/>
      <c r="CT489" s="75"/>
      <c r="CU489" s="73"/>
      <c r="CV489" s="75"/>
      <c r="CW489" s="75"/>
      <c r="CX489" s="75"/>
      <c r="CY489" s="73"/>
      <c r="CZ489" s="75"/>
      <c r="DA489" s="75"/>
      <c r="DB489" s="75"/>
      <c r="DC489" s="73"/>
      <c r="DD489" s="75"/>
      <c r="DE489" s="75"/>
      <c r="DF489" s="75"/>
      <c r="DG489" s="73"/>
      <c r="DH489" s="75"/>
      <c r="DI489" s="75"/>
      <c r="DJ489" s="75"/>
      <c r="DK489" s="76"/>
    </row>
    <row r="490" spans="63:115" x14ac:dyDescent="0.25">
      <c r="BK490" s="75"/>
      <c r="BL490" s="75"/>
      <c r="BM490" s="75"/>
      <c r="BN490" s="73"/>
      <c r="BO490" s="75"/>
      <c r="BP490" s="75"/>
      <c r="BQ490" s="75"/>
      <c r="BR490" s="75"/>
      <c r="BS490" s="75"/>
      <c r="BT490" s="75"/>
      <c r="BU490" s="75"/>
      <c r="BV490" s="75"/>
      <c r="BW490" s="75"/>
      <c r="BX490" s="75"/>
      <c r="BY490" s="75"/>
      <c r="BZ490" s="75"/>
      <c r="CA490" s="73"/>
      <c r="CB490" s="75"/>
      <c r="CC490" s="75"/>
      <c r="CD490" s="75"/>
      <c r="CE490" s="73"/>
      <c r="CF490" s="75"/>
      <c r="CG490" s="75"/>
      <c r="CH490" s="75"/>
      <c r="CI490" s="73"/>
      <c r="CJ490" s="75"/>
      <c r="CK490" s="75"/>
      <c r="CL490" s="75"/>
      <c r="CM490" s="73"/>
      <c r="CN490" s="75"/>
      <c r="CO490" s="75"/>
      <c r="CP490" s="75"/>
      <c r="CQ490" s="73"/>
      <c r="CR490" s="75"/>
      <c r="CS490" s="75"/>
      <c r="CT490" s="75"/>
      <c r="CU490" s="73"/>
      <c r="CV490" s="75"/>
      <c r="CW490" s="75"/>
      <c r="CX490" s="75"/>
      <c r="CY490" s="73"/>
      <c r="CZ490" s="75"/>
      <c r="DA490" s="75"/>
      <c r="DB490" s="75"/>
      <c r="DC490" s="73"/>
      <c r="DD490" s="75"/>
      <c r="DE490" s="75"/>
      <c r="DF490" s="75"/>
      <c r="DG490" s="73"/>
      <c r="DH490" s="75"/>
      <c r="DI490" s="75"/>
      <c r="DJ490" s="75"/>
      <c r="DK490" s="76"/>
    </row>
    <row r="491" spans="63:115" x14ac:dyDescent="0.25">
      <c r="BK491" s="75"/>
      <c r="BL491" s="75"/>
      <c r="BM491" s="75"/>
      <c r="BN491" s="73"/>
      <c r="BO491" s="75"/>
      <c r="BP491" s="75"/>
      <c r="BQ491" s="75"/>
      <c r="BR491" s="75"/>
      <c r="BS491" s="75"/>
      <c r="BT491" s="75"/>
      <c r="BU491" s="75"/>
      <c r="BV491" s="75"/>
      <c r="BW491" s="75"/>
      <c r="BX491" s="75"/>
      <c r="BY491" s="75"/>
      <c r="BZ491" s="75"/>
      <c r="CA491" s="73"/>
      <c r="CB491" s="75"/>
      <c r="CC491" s="75"/>
      <c r="CD491" s="75"/>
      <c r="CE491" s="73"/>
      <c r="CF491" s="75"/>
      <c r="CG491" s="75"/>
      <c r="CH491" s="75"/>
      <c r="CI491" s="73"/>
      <c r="CJ491" s="75"/>
      <c r="CK491" s="75"/>
      <c r="CL491" s="75"/>
      <c r="CM491" s="73"/>
      <c r="CN491" s="75"/>
      <c r="CO491" s="75"/>
      <c r="CP491" s="75"/>
      <c r="CQ491" s="73"/>
      <c r="CR491" s="75"/>
      <c r="CS491" s="75"/>
      <c r="CT491" s="75"/>
      <c r="CU491" s="73"/>
      <c r="CV491" s="75"/>
      <c r="CW491" s="75"/>
      <c r="CX491" s="75"/>
      <c r="CY491" s="73"/>
      <c r="CZ491" s="75"/>
      <c r="DA491" s="75"/>
      <c r="DB491" s="75"/>
      <c r="DC491" s="73"/>
      <c r="DD491" s="75"/>
      <c r="DE491" s="75"/>
      <c r="DF491" s="75"/>
      <c r="DG491" s="73"/>
      <c r="DH491" s="75"/>
      <c r="DI491" s="75"/>
      <c r="DJ491" s="75"/>
      <c r="DK491" s="76"/>
    </row>
    <row r="492" spans="63:115" x14ac:dyDescent="0.25">
      <c r="BK492" s="75"/>
      <c r="BL492" s="75"/>
      <c r="BM492" s="75"/>
      <c r="BN492" s="73"/>
      <c r="BO492" s="75"/>
      <c r="BP492" s="75"/>
      <c r="BQ492" s="75"/>
      <c r="BR492" s="75"/>
      <c r="BS492" s="75"/>
      <c r="BT492" s="75"/>
      <c r="BU492" s="75"/>
      <c r="BV492" s="75"/>
      <c r="BW492" s="75"/>
      <c r="BX492" s="75"/>
      <c r="BY492" s="75"/>
      <c r="BZ492" s="75"/>
      <c r="CA492" s="73"/>
      <c r="CB492" s="75"/>
      <c r="CC492" s="75"/>
      <c r="CD492" s="75"/>
      <c r="CE492" s="73"/>
      <c r="CF492" s="75"/>
      <c r="CG492" s="75"/>
      <c r="CH492" s="75"/>
      <c r="CI492" s="73"/>
      <c r="CJ492" s="75"/>
      <c r="CK492" s="75"/>
      <c r="CL492" s="75"/>
      <c r="CM492" s="73"/>
      <c r="CN492" s="75"/>
      <c r="CO492" s="75"/>
      <c r="CP492" s="75"/>
      <c r="CQ492" s="73"/>
      <c r="CR492" s="75"/>
      <c r="CS492" s="75"/>
      <c r="CT492" s="75"/>
      <c r="CU492" s="73"/>
      <c r="CV492" s="75"/>
      <c r="CW492" s="75"/>
      <c r="CX492" s="75"/>
      <c r="CY492" s="73"/>
      <c r="CZ492" s="75"/>
      <c r="DA492" s="75"/>
      <c r="DB492" s="75"/>
      <c r="DC492" s="73"/>
      <c r="DD492" s="75"/>
      <c r="DE492" s="75"/>
      <c r="DF492" s="75"/>
      <c r="DG492" s="73"/>
      <c r="DH492" s="75"/>
      <c r="DI492" s="75"/>
      <c r="DJ492" s="75"/>
      <c r="DK492" s="76"/>
    </row>
    <row r="493" spans="63:115" x14ac:dyDescent="0.25">
      <c r="BK493" s="75"/>
      <c r="BL493" s="75"/>
      <c r="BM493" s="75"/>
      <c r="BN493" s="73"/>
      <c r="BO493" s="75"/>
      <c r="BP493" s="75"/>
      <c r="BQ493" s="75"/>
      <c r="BR493" s="75"/>
      <c r="BS493" s="75"/>
      <c r="BT493" s="75"/>
      <c r="BU493" s="75"/>
      <c r="BV493" s="75"/>
      <c r="BW493" s="75"/>
      <c r="BX493" s="75"/>
      <c r="BY493" s="75"/>
      <c r="BZ493" s="75"/>
      <c r="CA493" s="73"/>
      <c r="CB493" s="75"/>
      <c r="CC493" s="75"/>
      <c r="CD493" s="75"/>
      <c r="CE493" s="73"/>
      <c r="CF493" s="75"/>
      <c r="CG493" s="75"/>
      <c r="CH493" s="75"/>
      <c r="CI493" s="73"/>
      <c r="CJ493" s="75"/>
      <c r="CK493" s="75"/>
      <c r="CL493" s="75"/>
      <c r="CM493" s="73"/>
      <c r="CN493" s="75"/>
      <c r="CO493" s="75"/>
      <c r="CP493" s="75"/>
      <c r="CQ493" s="73"/>
      <c r="CR493" s="75"/>
      <c r="CS493" s="75"/>
      <c r="CT493" s="75"/>
      <c r="CU493" s="73"/>
      <c r="CV493" s="75"/>
      <c r="CW493" s="75"/>
      <c r="CX493" s="75"/>
      <c r="CY493" s="73"/>
      <c r="CZ493" s="75"/>
      <c r="DA493" s="75"/>
      <c r="DB493" s="75"/>
      <c r="DC493" s="73"/>
      <c r="DD493" s="75"/>
      <c r="DE493" s="75"/>
      <c r="DF493" s="75"/>
      <c r="DG493" s="73"/>
      <c r="DH493" s="75"/>
      <c r="DI493" s="75"/>
      <c r="DJ493" s="75"/>
      <c r="DK493" s="76"/>
    </row>
    <row r="494" spans="63:115" x14ac:dyDescent="0.25">
      <c r="BK494" s="75"/>
      <c r="BL494" s="75"/>
      <c r="BM494" s="75"/>
      <c r="BN494" s="73"/>
      <c r="BO494" s="75"/>
      <c r="BP494" s="75"/>
      <c r="BQ494" s="75"/>
      <c r="BR494" s="75"/>
      <c r="BS494" s="75"/>
      <c r="BT494" s="75"/>
      <c r="BU494" s="75"/>
      <c r="BV494" s="75"/>
      <c r="BW494" s="75"/>
      <c r="BX494" s="75"/>
      <c r="BY494" s="75"/>
      <c r="BZ494" s="75"/>
      <c r="CA494" s="73"/>
      <c r="CB494" s="75"/>
      <c r="CC494" s="75"/>
      <c r="CD494" s="75"/>
      <c r="CE494" s="73"/>
      <c r="CF494" s="75"/>
      <c r="CG494" s="75"/>
      <c r="CH494" s="75"/>
      <c r="CI494" s="73"/>
      <c r="CJ494" s="75"/>
      <c r="CK494" s="75"/>
      <c r="CL494" s="75"/>
      <c r="CM494" s="73"/>
      <c r="CN494" s="75"/>
      <c r="CO494" s="75"/>
      <c r="CP494" s="75"/>
      <c r="CQ494" s="73"/>
      <c r="CR494" s="75"/>
      <c r="CS494" s="75"/>
      <c r="CT494" s="75"/>
      <c r="CU494" s="73"/>
      <c r="CV494" s="75"/>
      <c r="CW494" s="75"/>
      <c r="CX494" s="75"/>
      <c r="CY494" s="73"/>
      <c r="CZ494" s="75"/>
      <c r="DA494" s="75"/>
      <c r="DB494" s="75"/>
      <c r="DC494" s="73"/>
      <c r="DD494" s="75"/>
      <c r="DE494" s="75"/>
      <c r="DF494" s="75"/>
      <c r="DG494" s="73"/>
      <c r="DH494" s="75"/>
      <c r="DI494" s="75"/>
      <c r="DJ494" s="75"/>
      <c r="DK494" s="76"/>
    </row>
    <row r="495" spans="63:115" x14ac:dyDescent="0.25">
      <c r="BK495" s="75"/>
      <c r="BL495" s="75"/>
      <c r="BM495" s="75"/>
      <c r="BN495" s="73"/>
      <c r="BO495" s="75"/>
      <c r="BP495" s="75"/>
      <c r="BQ495" s="75"/>
      <c r="BR495" s="75"/>
      <c r="BS495" s="75"/>
      <c r="BT495" s="75"/>
      <c r="BU495" s="75"/>
      <c r="BV495" s="75"/>
      <c r="BW495" s="75"/>
      <c r="BX495" s="75"/>
      <c r="BY495" s="75"/>
      <c r="BZ495" s="75"/>
      <c r="CA495" s="73"/>
      <c r="CB495" s="75"/>
      <c r="CC495" s="75"/>
      <c r="CD495" s="75"/>
      <c r="CE495" s="73"/>
      <c r="CF495" s="75"/>
      <c r="CG495" s="75"/>
      <c r="CH495" s="75"/>
      <c r="CI495" s="73"/>
      <c r="CJ495" s="75"/>
      <c r="CK495" s="75"/>
      <c r="CL495" s="75"/>
      <c r="CM495" s="73"/>
      <c r="CN495" s="75"/>
      <c r="CO495" s="75"/>
      <c r="CP495" s="75"/>
      <c r="CQ495" s="73"/>
      <c r="CR495" s="75"/>
      <c r="CS495" s="75"/>
      <c r="CT495" s="75"/>
      <c r="CU495" s="73"/>
      <c r="CV495" s="75"/>
      <c r="CW495" s="75"/>
      <c r="CX495" s="75"/>
      <c r="CY495" s="73"/>
      <c r="CZ495" s="75"/>
      <c r="DA495" s="75"/>
      <c r="DB495" s="75"/>
      <c r="DC495" s="73"/>
      <c r="DD495" s="75"/>
      <c r="DE495" s="75"/>
      <c r="DF495" s="75"/>
      <c r="DG495" s="73"/>
      <c r="DH495" s="75"/>
      <c r="DI495" s="75"/>
      <c r="DJ495" s="75"/>
      <c r="DK495" s="76"/>
    </row>
    <row r="496" spans="63:115" x14ac:dyDescent="0.25">
      <c r="BK496" s="75"/>
      <c r="BL496" s="75"/>
      <c r="BM496" s="75"/>
      <c r="BN496" s="73"/>
      <c r="BO496" s="75"/>
      <c r="BP496" s="75"/>
      <c r="BQ496" s="75"/>
      <c r="BR496" s="75"/>
      <c r="BS496" s="75"/>
      <c r="BT496" s="75"/>
      <c r="BU496" s="75"/>
      <c r="BV496" s="75"/>
      <c r="BW496" s="75"/>
      <c r="BX496" s="75"/>
      <c r="BY496" s="75"/>
      <c r="BZ496" s="75"/>
      <c r="CA496" s="73"/>
      <c r="CB496" s="75"/>
      <c r="CC496" s="75"/>
      <c r="CD496" s="75"/>
      <c r="CE496" s="73"/>
      <c r="CF496" s="75"/>
      <c r="CG496" s="75"/>
      <c r="CH496" s="75"/>
      <c r="CI496" s="73"/>
      <c r="CJ496" s="75"/>
      <c r="CK496" s="75"/>
      <c r="CL496" s="75"/>
      <c r="CM496" s="73"/>
      <c r="CN496" s="75"/>
      <c r="CO496" s="75"/>
      <c r="CP496" s="75"/>
      <c r="CQ496" s="73"/>
      <c r="CR496" s="75"/>
      <c r="CS496" s="75"/>
      <c r="CT496" s="75"/>
      <c r="CU496" s="73"/>
      <c r="CV496" s="75"/>
      <c r="CW496" s="75"/>
      <c r="CX496" s="75"/>
      <c r="CY496" s="73"/>
      <c r="CZ496" s="75"/>
      <c r="DA496" s="75"/>
      <c r="DB496" s="75"/>
      <c r="DC496" s="73"/>
      <c r="DD496" s="75"/>
      <c r="DE496" s="75"/>
      <c r="DF496" s="75"/>
      <c r="DG496" s="73"/>
      <c r="DH496" s="75"/>
      <c r="DI496" s="75"/>
      <c r="DJ496" s="75"/>
      <c r="DK496" s="76"/>
    </row>
    <row r="497" spans="63:115" x14ac:dyDescent="0.25">
      <c r="BK497" s="75"/>
      <c r="BL497" s="75"/>
      <c r="BM497" s="75"/>
      <c r="BN497" s="73"/>
      <c r="BO497" s="75"/>
      <c r="BP497" s="75"/>
      <c r="BQ497" s="75"/>
      <c r="BR497" s="75"/>
      <c r="BS497" s="75"/>
      <c r="BT497" s="75"/>
      <c r="BU497" s="75"/>
      <c r="BV497" s="75"/>
      <c r="BW497" s="75"/>
      <c r="BX497" s="75"/>
      <c r="BY497" s="75"/>
      <c r="BZ497" s="75"/>
      <c r="CA497" s="73"/>
      <c r="CB497" s="75"/>
      <c r="CC497" s="75"/>
      <c r="CD497" s="75"/>
      <c r="CE497" s="73"/>
      <c r="CF497" s="75"/>
      <c r="CG497" s="75"/>
      <c r="CH497" s="75"/>
      <c r="CI497" s="73"/>
      <c r="CJ497" s="75"/>
      <c r="CK497" s="75"/>
      <c r="CL497" s="75"/>
      <c r="CM497" s="73"/>
      <c r="CN497" s="75"/>
      <c r="CO497" s="75"/>
      <c r="CP497" s="75"/>
      <c r="CQ497" s="73"/>
      <c r="CR497" s="75"/>
      <c r="CS497" s="75"/>
      <c r="CT497" s="75"/>
      <c r="CU497" s="73"/>
      <c r="CV497" s="75"/>
      <c r="CW497" s="75"/>
      <c r="CX497" s="75"/>
      <c r="CY497" s="73"/>
      <c r="CZ497" s="75"/>
      <c r="DA497" s="75"/>
      <c r="DB497" s="75"/>
      <c r="DC497" s="73"/>
      <c r="DD497" s="75"/>
      <c r="DE497" s="75"/>
      <c r="DF497" s="75"/>
      <c r="DG497" s="73"/>
      <c r="DH497" s="75"/>
      <c r="DI497" s="75"/>
      <c r="DJ497" s="75"/>
      <c r="DK497" s="76"/>
    </row>
    <row r="498" spans="63:115" x14ac:dyDescent="0.25">
      <c r="BK498" s="75"/>
      <c r="BL498" s="75"/>
      <c r="BM498" s="75"/>
      <c r="BN498" s="73"/>
      <c r="BO498" s="75"/>
      <c r="BP498" s="75"/>
      <c r="BQ498" s="75"/>
      <c r="BR498" s="75"/>
      <c r="BS498" s="75"/>
      <c r="BT498" s="75"/>
      <c r="BU498" s="75"/>
      <c r="BV498" s="75"/>
      <c r="BW498" s="75"/>
      <c r="BX498" s="75"/>
      <c r="BY498" s="75"/>
      <c r="BZ498" s="75"/>
      <c r="CA498" s="73"/>
      <c r="CB498" s="75"/>
      <c r="CC498" s="75"/>
      <c r="CD498" s="75"/>
      <c r="CE498" s="73"/>
      <c r="CF498" s="75"/>
      <c r="CG498" s="75"/>
      <c r="CH498" s="75"/>
      <c r="CI498" s="73"/>
      <c r="CJ498" s="75"/>
      <c r="CK498" s="75"/>
      <c r="CL498" s="75"/>
      <c r="CM498" s="73"/>
      <c r="CN498" s="75"/>
      <c r="CO498" s="75"/>
      <c r="CP498" s="75"/>
      <c r="CQ498" s="73"/>
      <c r="CR498" s="75"/>
      <c r="CS498" s="75"/>
      <c r="CT498" s="75"/>
      <c r="CU498" s="73"/>
      <c r="CV498" s="75"/>
      <c r="CW498" s="75"/>
      <c r="CX498" s="75"/>
      <c r="CY498" s="73"/>
      <c r="CZ498" s="75"/>
      <c r="DA498" s="75"/>
      <c r="DB498" s="75"/>
      <c r="DC498" s="73"/>
      <c r="DD498" s="75"/>
      <c r="DE498" s="75"/>
      <c r="DF498" s="75"/>
      <c r="DG498" s="73"/>
      <c r="DH498" s="75"/>
      <c r="DI498" s="75"/>
      <c r="DJ498" s="75"/>
      <c r="DK498" s="76"/>
    </row>
    <row r="499" spans="63:115" x14ac:dyDescent="0.25">
      <c r="BK499" s="75"/>
      <c r="BL499" s="75"/>
      <c r="BM499" s="75"/>
      <c r="BN499" s="73"/>
      <c r="BO499" s="75"/>
      <c r="BP499" s="75"/>
      <c r="BQ499" s="75"/>
      <c r="BR499" s="75"/>
      <c r="BS499" s="75"/>
      <c r="BT499" s="75"/>
      <c r="BU499" s="75"/>
      <c r="BV499" s="75"/>
      <c r="BW499" s="75"/>
      <c r="BX499" s="75"/>
      <c r="BY499" s="75"/>
      <c r="BZ499" s="75"/>
      <c r="CA499" s="73"/>
      <c r="CB499" s="75"/>
      <c r="CC499" s="75"/>
      <c r="CD499" s="75"/>
      <c r="CE499" s="73"/>
      <c r="CF499" s="75"/>
      <c r="CG499" s="75"/>
      <c r="CH499" s="75"/>
      <c r="CI499" s="73"/>
      <c r="CJ499" s="75"/>
      <c r="CK499" s="75"/>
      <c r="CL499" s="75"/>
      <c r="CM499" s="73"/>
      <c r="CN499" s="75"/>
      <c r="CO499" s="75"/>
      <c r="CP499" s="75"/>
      <c r="CQ499" s="73"/>
      <c r="CR499" s="75"/>
      <c r="CS499" s="75"/>
      <c r="CT499" s="75"/>
      <c r="CU499" s="73"/>
      <c r="CV499" s="75"/>
      <c r="CW499" s="75"/>
      <c r="CX499" s="75"/>
      <c r="CY499" s="73"/>
      <c r="CZ499" s="75"/>
      <c r="DA499" s="75"/>
      <c r="DB499" s="75"/>
      <c r="DC499" s="73"/>
      <c r="DD499" s="75"/>
      <c r="DE499" s="75"/>
      <c r="DF499" s="75"/>
      <c r="DG499" s="73"/>
      <c r="DH499" s="75"/>
      <c r="DI499" s="75"/>
      <c r="DJ499" s="75"/>
      <c r="DK499" s="76"/>
    </row>
    <row r="500" spans="63:115" x14ac:dyDescent="0.25">
      <c r="BK500" s="75"/>
      <c r="BL500" s="75"/>
      <c r="BM500" s="75"/>
      <c r="BN500" s="73"/>
      <c r="BO500" s="75"/>
      <c r="BP500" s="75"/>
      <c r="BQ500" s="75"/>
      <c r="BR500" s="75"/>
      <c r="BS500" s="75"/>
      <c r="BT500" s="75"/>
      <c r="BU500" s="75"/>
      <c r="BV500" s="75"/>
      <c r="BW500" s="75"/>
      <c r="BX500" s="75"/>
      <c r="BY500" s="75"/>
      <c r="BZ500" s="75"/>
      <c r="CA500" s="73"/>
      <c r="CB500" s="75"/>
      <c r="CC500" s="75"/>
      <c r="CD500" s="75"/>
      <c r="CE500" s="73"/>
      <c r="CF500" s="75"/>
      <c r="CG500" s="75"/>
      <c r="CH500" s="75"/>
      <c r="CI500" s="73"/>
      <c r="CJ500" s="75"/>
      <c r="CK500" s="75"/>
      <c r="CL500" s="75"/>
      <c r="CM500" s="73"/>
      <c r="CN500" s="75"/>
      <c r="CO500" s="75"/>
      <c r="CP500" s="75"/>
      <c r="CQ500" s="73"/>
      <c r="CR500" s="75"/>
      <c r="CS500" s="75"/>
      <c r="CT500" s="75"/>
      <c r="CU500" s="73"/>
      <c r="CV500" s="75"/>
      <c r="CW500" s="75"/>
      <c r="CX500" s="75"/>
      <c r="CY500" s="73"/>
      <c r="CZ500" s="75"/>
      <c r="DA500" s="75"/>
      <c r="DB500" s="75"/>
      <c r="DC500" s="73"/>
      <c r="DD500" s="75"/>
      <c r="DE500" s="75"/>
      <c r="DF500" s="75"/>
      <c r="DG500" s="73"/>
      <c r="DH500" s="75"/>
      <c r="DI500" s="75"/>
      <c r="DJ500" s="75"/>
      <c r="DK500" s="76"/>
    </row>
    <row r="501" spans="63:115" x14ac:dyDescent="0.25">
      <c r="BK501" s="75"/>
      <c r="BL501" s="75"/>
      <c r="BM501" s="75"/>
      <c r="BN501" s="73"/>
      <c r="BO501" s="75"/>
      <c r="BP501" s="75"/>
      <c r="BQ501" s="75"/>
      <c r="BR501" s="75"/>
      <c r="BS501" s="75"/>
      <c r="BT501" s="75"/>
      <c r="BU501" s="75"/>
      <c r="BV501" s="75"/>
      <c r="BW501" s="75"/>
      <c r="BX501" s="75"/>
      <c r="BY501" s="75"/>
      <c r="BZ501" s="75"/>
      <c r="CA501" s="73"/>
      <c r="CB501" s="75"/>
      <c r="CC501" s="75"/>
      <c r="CD501" s="75"/>
      <c r="CE501" s="73"/>
      <c r="CF501" s="75"/>
      <c r="CG501" s="75"/>
      <c r="CH501" s="75"/>
      <c r="CI501" s="73"/>
      <c r="CJ501" s="75"/>
      <c r="CK501" s="75"/>
      <c r="CL501" s="75"/>
      <c r="CM501" s="73"/>
      <c r="CN501" s="75"/>
      <c r="CO501" s="75"/>
      <c r="CP501" s="75"/>
      <c r="CQ501" s="73"/>
      <c r="CR501" s="75"/>
      <c r="CS501" s="75"/>
      <c r="CT501" s="75"/>
      <c r="CU501" s="73"/>
      <c r="CV501" s="75"/>
      <c r="CW501" s="75"/>
      <c r="CX501" s="75"/>
      <c r="CY501" s="73"/>
      <c r="CZ501" s="75"/>
      <c r="DA501" s="75"/>
      <c r="DB501" s="75"/>
      <c r="DC501" s="73"/>
      <c r="DD501" s="75"/>
      <c r="DE501" s="75"/>
      <c r="DF501" s="75"/>
      <c r="DG501" s="73"/>
      <c r="DH501" s="75"/>
      <c r="DI501" s="75"/>
      <c r="DJ501" s="75"/>
      <c r="DK501" s="76"/>
    </row>
    <row r="502" spans="63:115" x14ac:dyDescent="0.25">
      <c r="BK502" s="75"/>
      <c r="BL502" s="75"/>
      <c r="BM502" s="75"/>
      <c r="BN502" s="73"/>
      <c r="BO502" s="75"/>
      <c r="BP502" s="75"/>
      <c r="BQ502" s="75"/>
      <c r="BR502" s="75"/>
      <c r="BS502" s="75"/>
      <c r="BT502" s="75"/>
      <c r="BU502" s="75"/>
      <c r="BV502" s="75"/>
      <c r="BW502" s="75"/>
      <c r="BX502" s="75"/>
      <c r="BY502" s="75"/>
      <c r="BZ502" s="75"/>
      <c r="CA502" s="73"/>
      <c r="CB502" s="75"/>
      <c r="CC502" s="75"/>
      <c r="CD502" s="75"/>
      <c r="CE502" s="73"/>
      <c r="CF502" s="75"/>
      <c r="CG502" s="75"/>
      <c r="CH502" s="75"/>
      <c r="CI502" s="73"/>
      <c r="CJ502" s="75"/>
      <c r="CK502" s="75"/>
      <c r="CL502" s="75"/>
      <c r="CM502" s="73"/>
      <c r="CN502" s="75"/>
      <c r="CO502" s="75"/>
      <c r="CP502" s="75"/>
      <c r="CQ502" s="73"/>
      <c r="CR502" s="75"/>
      <c r="CS502" s="75"/>
      <c r="CT502" s="75"/>
      <c r="CU502" s="73"/>
      <c r="CV502" s="75"/>
      <c r="CW502" s="75"/>
      <c r="CX502" s="75"/>
      <c r="CY502" s="73"/>
      <c r="CZ502" s="75"/>
      <c r="DA502" s="75"/>
      <c r="DB502" s="75"/>
      <c r="DC502" s="73"/>
      <c r="DD502" s="75"/>
      <c r="DE502" s="75"/>
      <c r="DF502" s="75"/>
      <c r="DG502" s="73"/>
      <c r="DH502" s="75"/>
      <c r="DI502" s="75"/>
      <c r="DJ502" s="75"/>
      <c r="DK502" s="76"/>
    </row>
    <row r="503" spans="63:115" x14ac:dyDescent="0.25">
      <c r="BK503" s="75"/>
      <c r="BL503" s="75"/>
      <c r="BM503" s="75"/>
      <c r="BN503" s="73"/>
      <c r="BO503" s="75"/>
      <c r="BP503" s="75"/>
      <c r="BQ503" s="75"/>
      <c r="BR503" s="75"/>
      <c r="BS503" s="75"/>
      <c r="BT503" s="75"/>
      <c r="BU503" s="75"/>
      <c r="BV503" s="75"/>
      <c r="BW503" s="75"/>
      <c r="BX503" s="75"/>
      <c r="BY503" s="75"/>
      <c r="BZ503" s="75"/>
      <c r="CA503" s="73"/>
      <c r="CB503" s="75"/>
      <c r="CC503" s="75"/>
      <c r="CD503" s="75"/>
      <c r="CE503" s="73"/>
      <c r="CF503" s="75"/>
      <c r="CG503" s="75"/>
      <c r="CH503" s="75"/>
      <c r="CI503" s="73"/>
      <c r="CJ503" s="75"/>
      <c r="CK503" s="75"/>
      <c r="CL503" s="75"/>
      <c r="CM503" s="73"/>
      <c r="CN503" s="75"/>
      <c r="CO503" s="75"/>
      <c r="CP503" s="75"/>
      <c r="CQ503" s="73"/>
      <c r="CR503" s="75"/>
      <c r="CS503" s="75"/>
      <c r="CT503" s="75"/>
      <c r="CU503" s="73"/>
      <c r="CV503" s="75"/>
      <c r="CW503" s="75"/>
      <c r="CX503" s="75"/>
      <c r="CY503" s="73"/>
      <c r="CZ503" s="75"/>
      <c r="DA503" s="75"/>
      <c r="DB503" s="75"/>
      <c r="DC503" s="73"/>
      <c r="DD503" s="75"/>
      <c r="DE503" s="75"/>
      <c r="DF503" s="75"/>
      <c r="DG503" s="73"/>
      <c r="DH503" s="75"/>
      <c r="DI503" s="75"/>
      <c r="DJ503" s="75"/>
      <c r="DK503" s="76"/>
    </row>
    <row r="504" spans="63:115" x14ac:dyDescent="0.25">
      <c r="BK504" s="75"/>
      <c r="BL504" s="75"/>
      <c r="BM504" s="75"/>
      <c r="BN504" s="73"/>
      <c r="BO504" s="75"/>
      <c r="BP504" s="75"/>
      <c r="BQ504" s="75"/>
      <c r="BR504" s="75"/>
      <c r="BS504" s="75"/>
      <c r="BT504" s="75"/>
      <c r="BU504" s="75"/>
      <c r="BV504" s="75"/>
      <c r="BW504" s="75"/>
      <c r="BX504" s="75"/>
      <c r="BY504" s="75"/>
      <c r="BZ504" s="75"/>
      <c r="CA504" s="73"/>
      <c r="CB504" s="75"/>
      <c r="CC504" s="75"/>
      <c r="CD504" s="75"/>
      <c r="CE504" s="73"/>
      <c r="CF504" s="75"/>
      <c r="CG504" s="75"/>
      <c r="CH504" s="75"/>
      <c r="CI504" s="73"/>
      <c r="CJ504" s="75"/>
      <c r="CK504" s="75"/>
      <c r="CL504" s="75"/>
      <c r="CM504" s="73"/>
      <c r="CN504" s="75"/>
      <c r="CO504" s="75"/>
      <c r="CP504" s="75"/>
      <c r="CQ504" s="73"/>
      <c r="CR504" s="75"/>
      <c r="CS504" s="75"/>
      <c r="CT504" s="75"/>
      <c r="CU504" s="73"/>
      <c r="CV504" s="75"/>
      <c r="CW504" s="75"/>
      <c r="CX504" s="75"/>
      <c r="CY504" s="73"/>
      <c r="CZ504" s="75"/>
      <c r="DA504" s="75"/>
      <c r="DB504" s="75"/>
      <c r="DC504" s="73"/>
      <c r="DD504" s="75"/>
      <c r="DE504" s="75"/>
      <c r="DF504" s="75"/>
      <c r="DG504" s="73"/>
      <c r="DH504" s="75"/>
      <c r="DI504" s="75"/>
      <c r="DJ504" s="75"/>
      <c r="DK504" s="76"/>
    </row>
    <row r="505" spans="63:115" x14ac:dyDescent="0.25">
      <c r="BK505" s="75"/>
      <c r="BL505" s="75"/>
      <c r="BM505" s="75"/>
      <c r="BN505" s="73"/>
      <c r="BO505" s="75"/>
      <c r="BP505" s="75"/>
      <c r="BQ505" s="75"/>
      <c r="BR505" s="75"/>
      <c r="BS505" s="75"/>
      <c r="BT505" s="75"/>
      <c r="BU505" s="75"/>
      <c r="BV505" s="75"/>
      <c r="BW505" s="75"/>
      <c r="BX505" s="75"/>
      <c r="BY505" s="75"/>
      <c r="BZ505" s="75"/>
      <c r="CA505" s="73"/>
      <c r="CB505" s="75"/>
      <c r="CC505" s="75"/>
      <c r="CD505" s="75"/>
      <c r="CE505" s="73"/>
      <c r="CF505" s="75"/>
      <c r="CG505" s="75"/>
      <c r="CH505" s="75"/>
      <c r="CI505" s="73"/>
      <c r="CJ505" s="75"/>
      <c r="CK505" s="75"/>
      <c r="CL505" s="75"/>
      <c r="CM505" s="73"/>
      <c r="CN505" s="75"/>
      <c r="CO505" s="75"/>
      <c r="CP505" s="75"/>
      <c r="CQ505" s="73"/>
      <c r="CR505" s="75"/>
      <c r="CS505" s="75"/>
      <c r="CT505" s="75"/>
      <c r="CU505" s="73"/>
      <c r="CV505" s="75"/>
      <c r="CW505" s="75"/>
      <c r="CX505" s="75"/>
      <c r="CY505" s="73"/>
      <c r="CZ505" s="75"/>
      <c r="DA505" s="75"/>
      <c r="DB505" s="75"/>
      <c r="DC505" s="73"/>
      <c r="DD505" s="75"/>
      <c r="DE505" s="75"/>
      <c r="DF505" s="75"/>
      <c r="DG505" s="73"/>
      <c r="DH505" s="75"/>
      <c r="DI505" s="75"/>
      <c r="DJ505" s="75"/>
      <c r="DK505" s="76"/>
    </row>
    <row r="506" spans="63:115" x14ac:dyDescent="0.25">
      <c r="BK506" s="75"/>
      <c r="BL506" s="75"/>
      <c r="BM506" s="75"/>
      <c r="BN506" s="73"/>
      <c r="BO506" s="75"/>
      <c r="BP506" s="75"/>
      <c r="BQ506" s="75"/>
      <c r="BR506" s="75"/>
      <c r="BS506" s="75"/>
      <c r="BT506" s="75"/>
      <c r="BU506" s="75"/>
      <c r="BV506" s="75"/>
      <c r="BW506" s="75"/>
      <c r="BX506" s="75"/>
      <c r="BY506" s="75"/>
      <c r="BZ506" s="75"/>
      <c r="CA506" s="73"/>
      <c r="CB506" s="75"/>
      <c r="CC506" s="75"/>
      <c r="CD506" s="75"/>
      <c r="CE506" s="73"/>
      <c r="CF506" s="75"/>
      <c r="CG506" s="75"/>
      <c r="CH506" s="75"/>
      <c r="CI506" s="73"/>
      <c r="CJ506" s="75"/>
      <c r="CK506" s="75"/>
      <c r="CL506" s="75"/>
      <c r="CM506" s="73"/>
      <c r="CN506" s="75"/>
      <c r="CO506" s="75"/>
      <c r="CP506" s="75"/>
      <c r="CQ506" s="73"/>
      <c r="CR506" s="75"/>
      <c r="CS506" s="75"/>
      <c r="CT506" s="75"/>
      <c r="CU506" s="73"/>
      <c r="CV506" s="75"/>
      <c r="CW506" s="75"/>
      <c r="CX506" s="75"/>
      <c r="CY506" s="73"/>
      <c r="CZ506" s="75"/>
      <c r="DA506" s="75"/>
      <c r="DB506" s="75"/>
      <c r="DC506" s="73"/>
      <c r="DD506" s="75"/>
      <c r="DE506" s="75"/>
      <c r="DF506" s="75"/>
      <c r="DG506" s="73"/>
      <c r="DH506" s="75"/>
      <c r="DI506" s="75"/>
      <c r="DJ506" s="75"/>
      <c r="DK506" s="76"/>
    </row>
    <row r="507" spans="63:115" x14ac:dyDescent="0.25">
      <c r="BK507" s="75"/>
      <c r="BL507" s="75"/>
      <c r="BM507" s="75"/>
      <c r="BN507" s="73"/>
      <c r="BO507" s="75"/>
      <c r="BP507" s="75"/>
      <c r="BQ507" s="75"/>
      <c r="BR507" s="75"/>
      <c r="BS507" s="75"/>
      <c r="BT507" s="75"/>
      <c r="BU507" s="75"/>
      <c r="BV507" s="75"/>
      <c r="BW507" s="75"/>
      <c r="BX507" s="75"/>
      <c r="BY507" s="75"/>
      <c r="BZ507" s="75"/>
      <c r="CA507" s="73"/>
      <c r="CB507" s="75"/>
      <c r="CC507" s="75"/>
      <c r="CD507" s="75"/>
      <c r="CE507" s="73"/>
      <c r="CF507" s="75"/>
      <c r="CG507" s="75"/>
      <c r="CH507" s="75"/>
      <c r="CI507" s="73"/>
      <c r="CJ507" s="75"/>
      <c r="CK507" s="75"/>
      <c r="CL507" s="75"/>
      <c r="CM507" s="73"/>
      <c r="CN507" s="75"/>
      <c r="CO507" s="75"/>
      <c r="CP507" s="75"/>
      <c r="CQ507" s="73"/>
      <c r="CR507" s="75"/>
      <c r="CS507" s="75"/>
      <c r="CT507" s="75"/>
      <c r="CU507" s="73"/>
      <c r="CV507" s="75"/>
      <c r="CW507" s="75"/>
      <c r="CX507" s="75"/>
      <c r="CY507" s="73"/>
      <c r="CZ507" s="75"/>
      <c r="DA507" s="75"/>
      <c r="DB507" s="75"/>
      <c r="DC507" s="73"/>
      <c r="DD507" s="75"/>
      <c r="DE507" s="75"/>
      <c r="DF507" s="75"/>
      <c r="DG507" s="73"/>
      <c r="DH507" s="75"/>
      <c r="DI507" s="75"/>
      <c r="DJ507" s="75"/>
      <c r="DK507" s="76"/>
    </row>
    <row r="508" spans="63:115" x14ac:dyDescent="0.25">
      <c r="BK508" s="75"/>
      <c r="BL508" s="75"/>
      <c r="BM508" s="75"/>
      <c r="BN508" s="73"/>
      <c r="BO508" s="75"/>
      <c r="BP508" s="75"/>
      <c r="BQ508" s="75"/>
      <c r="BR508" s="75"/>
      <c r="BS508" s="75"/>
      <c r="BT508" s="75"/>
      <c r="BU508" s="75"/>
      <c r="BV508" s="75"/>
      <c r="BW508" s="75"/>
      <c r="BX508" s="75"/>
      <c r="BY508" s="75"/>
      <c r="BZ508" s="75"/>
      <c r="CA508" s="73"/>
      <c r="CB508" s="75"/>
      <c r="CC508" s="75"/>
      <c r="CD508" s="75"/>
      <c r="CE508" s="73"/>
      <c r="CF508" s="75"/>
      <c r="CG508" s="75"/>
      <c r="CH508" s="75"/>
      <c r="CI508" s="73"/>
      <c r="CJ508" s="75"/>
      <c r="CK508" s="75"/>
      <c r="CL508" s="75"/>
      <c r="CM508" s="73"/>
      <c r="CN508" s="75"/>
      <c r="CO508" s="75"/>
      <c r="CP508" s="75"/>
      <c r="CQ508" s="73"/>
      <c r="CR508" s="75"/>
      <c r="CS508" s="75"/>
      <c r="CT508" s="75"/>
      <c r="CU508" s="73"/>
      <c r="CV508" s="75"/>
      <c r="CW508" s="75"/>
      <c r="CX508" s="75"/>
      <c r="CY508" s="73"/>
      <c r="CZ508" s="75"/>
      <c r="DA508" s="75"/>
      <c r="DB508" s="75"/>
      <c r="DC508" s="73"/>
      <c r="DD508" s="75"/>
      <c r="DE508" s="75"/>
      <c r="DF508" s="75"/>
      <c r="DG508" s="73"/>
      <c r="DH508" s="75"/>
      <c r="DI508" s="75"/>
      <c r="DJ508" s="75"/>
      <c r="DK508" s="76"/>
    </row>
    <row r="509" spans="63:115" x14ac:dyDescent="0.25">
      <c r="BK509" s="75"/>
      <c r="BL509" s="75"/>
      <c r="BM509" s="75"/>
      <c r="BN509" s="73"/>
      <c r="BO509" s="75"/>
      <c r="BP509" s="75"/>
      <c r="BQ509" s="75"/>
      <c r="BR509" s="75"/>
      <c r="BS509" s="75"/>
      <c r="BT509" s="75"/>
      <c r="BU509" s="75"/>
      <c r="BV509" s="75"/>
      <c r="BW509" s="75"/>
      <c r="BX509" s="75"/>
      <c r="BY509" s="75"/>
      <c r="BZ509" s="75"/>
      <c r="CA509" s="73"/>
      <c r="CB509" s="75"/>
      <c r="CC509" s="75"/>
      <c r="CD509" s="75"/>
      <c r="CE509" s="73"/>
      <c r="CF509" s="75"/>
      <c r="CG509" s="75"/>
      <c r="CH509" s="75"/>
      <c r="CI509" s="73"/>
      <c r="CJ509" s="75"/>
      <c r="CK509" s="75"/>
      <c r="CL509" s="75"/>
      <c r="CM509" s="73"/>
      <c r="CN509" s="75"/>
      <c r="CO509" s="75"/>
      <c r="CP509" s="75"/>
      <c r="CQ509" s="73"/>
      <c r="CR509" s="75"/>
      <c r="CS509" s="75"/>
      <c r="CT509" s="75"/>
      <c r="CU509" s="73"/>
      <c r="CV509" s="75"/>
      <c r="CW509" s="75"/>
      <c r="CX509" s="75"/>
      <c r="CY509" s="73"/>
      <c r="CZ509" s="75"/>
      <c r="DA509" s="75"/>
      <c r="DB509" s="75"/>
      <c r="DC509" s="73"/>
      <c r="DD509" s="75"/>
      <c r="DE509" s="75"/>
      <c r="DF509" s="75"/>
      <c r="DG509" s="73"/>
      <c r="DH509" s="75"/>
      <c r="DI509" s="75"/>
      <c r="DJ509" s="75"/>
      <c r="DK509" s="76"/>
    </row>
    <row r="510" spans="63:115" x14ac:dyDescent="0.25">
      <c r="BK510" s="75"/>
      <c r="BL510" s="75"/>
      <c r="BM510" s="75"/>
      <c r="BN510" s="73"/>
      <c r="BO510" s="75"/>
      <c r="BP510" s="75"/>
      <c r="BQ510" s="75"/>
      <c r="BR510" s="75"/>
      <c r="BS510" s="75"/>
      <c r="BT510" s="75"/>
      <c r="BU510" s="75"/>
      <c r="BV510" s="75"/>
      <c r="BW510" s="75"/>
      <c r="BX510" s="75"/>
      <c r="BY510" s="75"/>
      <c r="BZ510" s="75"/>
      <c r="CA510" s="73"/>
      <c r="CB510" s="75"/>
      <c r="CC510" s="75"/>
      <c r="CD510" s="75"/>
      <c r="CE510" s="73"/>
      <c r="CF510" s="75"/>
      <c r="CG510" s="75"/>
      <c r="CH510" s="75"/>
      <c r="CI510" s="73"/>
      <c r="CJ510" s="75"/>
      <c r="CK510" s="75"/>
      <c r="CL510" s="75"/>
      <c r="CM510" s="73"/>
      <c r="CN510" s="75"/>
      <c r="CO510" s="75"/>
      <c r="CP510" s="75"/>
      <c r="CQ510" s="73"/>
      <c r="CR510" s="75"/>
      <c r="CS510" s="75"/>
      <c r="CT510" s="75"/>
      <c r="CU510" s="73"/>
      <c r="CV510" s="75"/>
      <c r="CW510" s="75"/>
      <c r="CX510" s="75"/>
      <c r="CY510" s="73"/>
      <c r="CZ510" s="75"/>
      <c r="DA510" s="75"/>
      <c r="DB510" s="75"/>
      <c r="DC510" s="73"/>
      <c r="DD510" s="75"/>
      <c r="DE510" s="75"/>
      <c r="DF510" s="75"/>
      <c r="DG510" s="73"/>
      <c r="DH510" s="75"/>
      <c r="DI510" s="75"/>
      <c r="DJ510" s="75"/>
      <c r="DK510" s="76"/>
    </row>
    <row r="511" spans="63:115" x14ac:dyDescent="0.25">
      <c r="BK511" s="75"/>
      <c r="BL511" s="75"/>
      <c r="BM511" s="75"/>
      <c r="BN511" s="73"/>
      <c r="BO511" s="75"/>
      <c r="BP511" s="75"/>
      <c r="BQ511" s="75"/>
      <c r="BR511" s="75"/>
      <c r="BS511" s="75"/>
      <c r="BT511" s="75"/>
      <c r="BU511" s="75"/>
      <c r="BV511" s="75"/>
      <c r="BW511" s="75"/>
      <c r="BX511" s="75"/>
      <c r="BY511" s="75"/>
      <c r="BZ511" s="75"/>
      <c r="CA511" s="73"/>
      <c r="CB511" s="75"/>
      <c r="CC511" s="75"/>
      <c r="CD511" s="75"/>
      <c r="CE511" s="73"/>
      <c r="CF511" s="75"/>
      <c r="CG511" s="75"/>
      <c r="CH511" s="75"/>
      <c r="CI511" s="73"/>
      <c r="CJ511" s="75"/>
      <c r="CK511" s="75"/>
      <c r="CL511" s="75"/>
      <c r="CM511" s="73"/>
      <c r="CN511" s="75"/>
      <c r="CO511" s="75"/>
      <c r="CP511" s="75"/>
      <c r="CQ511" s="73"/>
      <c r="CR511" s="75"/>
      <c r="CS511" s="75"/>
      <c r="CT511" s="75"/>
      <c r="CU511" s="73"/>
      <c r="CV511" s="75"/>
      <c r="CW511" s="75"/>
      <c r="CX511" s="75"/>
      <c r="CY511" s="73"/>
      <c r="CZ511" s="75"/>
      <c r="DA511" s="75"/>
      <c r="DB511" s="75"/>
      <c r="DC511" s="73"/>
      <c r="DD511" s="75"/>
      <c r="DE511" s="75"/>
      <c r="DF511" s="75"/>
      <c r="DG511" s="73"/>
      <c r="DH511" s="75"/>
      <c r="DI511" s="75"/>
      <c r="DJ511" s="75"/>
      <c r="DK511" s="76"/>
    </row>
    <row r="512" spans="63:115" x14ac:dyDescent="0.25">
      <c r="BK512" s="75"/>
      <c r="BL512" s="75"/>
      <c r="BM512" s="75"/>
      <c r="BN512" s="73"/>
      <c r="BO512" s="75"/>
      <c r="BP512" s="75"/>
      <c r="BQ512" s="75"/>
      <c r="BR512" s="75"/>
      <c r="BS512" s="75"/>
      <c r="BT512" s="75"/>
      <c r="BU512" s="75"/>
      <c r="BV512" s="75"/>
      <c r="BW512" s="75"/>
      <c r="BX512" s="75"/>
      <c r="BY512" s="75"/>
      <c r="BZ512" s="75"/>
      <c r="CA512" s="73"/>
      <c r="CB512" s="75"/>
      <c r="CC512" s="75"/>
      <c r="CD512" s="75"/>
      <c r="CE512" s="73"/>
      <c r="CF512" s="75"/>
      <c r="CG512" s="75"/>
      <c r="CH512" s="75"/>
      <c r="CI512" s="73"/>
      <c r="CJ512" s="75"/>
      <c r="CK512" s="75"/>
      <c r="CL512" s="75"/>
      <c r="CM512" s="73"/>
      <c r="CN512" s="75"/>
      <c r="CO512" s="75"/>
      <c r="CP512" s="75"/>
      <c r="CQ512" s="73"/>
      <c r="CR512" s="75"/>
      <c r="CS512" s="75"/>
      <c r="CT512" s="75"/>
      <c r="CU512" s="73"/>
      <c r="CV512" s="75"/>
      <c r="CW512" s="75"/>
      <c r="CX512" s="75"/>
      <c r="CY512" s="73"/>
      <c r="CZ512" s="75"/>
      <c r="DA512" s="75"/>
      <c r="DB512" s="75"/>
      <c r="DC512" s="73"/>
      <c r="DD512" s="75"/>
      <c r="DE512" s="75"/>
      <c r="DF512" s="75"/>
      <c r="DG512" s="73"/>
      <c r="DH512" s="75"/>
      <c r="DI512" s="75"/>
      <c r="DJ512" s="75"/>
      <c r="DK512" s="76"/>
    </row>
    <row r="513" spans="63:115" x14ac:dyDescent="0.25">
      <c r="BK513" s="75"/>
      <c r="BL513" s="75"/>
      <c r="BM513" s="75"/>
      <c r="BN513" s="73"/>
      <c r="BO513" s="75"/>
      <c r="BP513" s="75"/>
      <c r="BQ513" s="75"/>
      <c r="BR513" s="75"/>
      <c r="BS513" s="75"/>
      <c r="BT513" s="75"/>
      <c r="BU513" s="75"/>
      <c r="BV513" s="75"/>
      <c r="BW513" s="75"/>
      <c r="BX513" s="75"/>
      <c r="BY513" s="75"/>
      <c r="BZ513" s="75"/>
      <c r="CA513" s="73"/>
      <c r="CB513" s="75"/>
      <c r="CC513" s="75"/>
      <c r="CD513" s="75"/>
      <c r="CE513" s="73"/>
      <c r="CF513" s="75"/>
      <c r="CG513" s="75"/>
      <c r="CH513" s="75"/>
      <c r="CI513" s="73"/>
      <c r="CJ513" s="75"/>
      <c r="CK513" s="75"/>
      <c r="CL513" s="75"/>
      <c r="CM513" s="73"/>
      <c r="CN513" s="75"/>
      <c r="CO513" s="75"/>
      <c r="CP513" s="75"/>
      <c r="CQ513" s="73"/>
      <c r="CR513" s="75"/>
      <c r="CS513" s="75"/>
      <c r="CT513" s="75"/>
      <c r="CU513" s="73"/>
      <c r="CV513" s="75"/>
      <c r="CW513" s="75"/>
      <c r="CX513" s="75"/>
      <c r="CY513" s="73"/>
      <c r="CZ513" s="75"/>
      <c r="DA513" s="75"/>
      <c r="DB513" s="75"/>
      <c r="DC513" s="73"/>
      <c r="DD513" s="75"/>
      <c r="DE513" s="75"/>
      <c r="DF513" s="75"/>
      <c r="DG513" s="73"/>
      <c r="DH513" s="75"/>
      <c r="DI513" s="75"/>
      <c r="DJ513" s="75"/>
      <c r="DK513" s="76"/>
    </row>
    <row r="514" spans="63:115" x14ac:dyDescent="0.25">
      <c r="BK514" s="75"/>
      <c r="BL514" s="75"/>
      <c r="BM514" s="75"/>
      <c r="BN514" s="73"/>
      <c r="BO514" s="75"/>
      <c r="BP514" s="75"/>
      <c r="BQ514" s="75"/>
      <c r="BR514" s="75"/>
      <c r="BS514" s="75"/>
      <c r="BT514" s="75"/>
      <c r="BU514" s="75"/>
      <c r="BV514" s="75"/>
      <c r="BW514" s="75"/>
      <c r="BX514" s="75"/>
      <c r="BY514" s="75"/>
      <c r="BZ514" s="75"/>
      <c r="CA514" s="73"/>
      <c r="CB514" s="75"/>
      <c r="CC514" s="75"/>
      <c r="CD514" s="75"/>
      <c r="CE514" s="73"/>
      <c r="CF514" s="75"/>
      <c r="CG514" s="75"/>
      <c r="CH514" s="75"/>
      <c r="CI514" s="73"/>
      <c r="CJ514" s="75"/>
      <c r="CK514" s="75"/>
      <c r="CL514" s="75"/>
      <c r="CM514" s="73"/>
      <c r="CN514" s="75"/>
      <c r="CO514" s="75"/>
      <c r="CP514" s="75"/>
      <c r="CQ514" s="73"/>
      <c r="CR514" s="75"/>
      <c r="CS514" s="75"/>
      <c r="CT514" s="75"/>
      <c r="CU514" s="73"/>
      <c r="CV514" s="75"/>
      <c r="CW514" s="75"/>
      <c r="CX514" s="75"/>
      <c r="CY514" s="73"/>
      <c r="CZ514" s="75"/>
      <c r="DA514" s="75"/>
      <c r="DB514" s="75"/>
      <c r="DC514" s="73"/>
      <c r="DD514" s="75"/>
      <c r="DE514" s="75"/>
      <c r="DF514" s="75"/>
      <c r="DG514" s="73"/>
      <c r="DH514" s="75"/>
      <c r="DI514" s="75"/>
      <c r="DJ514" s="75"/>
      <c r="DK514" s="76"/>
    </row>
    <row r="515" spans="63:115" x14ac:dyDescent="0.25">
      <c r="BK515" s="75"/>
      <c r="BL515" s="75"/>
      <c r="BM515" s="75"/>
      <c r="BN515" s="73"/>
      <c r="BO515" s="75"/>
      <c r="BP515" s="75"/>
      <c r="BQ515" s="75"/>
      <c r="BR515" s="75"/>
      <c r="BS515" s="75"/>
      <c r="BT515" s="75"/>
      <c r="BU515" s="75"/>
      <c r="BV515" s="75"/>
      <c r="BW515" s="75"/>
      <c r="BX515" s="75"/>
      <c r="BY515" s="75"/>
      <c r="BZ515" s="75"/>
      <c r="CA515" s="73"/>
      <c r="CB515" s="75"/>
      <c r="CC515" s="75"/>
      <c r="CD515" s="75"/>
      <c r="CE515" s="73"/>
      <c r="CF515" s="75"/>
      <c r="CG515" s="75"/>
      <c r="CH515" s="75"/>
      <c r="CI515" s="73"/>
      <c r="CJ515" s="75"/>
      <c r="CK515" s="75"/>
      <c r="CL515" s="75"/>
      <c r="CM515" s="73"/>
      <c r="CN515" s="75"/>
      <c r="CO515" s="75"/>
      <c r="CP515" s="75"/>
      <c r="CQ515" s="73"/>
      <c r="CR515" s="75"/>
      <c r="CS515" s="75"/>
      <c r="CT515" s="75"/>
      <c r="CU515" s="73"/>
      <c r="CV515" s="75"/>
      <c r="CW515" s="75"/>
      <c r="CX515" s="75"/>
      <c r="CY515" s="73"/>
      <c r="CZ515" s="75"/>
      <c r="DA515" s="75"/>
      <c r="DB515" s="75"/>
      <c r="DC515" s="73"/>
      <c r="DD515" s="75"/>
      <c r="DE515" s="75"/>
      <c r="DF515" s="75"/>
      <c r="DG515" s="73"/>
      <c r="DH515" s="75"/>
      <c r="DI515" s="75"/>
      <c r="DJ515" s="75"/>
      <c r="DK515" s="76"/>
    </row>
    <row r="516" spans="63:115" x14ac:dyDescent="0.25">
      <c r="BK516" s="75"/>
      <c r="BL516" s="75"/>
      <c r="BM516" s="75"/>
      <c r="BN516" s="73"/>
      <c r="BO516" s="75"/>
      <c r="BP516" s="75"/>
      <c r="BQ516" s="75"/>
      <c r="BR516" s="75"/>
      <c r="BS516" s="75"/>
      <c r="BT516" s="75"/>
      <c r="BU516" s="75"/>
      <c r="BV516" s="75"/>
      <c r="BW516" s="75"/>
      <c r="BX516" s="75"/>
      <c r="BY516" s="75"/>
      <c r="BZ516" s="75"/>
      <c r="CA516" s="73"/>
      <c r="CB516" s="75"/>
      <c r="CC516" s="75"/>
      <c r="CD516" s="75"/>
      <c r="CE516" s="73"/>
      <c r="CF516" s="75"/>
      <c r="CG516" s="75"/>
      <c r="CH516" s="75"/>
      <c r="CI516" s="73"/>
      <c r="CJ516" s="75"/>
      <c r="CK516" s="75"/>
      <c r="CL516" s="75"/>
      <c r="CM516" s="73"/>
      <c r="CN516" s="75"/>
      <c r="CO516" s="75"/>
      <c r="CP516" s="75"/>
      <c r="CQ516" s="73"/>
      <c r="CR516" s="75"/>
      <c r="CS516" s="75"/>
      <c r="CT516" s="75"/>
      <c r="CU516" s="73"/>
      <c r="CV516" s="75"/>
      <c r="CW516" s="75"/>
      <c r="CX516" s="75"/>
      <c r="CY516" s="73"/>
      <c r="CZ516" s="75"/>
      <c r="DA516" s="75"/>
      <c r="DB516" s="75"/>
      <c r="DC516" s="73"/>
      <c r="DD516" s="75"/>
      <c r="DE516" s="75"/>
      <c r="DF516" s="75"/>
      <c r="DG516" s="73"/>
      <c r="DH516" s="75"/>
      <c r="DI516" s="75"/>
      <c r="DJ516" s="75"/>
      <c r="DK516" s="76"/>
    </row>
    <row r="517" spans="63:115" x14ac:dyDescent="0.25">
      <c r="BK517" s="75"/>
      <c r="BL517" s="75"/>
      <c r="BM517" s="75"/>
      <c r="BN517" s="73"/>
      <c r="BO517" s="75"/>
      <c r="BP517" s="75"/>
      <c r="BQ517" s="75"/>
      <c r="BR517" s="75"/>
      <c r="BS517" s="75"/>
      <c r="BT517" s="75"/>
      <c r="BU517" s="75"/>
      <c r="BV517" s="75"/>
      <c r="BW517" s="75"/>
      <c r="BX517" s="75"/>
      <c r="BY517" s="75"/>
      <c r="BZ517" s="75"/>
      <c r="CA517" s="73"/>
      <c r="CB517" s="75"/>
      <c r="CC517" s="75"/>
      <c r="CD517" s="75"/>
      <c r="CE517" s="73"/>
      <c r="CF517" s="75"/>
      <c r="CG517" s="75"/>
      <c r="CH517" s="75"/>
      <c r="CI517" s="73"/>
      <c r="CJ517" s="75"/>
      <c r="CK517" s="75"/>
      <c r="CL517" s="75"/>
      <c r="CM517" s="73"/>
      <c r="CN517" s="75"/>
      <c r="CO517" s="75"/>
      <c r="CP517" s="75"/>
      <c r="CQ517" s="73"/>
      <c r="CR517" s="75"/>
      <c r="CS517" s="75"/>
      <c r="CT517" s="75"/>
      <c r="CU517" s="73"/>
      <c r="CV517" s="75"/>
      <c r="CW517" s="75"/>
      <c r="CX517" s="75"/>
      <c r="CY517" s="73"/>
      <c r="CZ517" s="75"/>
      <c r="DA517" s="75"/>
      <c r="DB517" s="75"/>
      <c r="DC517" s="73"/>
      <c r="DD517" s="75"/>
      <c r="DE517" s="75"/>
      <c r="DF517" s="75"/>
      <c r="DG517" s="73"/>
      <c r="DH517" s="75"/>
      <c r="DI517" s="75"/>
      <c r="DJ517" s="75"/>
      <c r="DK517" s="76"/>
    </row>
    <row r="518" spans="63:115" x14ac:dyDescent="0.25">
      <c r="BK518" s="75"/>
      <c r="BL518" s="75"/>
      <c r="BM518" s="75"/>
      <c r="BN518" s="73"/>
      <c r="BO518" s="75"/>
      <c r="BP518" s="75"/>
      <c r="BQ518" s="75"/>
      <c r="BR518" s="75"/>
      <c r="BS518" s="75"/>
      <c r="BT518" s="75"/>
      <c r="BU518" s="75"/>
      <c r="BV518" s="75"/>
      <c r="BW518" s="75"/>
      <c r="BX518" s="75"/>
      <c r="BY518" s="75"/>
      <c r="BZ518" s="75"/>
      <c r="CA518" s="73"/>
      <c r="CB518" s="75"/>
      <c r="CC518" s="75"/>
      <c r="CD518" s="75"/>
      <c r="CE518" s="73"/>
      <c r="CF518" s="75"/>
      <c r="CG518" s="75"/>
      <c r="CH518" s="75"/>
      <c r="CI518" s="73"/>
      <c r="CJ518" s="75"/>
      <c r="CK518" s="75"/>
      <c r="CL518" s="75"/>
      <c r="CM518" s="73"/>
      <c r="CN518" s="75"/>
      <c r="CO518" s="75"/>
      <c r="CP518" s="75"/>
      <c r="CQ518" s="73"/>
      <c r="CR518" s="75"/>
      <c r="CS518" s="75"/>
      <c r="CT518" s="75"/>
      <c r="CU518" s="73"/>
      <c r="CV518" s="75"/>
      <c r="CW518" s="75"/>
      <c r="CX518" s="75"/>
      <c r="CY518" s="73"/>
      <c r="CZ518" s="75"/>
      <c r="DA518" s="75"/>
      <c r="DB518" s="75"/>
      <c r="DC518" s="73"/>
      <c r="DD518" s="75"/>
      <c r="DE518" s="75"/>
      <c r="DF518" s="75"/>
      <c r="DG518" s="73"/>
      <c r="DH518" s="75"/>
      <c r="DI518" s="75"/>
      <c r="DJ518" s="75"/>
      <c r="DK518" s="76"/>
    </row>
    <row r="519" spans="63:115" x14ac:dyDescent="0.25">
      <c r="BK519" s="75"/>
      <c r="BL519" s="75"/>
      <c r="BM519" s="75"/>
      <c r="BN519" s="73"/>
      <c r="BO519" s="75"/>
      <c r="BP519" s="75"/>
      <c r="BQ519" s="75"/>
      <c r="BR519" s="75"/>
      <c r="BS519" s="75"/>
      <c r="BT519" s="75"/>
      <c r="BU519" s="75"/>
      <c r="BV519" s="75"/>
      <c r="BW519" s="75"/>
      <c r="BX519" s="75"/>
      <c r="BY519" s="75"/>
      <c r="BZ519" s="75"/>
      <c r="CA519" s="73"/>
      <c r="CB519" s="75"/>
      <c r="CC519" s="75"/>
      <c r="CD519" s="75"/>
      <c r="CE519" s="73"/>
      <c r="CF519" s="75"/>
      <c r="CG519" s="75"/>
      <c r="CH519" s="75"/>
      <c r="CI519" s="73"/>
      <c r="CJ519" s="75"/>
      <c r="CK519" s="75"/>
      <c r="CL519" s="75"/>
      <c r="CM519" s="73"/>
      <c r="CN519" s="75"/>
      <c r="CO519" s="75"/>
      <c r="CP519" s="75"/>
      <c r="CQ519" s="73"/>
      <c r="CR519" s="75"/>
      <c r="CS519" s="75"/>
      <c r="CT519" s="75"/>
      <c r="CU519" s="73"/>
      <c r="CV519" s="75"/>
      <c r="CW519" s="75"/>
      <c r="CX519" s="75"/>
      <c r="CY519" s="73"/>
      <c r="CZ519" s="75"/>
      <c r="DA519" s="75"/>
      <c r="DB519" s="75"/>
      <c r="DC519" s="73"/>
      <c r="DD519" s="75"/>
      <c r="DE519" s="75"/>
      <c r="DF519" s="75"/>
      <c r="DG519" s="73"/>
      <c r="DH519" s="75"/>
      <c r="DI519" s="75"/>
      <c r="DJ519" s="75"/>
      <c r="DK519" s="76"/>
    </row>
    <row r="520" spans="63:115" x14ac:dyDescent="0.25">
      <c r="BK520" s="75"/>
      <c r="BL520" s="75"/>
      <c r="BM520" s="75"/>
      <c r="BN520" s="73"/>
      <c r="BO520" s="75"/>
      <c r="BP520" s="75"/>
      <c r="BQ520" s="75"/>
      <c r="BR520" s="75"/>
      <c r="BS520" s="75"/>
      <c r="BT520" s="75"/>
      <c r="BU520" s="75"/>
      <c r="BV520" s="75"/>
      <c r="BW520" s="75"/>
      <c r="BX520" s="75"/>
      <c r="BY520" s="75"/>
      <c r="BZ520" s="75"/>
      <c r="CA520" s="73"/>
      <c r="CB520" s="75"/>
      <c r="CC520" s="75"/>
      <c r="CD520" s="75"/>
      <c r="CE520" s="73"/>
      <c r="CF520" s="75"/>
      <c r="CG520" s="75"/>
      <c r="CH520" s="75"/>
      <c r="CI520" s="73"/>
      <c r="CJ520" s="75"/>
      <c r="CK520" s="75"/>
      <c r="CL520" s="75"/>
      <c r="CM520" s="73"/>
      <c r="CN520" s="75"/>
      <c r="CO520" s="75"/>
      <c r="CP520" s="75"/>
      <c r="CQ520" s="73"/>
      <c r="CR520" s="75"/>
      <c r="CS520" s="75"/>
      <c r="CT520" s="75"/>
      <c r="CU520" s="73"/>
      <c r="CV520" s="75"/>
      <c r="CW520" s="75"/>
      <c r="CX520" s="75"/>
      <c r="CY520" s="73"/>
      <c r="CZ520" s="75"/>
      <c r="DA520" s="75"/>
      <c r="DB520" s="75"/>
      <c r="DC520" s="73"/>
      <c r="DD520" s="75"/>
      <c r="DE520" s="75"/>
      <c r="DF520" s="75"/>
      <c r="DG520" s="73"/>
      <c r="DH520" s="75"/>
      <c r="DI520" s="75"/>
      <c r="DJ520" s="75"/>
      <c r="DK520" s="76"/>
    </row>
    <row r="521" spans="63:115" x14ac:dyDescent="0.25">
      <c r="BK521" s="75"/>
      <c r="BL521" s="75"/>
      <c r="BM521" s="75"/>
      <c r="BN521" s="73"/>
      <c r="BO521" s="75"/>
      <c r="BP521" s="75"/>
      <c r="BQ521" s="75"/>
      <c r="BR521" s="75"/>
      <c r="BS521" s="75"/>
      <c r="BT521" s="75"/>
      <c r="BU521" s="75"/>
      <c r="BV521" s="75"/>
      <c r="BW521" s="75"/>
      <c r="BX521" s="75"/>
      <c r="BY521" s="75"/>
      <c r="BZ521" s="75"/>
      <c r="CA521" s="73"/>
      <c r="CB521" s="75"/>
      <c r="CC521" s="75"/>
      <c r="CD521" s="75"/>
      <c r="CE521" s="73"/>
      <c r="CF521" s="75"/>
      <c r="CG521" s="75"/>
      <c r="CH521" s="75"/>
      <c r="CI521" s="73"/>
      <c r="CJ521" s="75"/>
      <c r="CK521" s="75"/>
      <c r="CL521" s="75"/>
      <c r="CM521" s="73"/>
      <c r="CN521" s="75"/>
      <c r="CO521" s="75"/>
      <c r="CP521" s="75"/>
      <c r="CQ521" s="73"/>
      <c r="CR521" s="75"/>
      <c r="CS521" s="75"/>
      <c r="CT521" s="75"/>
      <c r="CU521" s="73"/>
      <c r="CV521" s="75"/>
      <c r="CW521" s="75"/>
      <c r="CX521" s="75"/>
      <c r="CY521" s="73"/>
      <c r="CZ521" s="75"/>
      <c r="DA521" s="75"/>
      <c r="DB521" s="75"/>
      <c r="DC521" s="73"/>
      <c r="DD521" s="75"/>
      <c r="DE521" s="75"/>
      <c r="DF521" s="75"/>
      <c r="DG521" s="73"/>
      <c r="DH521" s="75"/>
      <c r="DI521" s="75"/>
      <c r="DJ521" s="75"/>
      <c r="DK521" s="76"/>
    </row>
    <row r="522" spans="63:115" x14ac:dyDescent="0.25">
      <c r="BK522" s="75"/>
      <c r="BL522" s="75"/>
      <c r="BM522" s="75"/>
      <c r="BN522" s="73"/>
      <c r="BO522" s="75"/>
      <c r="BP522" s="75"/>
      <c r="BQ522" s="75"/>
      <c r="BR522" s="75"/>
      <c r="BS522" s="75"/>
      <c r="BT522" s="75"/>
      <c r="BU522" s="75"/>
      <c r="BV522" s="75"/>
      <c r="BW522" s="75"/>
      <c r="BX522" s="75"/>
      <c r="BY522" s="75"/>
      <c r="BZ522" s="75"/>
      <c r="CA522" s="73"/>
      <c r="CB522" s="75"/>
      <c r="CC522" s="75"/>
      <c r="CD522" s="75"/>
      <c r="CE522" s="73"/>
      <c r="CF522" s="75"/>
      <c r="CG522" s="75"/>
      <c r="CH522" s="75"/>
      <c r="CI522" s="73"/>
      <c r="CJ522" s="75"/>
      <c r="CK522" s="75"/>
      <c r="CL522" s="75"/>
      <c r="CM522" s="73"/>
      <c r="CN522" s="75"/>
      <c r="CO522" s="75"/>
      <c r="CP522" s="75"/>
      <c r="CQ522" s="73"/>
      <c r="CR522" s="75"/>
      <c r="CS522" s="75"/>
      <c r="CT522" s="75"/>
      <c r="CU522" s="73"/>
      <c r="CV522" s="75"/>
      <c r="CW522" s="75"/>
      <c r="CX522" s="75"/>
      <c r="CY522" s="73"/>
      <c r="CZ522" s="75"/>
      <c r="DA522" s="75"/>
      <c r="DB522" s="75"/>
      <c r="DC522" s="73"/>
      <c r="DD522" s="75"/>
      <c r="DE522" s="75"/>
      <c r="DF522" s="75"/>
      <c r="DG522" s="73"/>
      <c r="DH522" s="75"/>
      <c r="DI522" s="75"/>
      <c r="DJ522" s="75"/>
      <c r="DK522" s="76"/>
    </row>
    <row r="523" spans="63:115" x14ac:dyDescent="0.25">
      <c r="BK523" s="75"/>
      <c r="BL523" s="75"/>
      <c r="BM523" s="75"/>
      <c r="BN523" s="73"/>
      <c r="BO523" s="75"/>
      <c r="BP523" s="75"/>
      <c r="BQ523" s="75"/>
      <c r="BR523" s="75"/>
      <c r="BS523" s="75"/>
      <c r="BT523" s="75"/>
      <c r="BU523" s="75"/>
      <c r="BV523" s="75"/>
      <c r="BW523" s="75"/>
      <c r="BX523" s="75"/>
      <c r="BY523" s="75"/>
      <c r="BZ523" s="75"/>
      <c r="CA523" s="73"/>
      <c r="CB523" s="75"/>
      <c r="CC523" s="75"/>
      <c r="CD523" s="75"/>
      <c r="CE523" s="73"/>
      <c r="CF523" s="75"/>
      <c r="CG523" s="75"/>
      <c r="CH523" s="75"/>
      <c r="CI523" s="73"/>
      <c r="CJ523" s="75"/>
      <c r="CK523" s="75"/>
      <c r="CL523" s="75"/>
      <c r="CM523" s="73"/>
      <c r="CN523" s="75"/>
      <c r="CO523" s="75"/>
      <c r="CP523" s="75"/>
      <c r="CQ523" s="73"/>
      <c r="CR523" s="75"/>
      <c r="CS523" s="75"/>
      <c r="CT523" s="75"/>
      <c r="CU523" s="73"/>
      <c r="CV523" s="75"/>
      <c r="CW523" s="75"/>
      <c r="CX523" s="75"/>
      <c r="CY523" s="73"/>
      <c r="CZ523" s="75"/>
      <c r="DA523" s="75"/>
      <c r="DB523" s="75"/>
      <c r="DC523" s="73"/>
      <c r="DD523" s="75"/>
      <c r="DE523" s="75"/>
      <c r="DF523" s="75"/>
      <c r="DG523" s="73"/>
      <c r="DH523" s="75"/>
      <c r="DI523" s="75"/>
      <c r="DJ523" s="75"/>
      <c r="DK523" s="76"/>
    </row>
    <row r="524" spans="63:115" x14ac:dyDescent="0.25">
      <c r="BK524" s="75"/>
      <c r="BL524" s="75"/>
      <c r="BM524" s="75"/>
      <c r="BN524" s="73"/>
      <c r="BO524" s="75"/>
      <c r="BP524" s="75"/>
      <c r="BQ524" s="75"/>
      <c r="BR524" s="75"/>
      <c r="BS524" s="75"/>
      <c r="BT524" s="75"/>
      <c r="BU524" s="75"/>
      <c r="BV524" s="75"/>
      <c r="BW524" s="75"/>
      <c r="BX524" s="75"/>
      <c r="BY524" s="75"/>
      <c r="BZ524" s="75"/>
      <c r="CA524" s="73"/>
      <c r="CB524" s="75"/>
      <c r="CC524" s="75"/>
      <c r="CD524" s="75"/>
      <c r="CE524" s="73"/>
      <c r="CF524" s="75"/>
      <c r="CG524" s="75"/>
      <c r="CH524" s="75"/>
      <c r="CI524" s="73"/>
      <c r="CJ524" s="75"/>
      <c r="CK524" s="75"/>
      <c r="CL524" s="75"/>
      <c r="CM524" s="73"/>
      <c r="CN524" s="75"/>
      <c r="CO524" s="75"/>
      <c r="CP524" s="75"/>
      <c r="CQ524" s="73"/>
      <c r="CR524" s="75"/>
      <c r="CS524" s="75"/>
      <c r="CT524" s="75"/>
      <c r="CU524" s="73"/>
      <c r="CV524" s="75"/>
      <c r="CW524" s="75"/>
      <c r="CX524" s="75"/>
      <c r="CY524" s="73"/>
      <c r="CZ524" s="75"/>
      <c r="DA524" s="75"/>
      <c r="DB524" s="75"/>
      <c r="DC524" s="73"/>
      <c r="DD524" s="75"/>
      <c r="DE524" s="75"/>
      <c r="DF524" s="75"/>
      <c r="DG524" s="73"/>
      <c r="DH524" s="75"/>
      <c r="DI524" s="75"/>
      <c r="DJ524" s="75"/>
      <c r="DK524" s="76"/>
    </row>
    <row r="525" spans="63:115" x14ac:dyDescent="0.25">
      <c r="BK525" s="75"/>
      <c r="BL525" s="75"/>
      <c r="BM525" s="75"/>
      <c r="BN525" s="73"/>
      <c r="BO525" s="75"/>
      <c r="BP525" s="75"/>
      <c r="BQ525" s="75"/>
      <c r="BR525" s="75"/>
      <c r="BS525" s="75"/>
      <c r="BT525" s="75"/>
      <c r="BU525" s="75"/>
      <c r="BV525" s="75"/>
      <c r="BW525" s="75"/>
      <c r="BX525" s="75"/>
      <c r="BY525" s="75"/>
      <c r="BZ525" s="75"/>
      <c r="CA525" s="73"/>
      <c r="CB525" s="75"/>
      <c r="CC525" s="75"/>
      <c r="CD525" s="75"/>
      <c r="CE525" s="73"/>
      <c r="CF525" s="75"/>
      <c r="CG525" s="75"/>
      <c r="CH525" s="75"/>
      <c r="CI525" s="73"/>
      <c r="CJ525" s="75"/>
      <c r="CK525" s="75"/>
      <c r="CL525" s="75"/>
      <c r="CM525" s="73"/>
      <c r="CN525" s="75"/>
      <c r="CO525" s="75"/>
      <c r="CP525" s="75"/>
      <c r="CQ525" s="73"/>
      <c r="CR525" s="75"/>
      <c r="CS525" s="75"/>
      <c r="CT525" s="75"/>
      <c r="CU525" s="73"/>
      <c r="CV525" s="75"/>
      <c r="CW525" s="75"/>
      <c r="CX525" s="75"/>
      <c r="CY525" s="73"/>
      <c r="CZ525" s="75"/>
      <c r="DA525" s="75"/>
      <c r="DB525" s="75"/>
      <c r="DC525" s="73"/>
      <c r="DD525" s="75"/>
      <c r="DE525" s="75"/>
      <c r="DF525" s="75"/>
      <c r="DG525" s="73"/>
      <c r="DH525" s="75"/>
      <c r="DI525" s="75"/>
      <c r="DJ525" s="75"/>
      <c r="DK525" s="76"/>
    </row>
    <row r="526" spans="63:115" x14ac:dyDescent="0.25">
      <c r="BK526" s="75"/>
      <c r="BL526" s="75"/>
      <c r="BM526" s="75"/>
      <c r="BN526" s="73"/>
      <c r="BO526" s="75"/>
      <c r="BP526" s="75"/>
      <c r="BQ526" s="75"/>
      <c r="BR526" s="75"/>
      <c r="BS526" s="75"/>
      <c r="BT526" s="75"/>
      <c r="BU526" s="75"/>
      <c r="BV526" s="75"/>
      <c r="BW526" s="75"/>
      <c r="BX526" s="75"/>
      <c r="BY526" s="75"/>
      <c r="BZ526" s="75"/>
      <c r="CA526" s="73"/>
      <c r="CB526" s="75"/>
      <c r="CC526" s="75"/>
      <c r="CD526" s="75"/>
      <c r="CE526" s="73"/>
      <c r="CF526" s="75"/>
      <c r="CG526" s="75"/>
      <c r="CH526" s="75"/>
      <c r="CI526" s="73"/>
      <c r="CJ526" s="75"/>
      <c r="CK526" s="75"/>
      <c r="CL526" s="75"/>
      <c r="CM526" s="73"/>
      <c r="CN526" s="75"/>
      <c r="CO526" s="75"/>
      <c r="CP526" s="75"/>
      <c r="CQ526" s="73"/>
      <c r="CR526" s="75"/>
      <c r="CS526" s="75"/>
      <c r="CT526" s="75"/>
      <c r="CU526" s="73"/>
      <c r="CV526" s="75"/>
      <c r="CW526" s="75"/>
      <c r="CX526" s="75"/>
      <c r="CY526" s="73"/>
      <c r="CZ526" s="75"/>
      <c r="DA526" s="75"/>
      <c r="DB526" s="75"/>
      <c r="DC526" s="73"/>
      <c r="DD526" s="75"/>
      <c r="DE526" s="75"/>
      <c r="DF526" s="75"/>
      <c r="DG526" s="73"/>
      <c r="DH526" s="75"/>
      <c r="DI526" s="75"/>
      <c r="DJ526" s="75"/>
      <c r="DK526" s="76"/>
    </row>
    <row r="527" spans="63:115" x14ac:dyDescent="0.25">
      <c r="BK527" s="75"/>
      <c r="BL527" s="75"/>
      <c r="BM527" s="75"/>
      <c r="BN527" s="73"/>
      <c r="BO527" s="75"/>
      <c r="BP527" s="75"/>
      <c r="BQ527" s="75"/>
      <c r="BR527" s="75"/>
      <c r="BS527" s="75"/>
      <c r="BT527" s="75"/>
      <c r="BU527" s="75"/>
      <c r="BV527" s="75"/>
      <c r="BW527" s="75"/>
      <c r="BX527" s="75"/>
      <c r="BY527" s="75"/>
      <c r="BZ527" s="75"/>
      <c r="CA527" s="73"/>
      <c r="CB527" s="75"/>
      <c r="CC527" s="75"/>
      <c r="CD527" s="75"/>
      <c r="CE527" s="73"/>
      <c r="CF527" s="75"/>
      <c r="CG527" s="75"/>
      <c r="CH527" s="75"/>
      <c r="CI527" s="73"/>
      <c r="CJ527" s="75"/>
      <c r="CK527" s="75"/>
      <c r="CL527" s="75"/>
      <c r="CM527" s="73"/>
      <c r="CN527" s="75"/>
      <c r="CO527" s="75"/>
      <c r="CP527" s="75"/>
      <c r="CQ527" s="73"/>
      <c r="CR527" s="75"/>
      <c r="CS527" s="75"/>
      <c r="CT527" s="75"/>
      <c r="CU527" s="73"/>
      <c r="CV527" s="75"/>
      <c r="CW527" s="75"/>
      <c r="CX527" s="75"/>
      <c r="CY527" s="73"/>
      <c r="CZ527" s="75"/>
      <c r="DA527" s="75"/>
      <c r="DB527" s="75"/>
      <c r="DC527" s="73"/>
      <c r="DD527" s="75"/>
      <c r="DE527" s="75"/>
      <c r="DF527" s="75"/>
      <c r="DG527" s="73"/>
      <c r="DH527" s="75"/>
      <c r="DI527" s="75"/>
      <c r="DJ527" s="75"/>
      <c r="DK527" s="76"/>
    </row>
    <row r="528" spans="63:115" x14ac:dyDescent="0.25">
      <c r="BK528" s="75"/>
      <c r="BL528" s="75"/>
      <c r="BM528" s="75"/>
      <c r="BN528" s="73"/>
      <c r="BO528" s="75"/>
      <c r="BP528" s="75"/>
      <c r="BQ528" s="75"/>
      <c r="BR528" s="75"/>
      <c r="BS528" s="75"/>
      <c r="BT528" s="75"/>
      <c r="BU528" s="75"/>
      <c r="BV528" s="75"/>
      <c r="BW528" s="75"/>
      <c r="BX528" s="75"/>
      <c r="BY528" s="75"/>
      <c r="BZ528" s="75"/>
      <c r="CA528" s="73"/>
      <c r="CB528" s="75"/>
      <c r="CC528" s="75"/>
      <c r="CD528" s="75"/>
      <c r="CE528" s="73"/>
      <c r="CF528" s="75"/>
      <c r="CG528" s="75"/>
      <c r="CH528" s="75"/>
      <c r="CI528" s="73"/>
      <c r="CJ528" s="75"/>
      <c r="CK528" s="75"/>
      <c r="CL528" s="75"/>
      <c r="CM528" s="73"/>
      <c r="CN528" s="75"/>
      <c r="CO528" s="75"/>
      <c r="CP528" s="75"/>
      <c r="CQ528" s="73"/>
      <c r="CR528" s="75"/>
      <c r="CS528" s="75"/>
      <c r="CT528" s="75"/>
      <c r="CU528" s="73"/>
      <c r="CV528" s="75"/>
      <c r="CW528" s="75"/>
      <c r="CX528" s="75"/>
      <c r="CY528" s="73"/>
      <c r="CZ528" s="75"/>
      <c r="DA528" s="75"/>
      <c r="DB528" s="75"/>
      <c r="DC528" s="73"/>
      <c r="DD528" s="75"/>
      <c r="DE528" s="75"/>
      <c r="DF528" s="75"/>
      <c r="DG528" s="73"/>
      <c r="DH528" s="75"/>
      <c r="DI528" s="75"/>
      <c r="DJ528" s="75"/>
      <c r="DK528" s="76"/>
    </row>
    <row r="529" spans="63:115" x14ac:dyDescent="0.25">
      <c r="BK529" s="75"/>
      <c r="BL529" s="75"/>
      <c r="BM529" s="75"/>
      <c r="BN529" s="73"/>
      <c r="BO529" s="75"/>
      <c r="BP529" s="75"/>
      <c r="BQ529" s="75"/>
      <c r="BR529" s="75"/>
      <c r="BS529" s="75"/>
      <c r="BT529" s="75"/>
      <c r="BU529" s="75"/>
      <c r="BV529" s="75"/>
      <c r="BW529" s="75"/>
      <c r="BX529" s="75"/>
      <c r="BY529" s="75"/>
      <c r="BZ529" s="75"/>
      <c r="CA529" s="73"/>
      <c r="CB529" s="75"/>
      <c r="CC529" s="75"/>
      <c r="CD529" s="75"/>
      <c r="CE529" s="73"/>
      <c r="CF529" s="75"/>
      <c r="CG529" s="75"/>
      <c r="CH529" s="75"/>
      <c r="CI529" s="73"/>
      <c r="CJ529" s="75"/>
      <c r="CK529" s="75"/>
      <c r="CL529" s="75"/>
      <c r="CM529" s="73"/>
      <c r="CN529" s="75"/>
      <c r="CO529" s="75"/>
      <c r="CP529" s="75"/>
      <c r="CQ529" s="73"/>
      <c r="CR529" s="75"/>
      <c r="CS529" s="75"/>
      <c r="CT529" s="75"/>
      <c r="CU529" s="73"/>
      <c r="CV529" s="75"/>
      <c r="CW529" s="75"/>
      <c r="CX529" s="75"/>
      <c r="CY529" s="73"/>
      <c r="CZ529" s="75"/>
      <c r="DA529" s="75"/>
      <c r="DB529" s="75"/>
      <c r="DC529" s="73"/>
      <c r="DD529" s="75"/>
      <c r="DE529" s="75"/>
      <c r="DF529" s="75"/>
      <c r="DG529" s="73"/>
      <c r="DH529" s="75"/>
      <c r="DI529" s="75"/>
      <c r="DJ529" s="75"/>
      <c r="DK529" s="76"/>
    </row>
    <row r="530" spans="63:115" x14ac:dyDescent="0.25">
      <c r="BK530" s="75"/>
      <c r="BL530" s="75"/>
      <c r="BM530" s="75"/>
      <c r="BN530" s="73"/>
      <c r="BO530" s="75"/>
      <c r="BP530" s="75"/>
      <c r="BQ530" s="75"/>
      <c r="BR530" s="75"/>
      <c r="BS530" s="75"/>
      <c r="BT530" s="75"/>
      <c r="BU530" s="75"/>
      <c r="BV530" s="75"/>
      <c r="BW530" s="75"/>
      <c r="BX530" s="75"/>
      <c r="BY530" s="75"/>
      <c r="BZ530" s="75"/>
      <c r="CA530" s="73"/>
      <c r="CB530" s="75"/>
      <c r="CC530" s="75"/>
      <c r="CD530" s="75"/>
      <c r="CE530" s="73"/>
      <c r="CF530" s="75"/>
      <c r="CG530" s="75"/>
      <c r="CH530" s="75"/>
      <c r="CI530" s="73"/>
      <c r="CJ530" s="75"/>
      <c r="CK530" s="75"/>
      <c r="CL530" s="75"/>
      <c r="CM530" s="73"/>
      <c r="CN530" s="75"/>
      <c r="CO530" s="75"/>
      <c r="CP530" s="75"/>
      <c r="CQ530" s="73"/>
      <c r="CR530" s="75"/>
      <c r="CS530" s="75"/>
      <c r="CT530" s="75"/>
      <c r="CU530" s="73"/>
      <c r="CV530" s="75"/>
      <c r="CW530" s="75"/>
      <c r="CX530" s="75"/>
      <c r="CY530" s="73"/>
      <c r="CZ530" s="75"/>
      <c r="DA530" s="75"/>
      <c r="DB530" s="75"/>
      <c r="DC530" s="73"/>
      <c r="DD530" s="75"/>
      <c r="DE530" s="75"/>
      <c r="DF530" s="75"/>
      <c r="DG530" s="73"/>
      <c r="DH530" s="75"/>
      <c r="DI530" s="75"/>
      <c r="DJ530" s="75"/>
      <c r="DK530" s="76"/>
    </row>
    <row r="531" spans="63:115" x14ac:dyDescent="0.25">
      <c r="BK531" s="75"/>
      <c r="BL531" s="75"/>
      <c r="BM531" s="75"/>
      <c r="BN531" s="73"/>
      <c r="BO531" s="75"/>
      <c r="BP531" s="75"/>
      <c r="BQ531" s="75"/>
      <c r="BR531" s="75"/>
      <c r="BS531" s="75"/>
      <c r="BT531" s="75"/>
      <c r="BU531" s="75"/>
      <c r="BV531" s="75"/>
      <c r="BW531" s="75"/>
      <c r="BX531" s="75"/>
      <c r="BY531" s="75"/>
      <c r="BZ531" s="75"/>
      <c r="CA531" s="73"/>
      <c r="CB531" s="75"/>
      <c r="CC531" s="75"/>
      <c r="CD531" s="75"/>
      <c r="CE531" s="73"/>
      <c r="CF531" s="75"/>
      <c r="CG531" s="75"/>
      <c r="CH531" s="75"/>
      <c r="CI531" s="73"/>
      <c r="CJ531" s="75"/>
      <c r="CK531" s="75"/>
      <c r="CL531" s="75"/>
      <c r="CM531" s="73"/>
      <c r="CN531" s="75"/>
      <c r="CO531" s="75"/>
      <c r="CP531" s="75"/>
      <c r="CQ531" s="73"/>
      <c r="CR531" s="75"/>
      <c r="CS531" s="75"/>
      <c r="CT531" s="75"/>
      <c r="CU531" s="73"/>
      <c r="CV531" s="75"/>
      <c r="CW531" s="75"/>
      <c r="CX531" s="75"/>
      <c r="CY531" s="73"/>
      <c r="CZ531" s="75"/>
      <c r="DA531" s="75"/>
      <c r="DB531" s="75"/>
      <c r="DC531" s="73"/>
      <c r="DD531" s="75"/>
      <c r="DE531" s="75"/>
      <c r="DF531" s="75"/>
      <c r="DG531" s="73"/>
      <c r="DH531" s="75"/>
      <c r="DI531" s="75"/>
      <c r="DJ531" s="75"/>
      <c r="DK531" s="76"/>
    </row>
    <row r="532" spans="63:115" x14ac:dyDescent="0.25">
      <c r="BK532" s="75"/>
      <c r="BL532" s="75"/>
      <c r="BM532" s="75"/>
      <c r="BN532" s="73"/>
      <c r="BO532" s="75"/>
      <c r="BP532" s="75"/>
      <c r="BQ532" s="75"/>
      <c r="BR532" s="75"/>
      <c r="BS532" s="75"/>
      <c r="BT532" s="75"/>
      <c r="BU532" s="75"/>
      <c r="BV532" s="75"/>
      <c r="BW532" s="75"/>
      <c r="BX532" s="75"/>
      <c r="BY532" s="75"/>
      <c r="BZ532" s="75"/>
      <c r="CA532" s="73"/>
      <c r="CB532" s="75"/>
      <c r="CC532" s="75"/>
      <c r="CD532" s="75"/>
      <c r="CE532" s="73"/>
      <c r="CF532" s="75"/>
      <c r="CG532" s="75"/>
      <c r="CH532" s="75"/>
      <c r="CI532" s="73"/>
      <c r="CJ532" s="75"/>
      <c r="CK532" s="75"/>
      <c r="CL532" s="75"/>
      <c r="CM532" s="73"/>
      <c r="CN532" s="75"/>
      <c r="CO532" s="75"/>
      <c r="CP532" s="75"/>
      <c r="CQ532" s="73"/>
      <c r="CR532" s="75"/>
      <c r="CS532" s="75"/>
      <c r="CT532" s="75"/>
      <c r="CU532" s="73"/>
      <c r="CV532" s="75"/>
      <c r="CW532" s="75"/>
      <c r="CX532" s="75"/>
      <c r="CY532" s="73"/>
      <c r="CZ532" s="75"/>
      <c r="DA532" s="75"/>
      <c r="DB532" s="75"/>
      <c r="DC532" s="73"/>
      <c r="DD532" s="75"/>
      <c r="DE532" s="75"/>
      <c r="DF532" s="75"/>
      <c r="DG532" s="73"/>
      <c r="DH532" s="75"/>
      <c r="DI532" s="75"/>
      <c r="DJ532" s="75"/>
      <c r="DK532" s="76"/>
    </row>
    <row r="533" spans="63:115" x14ac:dyDescent="0.25">
      <c r="BK533" s="75"/>
      <c r="BL533" s="75"/>
      <c r="BM533" s="75"/>
      <c r="BN533" s="73"/>
      <c r="BO533" s="75"/>
      <c r="BP533" s="75"/>
      <c r="BQ533" s="75"/>
      <c r="BR533" s="75"/>
      <c r="BS533" s="75"/>
      <c r="BT533" s="75"/>
      <c r="BU533" s="75"/>
      <c r="BV533" s="75"/>
      <c r="BW533" s="75"/>
      <c r="BX533" s="75"/>
      <c r="BY533" s="75"/>
      <c r="BZ533" s="75"/>
      <c r="CA533" s="73"/>
      <c r="CB533" s="75"/>
      <c r="CC533" s="75"/>
      <c r="CD533" s="75"/>
      <c r="CE533" s="73"/>
      <c r="CF533" s="75"/>
      <c r="CG533" s="75"/>
      <c r="CH533" s="75"/>
      <c r="CI533" s="73"/>
      <c r="CJ533" s="75"/>
      <c r="CK533" s="75"/>
      <c r="CL533" s="75"/>
      <c r="CM533" s="73"/>
      <c r="CN533" s="75"/>
      <c r="CO533" s="75"/>
      <c r="CP533" s="75"/>
      <c r="CQ533" s="73"/>
      <c r="CR533" s="75"/>
      <c r="CS533" s="75"/>
      <c r="CT533" s="75"/>
      <c r="CU533" s="73"/>
      <c r="CV533" s="75"/>
      <c r="CW533" s="75"/>
      <c r="CX533" s="75"/>
      <c r="CY533" s="73"/>
      <c r="CZ533" s="75"/>
      <c r="DA533" s="75"/>
      <c r="DB533" s="75"/>
      <c r="DC533" s="73"/>
      <c r="DD533" s="75"/>
      <c r="DE533" s="75"/>
      <c r="DF533" s="75"/>
      <c r="DG533" s="73"/>
      <c r="DH533" s="75"/>
      <c r="DI533" s="75"/>
      <c r="DJ533" s="75"/>
      <c r="DK533" s="76"/>
    </row>
    <row r="534" spans="63:115" x14ac:dyDescent="0.25">
      <c r="BK534" s="75"/>
      <c r="BL534" s="75"/>
      <c r="BM534" s="75"/>
      <c r="BN534" s="73"/>
      <c r="BO534" s="75"/>
      <c r="BP534" s="75"/>
      <c r="BQ534" s="75"/>
      <c r="BR534" s="75"/>
      <c r="BS534" s="75"/>
      <c r="BT534" s="75"/>
      <c r="BU534" s="75"/>
      <c r="BV534" s="75"/>
      <c r="BW534" s="75"/>
      <c r="BX534" s="75"/>
      <c r="BY534" s="75"/>
      <c r="BZ534" s="75"/>
      <c r="CA534" s="73"/>
      <c r="CB534" s="75"/>
      <c r="CC534" s="75"/>
      <c r="CD534" s="75"/>
      <c r="CE534" s="73"/>
      <c r="CF534" s="75"/>
      <c r="CG534" s="75"/>
      <c r="CH534" s="75"/>
      <c r="CI534" s="73"/>
      <c r="CJ534" s="75"/>
      <c r="CK534" s="75"/>
      <c r="CL534" s="75"/>
      <c r="CM534" s="73"/>
      <c r="CN534" s="75"/>
      <c r="CO534" s="75"/>
      <c r="CP534" s="75"/>
      <c r="CQ534" s="73"/>
      <c r="CR534" s="75"/>
      <c r="CS534" s="75"/>
      <c r="CT534" s="75"/>
      <c r="CU534" s="73"/>
      <c r="CV534" s="75"/>
      <c r="CW534" s="75"/>
      <c r="CX534" s="75"/>
      <c r="CY534" s="73"/>
      <c r="CZ534" s="75"/>
      <c r="DA534" s="75"/>
      <c r="DB534" s="75"/>
      <c r="DC534" s="73"/>
      <c r="DD534" s="75"/>
      <c r="DE534" s="75"/>
      <c r="DF534" s="75"/>
      <c r="DG534" s="73"/>
      <c r="DH534" s="75"/>
      <c r="DI534" s="75"/>
      <c r="DJ534" s="75"/>
      <c r="DK534" s="76"/>
    </row>
    <row r="535" spans="63:115" x14ac:dyDescent="0.25">
      <c r="BK535" s="75"/>
      <c r="BL535" s="75"/>
      <c r="BM535" s="75"/>
      <c r="BN535" s="73"/>
      <c r="BO535" s="75"/>
      <c r="BP535" s="75"/>
      <c r="BQ535" s="75"/>
      <c r="BR535" s="75"/>
      <c r="BS535" s="75"/>
      <c r="BT535" s="75"/>
      <c r="BU535" s="75"/>
      <c r="BV535" s="75"/>
      <c r="BW535" s="75"/>
      <c r="BX535" s="75"/>
      <c r="BY535" s="75"/>
      <c r="BZ535" s="75"/>
      <c r="CA535" s="73"/>
      <c r="CB535" s="75"/>
      <c r="CC535" s="75"/>
      <c r="CD535" s="75"/>
      <c r="CE535" s="73"/>
      <c r="CF535" s="75"/>
      <c r="CG535" s="75"/>
      <c r="CH535" s="75"/>
      <c r="CI535" s="73"/>
      <c r="CJ535" s="75"/>
      <c r="CK535" s="75"/>
      <c r="CL535" s="75"/>
      <c r="CM535" s="73"/>
      <c r="CN535" s="75"/>
      <c r="CO535" s="75"/>
      <c r="CP535" s="75"/>
      <c r="CQ535" s="73"/>
      <c r="CR535" s="75"/>
      <c r="CS535" s="75"/>
      <c r="CT535" s="75"/>
      <c r="CU535" s="73"/>
      <c r="CV535" s="75"/>
      <c r="CW535" s="75"/>
      <c r="CX535" s="75"/>
      <c r="CY535" s="73"/>
      <c r="CZ535" s="75"/>
      <c r="DA535" s="75"/>
      <c r="DB535" s="75"/>
      <c r="DC535" s="73"/>
      <c r="DD535" s="75"/>
      <c r="DE535" s="75"/>
      <c r="DF535" s="75"/>
      <c r="DG535" s="73"/>
      <c r="DH535" s="75"/>
      <c r="DI535" s="75"/>
      <c r="DJ535" s="75"/>
      <c r="DK535" s="76"/>
    </row>
    <row r="536" spans="63:115" x14ac:dyDescent="0.25">
      <c r="BK536" s="75"/>
      <c r="BL536" s="75"/>
      <c r="BM536" s="75"/>
      <c r="BN536" s="73"/>
      <c r="BO536" s="75"/>
      <c r="BP536" s="75"/>
      <c r="BQ536" s="75"/>
      <c r="BR536" s="75"/>
      <c r="BS536" s="75"/>
      <c r="BT536" s="75"/>
      <c r="BU536" s="75"/>
      <c r="BV536" s="75"/>
      <c r="BW536" s="75"/>
      <c r="BX536" s="75"/>
      <c r="BY536" s="75"/>
      <c r="BZ536" s="75"/>
      <c r="CA536" s="73"/>
      <c r="CB536" s="75"/>
      <c r="CC536" s="75"/>
      <c r="CD536" s="75"/>
      <c r="CE536" s="73"/>
      <c r="CF536" s="75"/>
      <c r="CG536" s="75"/>
      <c r="CH536" s="75"/>
      <c r="CI536" s="73"/>
      <c r="CJ536" s="75"/>
      <c r="CK536" s="75"/>
      <c r="CL536" s="75"/>
      <c r="CM536" s="73"/>
      <c r="CN536" s="75"/>
      <c r="CO536" s="75"/>
      <c r="CP536" s="75"/>
      <c r="CQ536" s="73"/>
      <c r="CR536" s="75"/>
      <c r="CS536" s="75"/>
      <c r="CT536" s="75"/>
      <c r="CU536" s="73"/>
      <c r="CV536" s="75"/>
      <c r="CW536" s="75"/>
      <c r="CX536" s="75"/>
      <c r="CY536" s="73"/>
      <c r="CZ536" s="75"/>
      <c r="DA536" s="75"/>
      <c r="DB536" s="75"/>
      <c r="DC536" s="73"/>
      <c r="DD536" s="75"/>
      <c r="DE536" s="75"/>
      <c r="DF536" s="75"/>
      <c r="DG536" s="73"/>
      <c r="DH536" s="75"/>
      <c r="DI536" s="75"/>
      <c r="DJ536" s="75"/>
      <c r="DK536" s="76"/>
    </row>
    <row r="537" spans="63:115" x14ac:dyDescent="0.25">
      <c r="BK537" s="75"/>
      <c r="BL537" s="75"/>
      <c r="BM537" s="75"/>
      <c r="BN537" s="73"/>
      <c r="BO537" s="75"/>
      <c r="BP537" s="75"/>
      <c r="BQ537" s="75"/>
      <c r="BR537" s="75"/>
      <c r="BS537" s="75"/>
      <c r="BT537" s="75"/>
      <c r="BU537" s="75"/>
      <c r="BV537" s="75"/>
      <c r="BW537" s="75"/>
      <c r="BX537" s="75"/>
      <c r="BY537" s="75"/>
      <c r="BZ537" s="75"/>
      <c r="CA537" s="73"/>
      <c r="CB537" s="75"/>
      <c r="CC537" s="75"/>
      <c r="CD537" s="75"/>
      <c r="CE537" s="73"/>
      <c r="CF537" s="75"/>
      <c r="CG537" s="75"/>
      <c r="CH537" s="75"/>
      <c r="CI537" s="73"/>
      <c r="CJ537" s="75"/>
      <c r="CK537" s="75"/>
      <c r="CL537" s="75"/>
      <c r="CM537" s="73"/>
      <c r="CN537" s="75"/>
      <c r="CO537" s="75"/>
      <c r="CP537" s="75"/>
      <c r="CQ537" s="73"/>
      <c r="CR537" s="75"/>
      <c r="CS537" s="75"/>
      <c r="CT537" s="75"/>
      <c r="CU537" s="73"/>
      <c r="CV537" s="75"/>
      <c r="CW537" s="75"/>
      <c r="CX537" s="75"/>
      <c r="CY537" s="73"/>
      <c r="CZ537" s="75"/>
      <c r="DA537" s="75"/>
      <c r="DB537" s="75"/>
      <c r="DC537" s="73"/>
      <c r="DD537" s="75"/>
      <c r="DE537" s="75"/>
      <c r="DF537" s="75"/>
      <c r="DG537" s="73"/>
      <c r="DH537" s="75"/>
      <c r="DI537" s="75"/>
      <c r="DJ537" s="75"/>
      <c r="DK537" s="76"/>
    </row>
    <row r="538" spans="63:115" x14ac:dyDescent="0.25">
      <c r="BK538" s="75"/>
      <c r="BL538" s="75"/>
      <c r="BM538" s="75"/>
      <c r="BN538" s="73"/>
      <c r="BO538" s="75"/>
      <c r="BP538" s="75"/>
      <c r="BQ538" s="75"/>
      <c r="BR538" s="75"/>
      <c r="BS538" s="75"/>
      <c r="BT538" s="75"/>
      <c r="BU538" s="75"/>
      <c r="BV538" s="75"/>
      <c r="BW538" s="75"/>
      <c r="BX538" s="75"/>
      <c r="BY538" s="75"/>
      <c r="BZ538" s="75"/>
      <c r="CA538" s="73"/>
      <c r="CB538" s="75"/>
      <c r="CC538" s="75"/>
      <c r="CD538" s="75"/>
      <c r="CE538" s="73"/>
      <c r="CF538" s="75"/>
      <c r="CG538" s="75"/>
      <c r="CH538" s="75"/>
      <c r="CI538" s="73"/>
      <c r="CJ538" s="75"/>
      <c r="CK538" s="75"/>
      <c r="CL538" s="75"/>
      <c r="CM538" s="73"/>
      <c r="CN538" s="75"/>
      <c r="CO538" s="75"/>
      <c r="CP538" s="75"/>
      <c r="CQ538" s="73"/>
      <c r="CR538" s="75"/>
      <c r="CS538" s="75"/>
      <c r="CT538" s="75"/>
      <c r="CU538" s="73"/>
      <c r="CV538" s="75"/>
      <c r="CW538" s="75"/>
      <c r="CX538" s="75"/>
      <c r="CY538" s="73"/>
      <c r="CZ538" s="75"/>
      <c r="DA538" s="75"/>
      <c r="DB538" s="75"/>
      <c r="DC538" s="73"/>
      <c r="DD538" s="75"/>
      <c r="DE538" s="75"/>
      <c r="DF538" s="75"/>
      <c r="DG538" s="73"/>
      <c r="DH538" s="75"/>
      <c r="DI538" s="75"/>
      <c r="DJ538" s="75"/>
      <c r="DK538" s="76"/>
    </row>
    <row r="539" spans="63:115" x14ac:dyDescent="0.25">
      <c r="BK539" s="75"/>
      <c r="BL539" s="75"/>
      <c r="BM539" s="75"/>
      <c r="BN539" s="73"/>
      <c r="BO539" s="75"/>
      <c r="BP539" s="75"/>
      <c r="BQ539" s="75"/>
      <c r="BR539" s="75"/>
      <c r="BS539" s="75"/>
      <c r="BT539" s="75"/>
      <c r="BU539" s="75"/>
      <c r="BV539" s="75"/>
      <c r="BW539" s="75"/>
      <c r="BX539" s="75"/>
      <c r="BY539" s="75"/>
      <c r="BZ539" s="75"/>
      <c r="CA539" s="73"/>
      <c r="CB539" s="75"/>
      <c r="CC539" s="75"/>
      <c r="CD539" s="75"/>
      <c r="CE539" s="73"/>
      <c r="CF539" s="75"/>
      <c r="CG539" s="75"/>
      <c r="CH539" s="75"/>
      <c r="CI539" s="73"/>
      <c r="CJ539" s="75"/>
      <c r="CK539" s="75"/>
      <c r="CL539" s="75"/>
      <c r="CM539" s="73"/>
      <c r="CN539" s="75"/>
      <c r="CO539" s="75"/>
      <c r="CP539" s="75"/>
      <c r="CQ539" s="73"/>
      <c r="CR539" s="75"/>
      <c r="CS539" s="75"/>
      <c r="CT539" s="75"/>
      <c r="CU539" s="73"/>
      <c r="CV539" s="75"/>
      <c r="CW539" s="75"/>
      <c r="CX539" s="75"/>
      <c r="CY539" s="73"/>
      <c r="CZ539" s="75"/>
      <c r="DA539" s="75"/>
      <c r="DB539" s="75"/>
      <c r="DC539" s="73"/>
      <c r="DD539" s="75"/>
      <c r="DE539" s="75"/>
      <c r="DF539" s="75"/>
      <c r="DG539" s="73"/>
      <c r="DH539" s="75"/>
      <c r="DI539" s="75"/>
      <c r="DJ539" s="75"/>
      <c r="DK539" s="76"/>
    </row>
    <row r="540" spans="63:115" x14ac:dyDescent="0.25">
      <c r="BK540" s="75"/>
      <c r="BL540" s="75"/>
      <c r="BM540" s="75"/>
      <c r="BN540" s="73"/>
      <c r="BO540" s="75"/>
      <c r="BP540" s="75"/>
      <c r="BQ540" s="75"/>
      <c r="BR540" s="75"/>
      <c r="BS540" s="75"/>
      <c r="BT540" s="75"/>
      <c r="BU540" s="75"/>
      <c r="BV540" s="75"/>
      <c r="BW540" s="75"/>
      <c r="BX540" s="75"/>
      <c r="BY540" s="75"/>
      <c r="BZ540" s="75"/>
      <c r="CA540" s="73"/>
      <c r="CB540" s="75"/>
      <c r="CC540" s="75"/>
      <c r="CD540" s="75"/>
      <c r="CE540" s="73"/>
      <c r="CF540" s="75"/>
      <c r="CG540" s="75"/>
      <c r="CH540" s="75"/>
      <c r="CI540" s="73"/>
      <c r="CJ540" s="75"/>
      <c r="CK540" s="75"/>
      <c r="CL540" s="75"/>
      <c r="CM540" s="73"/>
      <c r="CN540" s="75"/>
      <c r="CO540" s="75"/>
      <c r="CP540" s="75"/>
      <c r="CQ540" s="73"/>
      <c r="CR540" s="75"/>
      <c r="CS540" s="75"/>
      <c r="CT540" s="75"/>
      <c r="CU540" s="73"/>
      <c r="CV540" s="75"/>
      <c r="CW540" s="75"/>
      <c r="CX540" s="75"/>
      <c r="CY540" s="73"/>
      <c r="CZ540" s="75"/>
      <c r="DA540" s="75"/>
      <c r="DB540" s="75"/>
      <c r="DC540" s="73"/>
      <c r="DD540" s="75"/>
      <c r="DE540" s="75"/>
      <c r="DF540" s="75"/>
      <c r="DG540" s="73"/>
      <c r="DH540" s="75"/>
      <c r="DI540" s="75"/>
      <c r="DJ540" s="75"/>
      <c r="DK540" s="76"/>
    </row>
    <row r="541" spans="63:115" x14ac:dyDescent="0.25">
      <c r="BK541" s="75"/>
      <c r="BL541" s="75"/>
      <c r="BM541" s="75"/>
      <c r="BN541" s="73"/>
      <c r="BO541" s="75"/>
      <c r="BP541" s="75"/>
      <c r="BQ541" s="75"/>
      <c r="BR541" s="75"/>
      <c r="BS541" s="75"/>
      <c r="BT541" s="75"/>
      <c r="BU541" s="75"/>
      <c r="BV541" s="75"/>
      <c r="BW541" s="75"/>
      <c r="BX541" s="75"/>
      <c r="BY541" s="75"/>
      <c r="BZ541" s="75"/>
      <c r="CA541" s="73"/>
      <c r="CB541" s="75"/>
      <c r="CC541" s="75"/>
      <c r="CD541" s="75"/>
      <c r="CE541" s="73"/>
      <c r="CF541" s="75"/>
      <c r="CG541" s="75"/>
      <c r="CH541" s="75"/>
      <c r="CI541" s="73"/>
      <c r="CJ541" s="75"/>
      <c r="CK541" s="75"/>
      <c r="CL541" s="75"/>
      <c r="CM541" s="73"/>
      <c r="CN541" s="75"/>
      <c r="CO541" s="75"/>
      <c r="CP541" s="75"/>
      <c r="CQ541" s="73"/>
      <c r="CR541" s="75"/>
      <c r="CS541" s="75"/>
      <c r="CT541" s="75"/>
      <c r="CU541" s="73"/>
      <c r="CV541" s="75"/>
      <c r="CW541" s="75"/>
      <c r="CX541" s="75"/>
      <c r="CY541" s="73"/>
      <c r="CZ541" s="75"/>
      <c r="DA541" s="75"/>
      <c r="DB541" s="75"/>
      <c r="DC541" s="73"/>
      <c r="DD541" s="75"/>
      <c r="DE541" s="75"/>
      <c r="DF541" s="75"/>
      <c r="DG541" s="73"/>
      <c r="DH541" s="75"/>
      <c r="DI541" s="75"/>
      <c r="DJ541" s="75"/>
      <c r="DK541" s="76"/>
    </row>
    <row r="542" spans="63:115" x14ac:dyDescent="0.25">
      <c r="BK542" s="75"/>
      <c r="BL542" s="75"/>
      <c r="BM542" s="75"/>
      <c r="BN542" s="73"/>
      <c r="BO542" s="75"/>
      <c r="BP542" s="75"/>
      <c r="BQ542" s="75"/>
      <c r="BR542" s="75"/>
      <c r="BS542" s="75"/>
      <c r="BT542" s="75"/>
      <c r="BU542" s="75"/>
      <c r="BV542" s="75"/>
      <c r="BW542" s="75"/>
      <c r="BX542" s="75"/>
      <c r="BY542" s="75"/>
      <c r="BZ542" s="75"/>
      <c r="CA542" s="73"/>
      <c r="CB542" s="75"/>
      <c r="CC542" s="75"/>
      <c r="CD542" s="75"/>
      <c r="CE542" s="73"/>
      <c r="CF542" s="75"/>
      <c r="CG542" s="75"/>
      <c r="CH542" s="75"/>
      <c r="CI542" s="73"/>
      <c r="CJ542" s="75"/>
      <c r="CK542" s="75"/>
      <c r="CL542" s="75"/>
      <c r="CM542" s="73"/>
      <c r="CN542" s="75"/>
      <c r="CO542" s="75"/>
      <c r="CP542" s="75"/>
      <c r="CQ542" s="73"/>
      <c r="CR542" s="75"/>
      <c r="CS542" s="75"/>
      <c r="CT542" s="75"/>
      <c r="CU542" s="73"/>
      <c r="CV542" s="75"/>
      <c r="CW542" s="75"/>
      <c r="CX542" s="75"/>
      <c r="CY542" s="73"/>
      <c r="CZ542" s="75"/>
      <c r="DA542" s="75"/>
      <c r="DB542" s="75"/>
      <c r="DC542" s="73"/>
      <c r="DD542" s="75"/>
      <c r="DE542" s="75"/>
      <c r="DF542" s="75"/>
      <c r="DG542" s="73"/>
      <c r="DH542" s="75"/>
      <c r="DI542" s="75"/>
      <c r="DJ542" s="75"/>
      <c r="DK542" s="76"/>
    </row>
    <row r="543" spans="63:115" x14ac:dyDescent="0.25">
      <c r="BK543" s="75"/>
      <c r="BL543" s="75"/>
      <c r="BM543" s="75"/>
      <c r="BN543" s="73"/>
      <c r="BO543" s="75"/>
      <c r="BP543" s="75"/>
      <c r="BQ543" s="75"/>
      <c r="BR543" s="75"/>
      <c r="BS543" s="75"/>
      <c r="BT543" s="75"/>
      <c r="BU543" s="75"/>
      <c r="BV543" s="75"/>
      <c r="BW543" s="75"/>
      <c r="BX543" s="75"/>
      <c r="BY543" s="75"/>
      <c r="BZ543" s="75"/>
      <c r="CA543" s="73"/>
      <c r="CB543" s="75"/>
      <c r="CC543" s="75"/>
      <c r="CD543" s="75"/>
      <c r="CE543" s="73"/>
      <c r="CF543" s="75"/>
      <c r="CG543" s="75"/>
      <c r="CH543" s="75"/>
      <c r="CI543" s="73"/>
      <c r="CJ543" s="75"/>
      <c r="CK543" s="75"/>
      <c r="CL543" s="75"/>
      <c r="CM543" s="73"/>
      <c r="CN543" s="75"/>
      <c r="CO543" s="75"/>
      <c r="CP543" s="75"/>
      <c r="CQ543" s="73"/>
      <c r="CR543" s="75"/>
      <c r="CS543" s="75"/>
      <c r="CT543" s="75"/>
      <c r="CU543" s="73"/>
      <c r="CV543" s="75"/>
      <c r="CW543" s="75"/>
      <c r="CX543" s="75"/>
      <c r="CY543" s="73"/>
      <c r="CZ543" s="75"/>
      <c r="DA543" s="75"/>
      <c r="DB543" s="75"/>
      <c r="DC543" s="73"/>
      <c r="DD543" s="75"/>
      <c r="DE543" s="75"/>
      <c r="DF543" s="75"/>
      <c r="DG543" s="73"/>
      <c r="DH543" s="75"/>
      <c r="DI543" s="75"/>
      <c r="DJ543" s="75"/>
      <c r="DK543" s="76"/>
    </row>
    <row r="544" spans="63:115" x14ac:dyDescent="0.25">
      <c r="BK544" s="75"/>
      <c r="BL544" s="75"/>
      <c r="BM544" s="75"/>
      <c r="BN544" s="73"/>
      <c r="BO544" s="75"/>
      <c r="BP544" s="75"/>
      <c r="BQ544" s="75"/>
      <c r="BR544" s="75"/>
      <c r="BS544" s="75"/>
      <c r="BT544" s="75"/>
      <c r="BU544" s="75"/>
      <c r="BV544" s="75"/>
      <c r="BW544" s="75"/>
      <c r="BX544" s="75"/>
      <c r="BY544" s="75"/>
      <c r="BZ544" s="75"/>
      <c r="CA544" s="73"/>
      <c r="CB544" s="75"/>
      <c r="CC544" s="75"/>
      <c r="CD544" s="75"/>
      <c r="CE544" s="73"/>
      <c r="CF544" s="75"/>
      <c r="CG544" s="75"/>
      <c r="CH544" s="75"/>
      <c r="CI544" s="73"/>
      <c r="CJ544" s="75"/>
      <c r="CK544" s="75"/>
      <c r="CL544" s="75"/>
      <c r="CM544" s="73"/>
      <c r="CN544" s="75"/>
      <c r="CO544" s="75"/>
      <c r="CP544" s="75"/>
      <c r="CQ544" s="73"/>
      <c r="CR544" s="75"/>
      <c r="CS544" s="75"/>
      <c r="CT544" s="75"/>
      <c r="CU544" s="73"/>
      <c r="CV544" s="75"/>
      <c r="CW544" s="75"/>
      <c r="CX544" s="75"/>
      <c r="CY544" s="73"/>
      <c r="CZ544" s="75"/>
      <c r="DA544" s="75"/>
      <c r="DB544" s="75"/>
      <c r="DC544" s="73"/>
      <c r="DD544" s="75"/>
      <c r="DE544" s="75"/>
      <c r="DF544" s="75"/>
      <c r="DG544" s="73"/>
      <c r="DH544" s="75"/>
      <c r="DI544" s="75"/>
      <c r="DJ544" s="75"/>
      <c r="DK544" s="76"/>
    </row>
    <row r="545" spans="63:115" x14ac:dyDescent="0.25">
      <c r="BK545" s="75"/>
      <c r="BL545" s="75"/>
      <c r="BM545" s="75"/>
      <c r="BN545" s="73"/>
      <c r="BO545" s="75"/>
      <c r="BP545" s="75"/>
      <c r="BQ545" s="75"/>
      <c r="BR545" s="75"/>
      <c r="BS545" s="75"/>
      <c r="BT545" s="75"/>
      <c r="BU545" s="75"/>
      <c r="BV545" s="75"/>
      <c r="BW545" s="75"/>
      <c r="BX545" s="75"/>
      <c r="BY545" s="75"/>
      <c r="BZ545" s="75"/>
      <c r="CA545" s="73"/>
      <c r="CB545" s="75"/>
      <c r="CC545" s="75"/>
      <c r="CD545" s="75"/>
      <c r="CE545" s="73"/>
      <c r="CF545" s="75"/>
      <c r="CG545" s="75"/>
      <c r="CH545" s="75"/>
      <c r="CI545" s="73"/>
      <c r="CJ545" s="75"/>
      <c r="CK545" s="75"/>
      <c r="CL545" s="75"/>
      <c r="CM545" s="73"/>
      <c r="CN545" s="75"/>
      <c r="CO545" s="75"/>
      <c r="CP545" s="75"/>
      <c r="CQ545" s="73"/>
      <c r="CR545" s="75"/>
      <c r="CS545" s="75"/>
      <c r="CT545" s="75"/>
      <c r="CU545" s="73"/>
      <c r="CV545" s="75"/>
      <c r="CW545" s="75"/>
      <c r="CX545" s="75"/>
      <c r="CY545" s="73"/>
      <c r="CZ545" s="75"/>
      <c r="DA545" s="75"/>
      <c r="DB545" s="75"/>
      <c r="DC545" s="73"/>
      <c r="DD545" s="75"/>
      <c r="DE545" s="75"/>
      <c r="DF545" s="75"/>
      <c r="DG545" s="73"/>
      <c r="DH545" s="75"/>
      <c r="DI545" s="75"/>
      <c r="DJ545" s="75"/>
      <c r="DK545" s="76"/>
    </row>
    <row r="546" spans="63:115" x14ac:dyDescent="0.25">
      <c r="BK546" s="75"/>
      <c r="BL546" s="75"/>
      <c r="BM546" s="75"/>
      <c r="BN546" s="73"/>
      <c r="BO546" s="75"/>
      <c r="BP546" s="75"/>
      <c r="BQ546" s="75"/>
      <c r="BR546" s="75"/>
      <c r="BS546" s="75"/>
      <c r="BT546" s="75"/>
      <c r="BU546" s="75"/>
      <c r="BV546" s="75"/>
      <c r="BW546" s="75"/>
      <c r="BX546" s="75"/>
      <c r="BY546" s="75"/>
      <c r="BZ546" s="75"/>
      <c r="CA546" s="73"/>
      <c r="CB546" s="75"/>
      <c r="CC546" s="75"/>
      <c r="CD546" s="75"/>
      <c r="CE546" s="73"/>
      <c r="CF546" s="75"/>
      <c r="CG546" s="75"/>
      <c r="CH546" s="75"/>
      <c r="CI546" s="73"/>
      <c r="CJ546" s="75"/>
      <c r="CK546" s="75"/>
      <c r="CL546" s="75"/>
      <c r="CM546" s="73"/>
      <c r="CN546" s="75"/>
      <c r="CO546" s="75"/>
      <c r="CP546" s="75"/>
      <c r="CQ546" s="73"/>
      <c r="CR546" s="75"/>
      <c r="CS546" s="75"/>
      <c r="CT546" s="75"/>
      <c r="CU546" s="73"/>
      <c r="CV546" s="75"/>
      <c r="CW546" s="75"/>
      <c r="CX546" s="75"/>
      <c r="CY546" s="73"/>
      <c r="CZ546" s="75"/>
      <c r="DA546" s="75"/>
      <c r="DB546" s="75"/>
      <c r="DC546" s="73"/>
      <c r="DD546" s="75"/>
      <c r="DE546" s="75"/>
      <c r="DF546" s="75"/>
      <c r="DG546" s="73"/>
      <c r="DH546" s="75"/>
      <c r="DI546" s="75"/>
      <c r="DJ546" s="75"/>
      <c r="DK546" s="76"/>
    </row>
    <row r="547" spans="63:115" x14ac:dyDescent="0.25">
      <c r="BK547" s="75"/>
      <c r="BL547" s="75"/>
      <c r="BM547" s="75"/>
      <c r="BN547" s="73"/>
      <c r="BO547" s="75"/>
      <c r="BP547" s="75"/>
      <c r="BQ547" s="75"/>
      <c r="BR547" s="75"/>
      <c r="BS547" s="75"/>
      <c r="BT547" s="75"/>
      <c r="BU547" s="75"/>
      <c r="BV547" s="75"/>
      <c r="BW547" s="75"/>
      <c r="BX547" s="75"/>
      <c r="BY547" s="75"/>
      <c r="BZ547" s="75"/>
      <c r="CA547" s="73"/>
      <c r="CB547" s="75"/>
      <c r="CC547" s="75"/>
      <c r="CD547" s="75"/>
      <c r="CE547" s="73"/>
      <c r="CF547" s="75"/>
      <c r="CG547" s="75"/>
      <c r="CH547" s="75"/>
      <c r="CI547" s="73"/>
      <c r="CJ547" s="75"/>
      <c r="CK547" s="75"/>
      <c r="CL547" s="75"/>
      <c r="CM547" s="73"/>
      <c r="CN547" s="75"/>
      <c r="CO547" s="75"/>
      <c r="CP547" s="75"/>
      <c r="CQ547" s="73"/>
      <c r="CR547" s="75"/>
      <c r="CS547" s="75"/>
      <c r="CT547" s="75"/>
      <c r="CU547" s="73"/>
      <c r="CV547" s="75"/>
      <c r="CW547" s="75"/>
      <c r="CX547" s="75"/>
      <c r="CY547" s="73"/>
      <c r="CZ547" s="75"/>
      <c r="DA547" s="75"/>
      <c r="DB547" s="75"/>
      <c r="DC547" s="73"/>
      <c r="DD547" s="75"/>
      <c r="DE547" s="75"/>
      <c r="DF547" s="75"/>
      <c r="DG547" s="73"/>
      <c r="DH547" s="75"/>
      <c r="DI547" s="75"/>
      <c r="DJ547" s="75"/>
      <c r="DK547" s="76"/>
    </row>
    <row r="548" spans="63:115" x14ac:dyDescent="0.25">
      <c r="BK548" s="75"/>
      <c r="BL548" s="75"/>
      <c r="BM548" s="75"/>
      <c r="BN548" s="73"/>
      <c r="BO548" s="75"/>
      <c r="BP548" s="75"/>
      <c r="BQ548" s="75"/>
      <c r="BR548" s="75"/>
      <c r="BS548" s="75"/>
      <c r="BT548" s="75"/>
      <c r="BU548" s="75"/>
      <c r="BV548" s="75"/>
      <c r="BW548" s="75"/>
      <c r="BX548" s="75"/>
      <c r="BY548" s="75"/>
      <c r="BZ548" s="75"/>
      <c r="CA548" s="73"/>
      <c r="CB548" s="75"/>
      <c r="CC548" s="75"/>
      <c r="CD548" s="75"/>
      <c r="CE548" s="73"/>
      <c r="CF548" s="75"/>
      <c r="CG548" s="75"/>
      <c r="CH548" s="75"/>
      <c r="CI548" s="73"/>
      <c r="CJ548" s="75"/>
      <c r="CK548" s="75"/>
      <c r="CL548" s="75"/>
      <c r="CM548" s="73"/>
      <c r="CN548" s="75"/>
      <c r="CO548" s="75"/>
      <c r="CP548" s="75"/>
      <c r="CQ548" s="73"/>
      <c r="CR548" s="75"/>
      <c r="CS548" s="75"/>
      <c r="CT548" s="75"/>
      <c r="CU548" s="73"/>
      <c r="CV548" s="75"/>
      <c r="CW548" s="75"/>
      <c r="CX548" s="75"/>
      <c r="CY548" s="73"/>
      <c r="CZ548" s="75"/>
      <c r="DA548" s="75"/>
      <c r="DB548" s="75"/>
      <c r="DC548" s="73"/>
      <c r="DD548" s="75"/>
      <c r="DE548" s="75"/>
      <c r="DF548" s="75"/>
      <c r="DG548" s="73"/>
      <c r="DH548" s="75"/>
      <c r="DI548" s="75"/>
      <c r="DJ548" s="75"/>
      <c r="DK548" s="76"/>
    </row>
    <row r="549" spans="63:115" x14ac:dyDescent="0.25">
      <c r="BK549" s="75"/>
      <c r="BL549" s="75"/>
      <c r="BM549" s="75"/>
      <c r="BN549" s="73"/>
      <c r="BO549" s="75"/>
      <c r="BP549" s="75"/>
      <c r="BQ549" s="75"/>
      <c r="BR549" s="75"/>
      <c r="BS549" s="75"/>
      <c r="BT549" s="75"/>
      <c r="BU549" s="75"/>
      <c r="BV549" s="75"/>
      <c r="BW549" s="75"/>
      <c r="BX549" s="75"/>
      <c r="BY549" s="75"/>
      <c r="BZ549" s="75"/>
      <c r="CA549" s="73"/>
      <c r="CB549" s="75"/>
      <c r="CC549" s="75"/>
      <c r="CD549" s="75"/>
      <c r="CE549" s="73"/>
      <c r="CF549" s="75"/>
      <c r="CG549" s="75"/>
      <c r="CH549" s="75"/>
      <c r="CI549" s="73"/>
      <c r="CJ549" s="75"/>
      <c r="CK549" s="75"/>
      <c r="CL549" s="75"/>
      <c r="CM549" s="73"/>
      <c r="CN549" s="75"/>
      <c r="CO549" s="75"/>
      <c r="CP549" s="75"/>
      <c r="CQ549" s="73"/>
      <c r="CR549" s="75"/>
      <c r="CS549" s="75"/>
      <c r="CT549" s="75"/>
      <c r="CU549" s="73"/>
      <c r="CV549" s="75"/>
      <c r="CW549" s="75"/>
      <c r="CX549" s="75"/>
      <c r="CY549" s="73"/>
      <c r="CZ549" s="75"/>
      <c r="DA549" s="75"/>
      <c r="DB549" s="75"/>
      <c r="DC549" s="73"/>
      <c r="DD549" s="75"/>
      <c r="DE549" s="75"/>
      <c r="DF549" s="75"/>
      <c r="DG549" s="73"/>
      <c r="DH549" s="75"/>
      <c r="DI549" s="75"/>
      <c r="DJ549" s="75"/>
      <c r="DK549" s="76"/>
    </row>
    <row r="550" spans="63:115" x14ac:dyDescent="0.25">
      <c r="BK550" s="75"/>
      <c r="BL550" s="75"/>
      <c r="BM550" s="75"/>
      <c r="BN550" s="73"/>
      <c r="BO550" s="75"/>
      <c r="BP550" s="75"/>
      <c r="BQ550" s="75"/>
      <c r="BR550" s="75"/>
      <c r="BS550" s="75"/>
      <c r="BT550" s="75"/>
      <c r="BU550" s="75"/>
      <c r="BV550" s="75"/>
      <c r="BW550" s="75"/>
      <c r="BX550" s="75"/>
      <c r="BY550" s="75"/>
      <c r="BZ550" s="75"/>
      <c r="CA550" s="73"/>
      <c r="CB550" s="75"/>
      <c r="CC550" s="75"/>
      <c r="CD550" s="75"/>
      <c r="CE550" s="73"/>
      <c r="CF550" s="75"/>
      <c r="CG550" s="75"/>
      <c r="CH550" s="75"/>
      <c r="CI550" s="73"/>
      <c r="CJ550" s="75"/>
      <c r="CK550" s="75"/>
      <c r="CL550" s="75"/>
      <c r="CM550" s="73"/>
      <c r="CN550" s="75"/>
      <c r="CO550" s="75"/>
      <c r="CP550" s="75"/>
      <c r="CQ550" s="73"/>
      <c r="CR550" s="75"/>
      <c r="CS550" s="75"/>
      <c r="CT550" s="75"/>
      <c r="CU550" s="73"/>
      <c r="CV550" s="75"/>
      <c r="CW550" s="75"/>
      <c r="CX550" s="75"/>
      <c r="CY550" s="73"/>
      <c r="CZ550" s="75"/>
      <c r="DA550" s="75"/>
      <c r="DB550" s="75"/>
      <c r="DC550" s="73"/>
      <c r="DD550" s="75"/>
      <c r="DE550" s="75"/>
      <c r="DF550" s="75"/>
      <c r="DG550" s="73"/>
      <c r="DH550" s="75"/>
      <c r="DI550" s="75"/>
      <c r="DJ550" s="75"/>
      <c r="DK550" s="76"/>
    </row>
    <row r="551" spans="63:115" x14ac:dyDescent="0.25">
      <c r="BK551" s="75"/>
      <c r="BL551" s="75"/>
      <c r="BM551" s="75"/>
      <c r="BN551" s="73"/>
      <c r="BO551" s="75"/>
      <c r="BP551" s="75"/>
      <c r="BQ551" s="75"/>
      <c r="BR551" s="75"/>
      <c r="BS551" s="75"/>
      <c r="BT551" s="75"/>
      <c r="BU551" s="75"/>
      <c r="BV551" s="75"/>
      <c r="BW551" s="75"/>
      <c r="BX551" s="75"/>
      <c r="BY551" s="75"/>
      <c r="BZ551" s="75"/>
      <c r="CA551" s="73"/>
      <c r="CB551" s="75"/>
      <c r="CC551" s="75"/>
      <c r="CD551" s="75"/>
      <c r="CE551" s="73"/>
      <c r="CF551" s="75"/>
      <c r="CG551" s="75"/>
      <c r="CH551" s="75"/>
      <c r="CI551" s="73"/>
      <c r="CJ551" s="75"/>
      <c r="CK551" s="75"/>
      <c r="CL551" s="75"/>
      <c r="CM551" s="73"/>
      <c r="CN551" s="75"/>
      <c r="CO551" s="75"/>
      <c r="CP551" s="75"/>
      <c r="CQ551" s="73"/>
      <c r="CR551" s="75"/>
      <c r="CS551" s="75"/>
      <c r="CT551" s="75"/>
      <c r="CU551" s="73"/>
      <c r="CV551" s="75"/>
      <c r="CW551" s="75"/>
      <c r="CX551" s="75"/>
      <c r="CY551" s="73"/>
      <c r="CZ551" s="75"/>
      <c r="DA551" s="75"/>
      <c r="DB551" s="75"/>
      <c r="DC551" s="73"/>
      <c r="DD551" s="75"/>
      <c r="DE551" s="75"/>
      <c r="DF551" s="75"/>
      <c r="DG551" s="73"/>
      <c r="DH551" s="75"/>
      <c r="DI551" s="75"/>
      <c r="DJ551" s="75"/>
      <c r="DK551" s="76"/>
    </row>
    <row r="552" spans="63:115" x14ac:dyDescent="0.25">
      <c r="BK552" s="75"/>
      <c r="BL552" s="75"/>
      <c r="BM552" s="75"/>
      <c r="BN552" s="73"/>
      <c r="BO552" s="75"/>
      <c r="BP552" s="75"/>
      <c r="BQ552" s="75"/>
      <c r="BR552" s="75"/>
      <c r="BS552" s="75"/>
      <c r="BT552" s="75"/>
      <c r="BU552" s="75"/>
      <c r="BV552" s="75"/>
      <c r="BW552" s="75"/>
      <c r="BX552" s="75"/>
      <c r="BY552" s="75"/>
      <c r="BZ552" s="75"/>
      <c r="CA552" s="73"/>
      <c r="CB552" s="75"/>
      <c r="CC552" s="75"/>
      <c r="CD552" s="75"/>
      <c r="CE552" s="73"/>
      <c r="CF552" s="75"/>
      <c r="CG552" s="75"/>
      <c r="CH552" s="75"/>
      <c r="CI552" s="73"/>
      <c r="CJ552" s="75"/>
      <c r="CK552" s="75"/>
      <c r="CL552" s="75"/>
      <c r="CM552" s="73"/>
      <c r="CN552" s="75"/>
      <c r="CO552" s="75"/>
      <c r="CP552" s="75"/>
      <c r="CQ552" s="73"/>
      <c r="CR552" s="75"/>
      <c r="CS552" s="75"/>
      <c r="CT552" s="75"/>
      <c r="CU552" s="73"/>
      <c r="CV552" s="75"/>
      <c r="CW552" s="75"/>
      <c r="CX552" s="75"/>
      <c r="CY552" s="73"/>
      <c r="CZ552" s="75"/>
      <c r="DA552" s="75"/>
      <c r="DB552" s="75"/>
      <c r="DC552" s="73"/>
      <c r="DD552" s="75"/>
      <c r="DE552" s="75"/>
      <c r="DF552" s="75"/>
      <c r="DG552" s="73"/>
      <c r="DH552" s="75"/>
      <c r="DI552" s="75"/>
      <c r="DJ552" s="75"/>
      <c r="DK552" s="76"/>
    </row>
    <row r="553" spans="63:115" x14ac:dyDescent="0.25">
      <c r="BK553" s="75"/>
      <c r="BL553" s="75"/>
      <c r="BM553" s="75"/>
      <c r="BN553" s="73"/>
      <c r="BO553" s="75"/>
      <c r="BP553" s="75"/>
      <c r="BQ553" s="75"/>
      <c r="BR553" s="75"/>
      <c r="BS553" s="75"/>
      <c r="BT553" s="75"/>
      <c r="BU553" s="75"/>
      <c r="BV553" s="75"/>
      <c r="BW553" s="75"/>
      <c r="BX553" s="75"/>
      <c r="BY553" s="75"/>
      <c r="BZ553" s="75"/>
      <c r="CA553" s="73"/>
      <c r="CB553" s="75"/>
      <c r="CC553" s="75"/>
      <c r="CD553" s="75"/>
      <c r="CE553" s="73"/>
      <c r="CF553" s="75"/>
      <c r="CG553" s="75"/>
      <c r="CH553" s="75"/>
      <c r="CI553" s="73"/>
      <c r="CJ553" s="75"/>
      <c r="CK553" s="75"/>
      <c r="CL553" s="75"/>
      <c r="CM553" s="73"/>
      <c r="CN553" s="75"/>
      <c r="CO553" s="75"/>
      <c r="CP553" s="75"/>
      <c r="CQ553" s="73"/>
      <c r="CR553" s="75"/>
      <c r="CS553" s="75"/>
      <c r="CT553" s="75"/>
      <c r="CU553" s="73"/>
      <c r="CV553" s="75"/>
      <c r="CW553" s="75"/>
      <c r="CX553" s="75"/>
      <c r="CY553" s="73"/>
      <c r="CZ553" s="75"/>
      <c r="DA553" s="75"/>
      <c r="DB553" s="75"/>
      <c r="DC553" s="73"/>
      <c r="DD553" s="75"/>
      <c r="DE553" s="75"/>
      <c r="DF553" s="75"/>
      <c r="DG553" s="73"/>
      <c r="DH553" s="75"/>
      <c r="DI553" s="75"/>
      <c r="DJ553" s="75"/>
      <c r="DK553" s="76"/>
    </row>
    <row r="554" spans="63:115" x14ac:dyDescent="0.25">
      <c r="BK554" s="75"/>
      <c r="BL554" s="75"/>
      <c r="BM554" s="75"/>
      <c r="BN554" s="73"/>
      <c r="BO554" s="75"/>
      <c r="BP554" s="75"/>
      <c r="BQ554" s="75"/>
      <c r="BR554" s="75"/>
      <c r="BS554" s="75"/>
      <c r="BT554" s="75"/>
      <c r="BU554" s="75"/>
      <c r="BV554" s="75"/>
      <c r="BW554" s="75"/>
      <c r="BX554" s="75"/>
      <c r="BY554" s="75"/>
      <c r="BZ554" s="75"/>
      <c r="CA554" s="73"/>
      <c r="CB554" s="75"/>
      <c r="CC554" s="75"/>
      <c r="CD554" s="75"/>
      <c r="CE554" s="73"/>
      <c r="CF554" s="75"/>
      <c r="CG554" s="75"/>
      <c r="CH554" s="75"/>
      <c r="CI554" s="73"/>
      <c r="CJ554" s="75"/>
      <c r="CK554" s="75"/>
      <c r="CL554" s="75"/>
      <c r="CM554" s="73"/>
      <c r="CN554" s="75"/>
      <c r="CO554" s="75"/>
      <c r="CP554" s="75"/>
      <c r="CQ554" s="73"/>
      <c r="CR554" s="75"/>
      <c r="CS554" s="75"/>
      <c r="CT554" s="75"/>
      <c r="CU554" s="73"/>
      <c r="CV554" s="75"/>
      <c r="CW554" s="75"/>
      <c r="CX554" s="75"/>
      <c r="CY554" s="73"/>
      <c r="CZ554" s="75"/>
      <c r="DA554" s="75"/>
      <c r="DB554" s="75"/>
      <c r="DC554" s="73"/>
      <c r="DD554" s="75"/>
      <c r="DE554" s="75"/>
      <c r="DF554" s="75"/>
      <c r="DG554" s="73"/>
      <c r="DH554" s="75"/>
      <c r="DI554" s="75"/>
      <c r="DJ554" s="75"/>
      <c r="DK554" s="76"/>
    </row>
    <row r="555" spans="63:115" x14ac:dyDescent="0.25">
      <c r="BK555" s="75"/>
      <c r="BL555" s="75"/>
      <c r="BM555" s="75"/>
      <c r="BN555" s="73"/>
      <c r="BO555" s="75"/>
      <c r="BP555" s="75"/>
      <c r="BQ555" s="75"/>
      <c r="BR555" s="75"/>
      <c r="BS555" s="75"/>
      <c r="BT555" s="75"/>
      <c r="BU555" s="75"/>
      <c r="BV555" s="75"/>
      <c r="BW555" s="75"/>
      <c r="BX555" s="75"/>
      <c r="BY555" s="75"/>
      <c r="BZ555" s="75"/>
      <c r="CA555" s="73"/>
      <c r="CB555" s="75"/>
      <c r="CC555" s="75"/>
      <c r="CD555" s="75"/>
      <c r="CE555" s="73"/>
      <c r="CF555" s="75"/>
      <c r="CG555" s="75"/>
      <c r="CH555" s="75"/>
      <c r="CI555" s="73"/>
      <c r="CJ555" s="75"/>
      <c r="CK555" s="75"/>
      <c r="CL555" s="75"/>
      <c r="CM555" s="73"/>
      <c r="CN555" s="75"/>
      <c r="CO555" s="75"/>
      <c r="CP555" s="75"/>
      <c r="CQ555" s="73"/>
      <c r="CR555" s="75"/>
      <c r="CS555" s="75"/>
      <c r="CT555" s="75"/>
      <c r="CU555" s="73"/>
      <c r="CV555" s="75"/>
      <c r="CW555" s="75"/>
      <c r="CX555" s="75"/>
      <c r="CY555" s="73"/>
      <c r="CZ555" s="75"/>
      <c r="DA555" s="75"/>
      <c r="DB555" s="75"/>
      <c r="DC555" s="73"/>
      <c r="DD555" s="75"/>
      <c r="DE555" s="75"/>
      <c r="DF555" s="75"/>
      <c r="DG555" s="73"/>
      <c r="DH555" s="75"/>
      <c r="DI555" s="75"/>
      <c r="DJ555" s="75"/>
      <c r="DK555" s="76"/>
    </row>
    <row r="556" spans="63:115" x14ac:dyDescent="0.25">
      <c r="BK556" s="75"/>
      <c r="BL556" s="75"/>
      <c r="BM556" s="75"/>
      <c r="BN556" s="73"/>
      <c r="BO556" s="75"/>
      <c r="BP556" s="75"/>
      <c r="BQ556" s="75"/>
      <c r="BR556" s="75"/>
      <c r="BS556" s="75"/>
      <c r="BT556" s="75"/>
      <c r="BU556" s="75"/>
      <c r="BV556" s="75"/>
      <c r="BW556" s="75"/>
      <c r="BX556" s="75"/>
      <c r="BY556" s="75"/>
      <c r="BZ556" s="75"/>
      <c r="CA556" s="73"/>
      <c r="CB556" s="75"/>
      <c r="CC556" s="75"/>
      <c r="CD556" s="75"/>
      <c r="CE556" s="73"/>
      <c r="CF556" s="75"/>
      <c r="CG556" s="75"/>
      <c r="CH556" s="75"/>
      <c r="CI556" s="73"/>
      <c r="CJ556" s="75"/>
      <c r="CK556" s="75"/>
      <c r="CL556" s="75"/>
      <c r="CM556" s="73"/>
      <c r="CN556" s="75"/>
      <c r="CO556" s="75"/>
      <c r="CP556" s="75"/>
      <c r="CQ556" s="73"/>
      <c r="CR556" s="75"/>
      <c r="CS556" s="75"/>
      <c r="CT556" s="75"/>
      <c r="CU556" s="73"/>
      <c r="CV556" s="75"/>
      <c r="CW556" s="75"/>
      <c r="CX556" s="75"/>
      <c r="CY556" s="73"/>
      <c r="CZ556" s="75"/>
      <c r="DA556" s="75"/>
      <c r="DB556" s="75"/>
      <c r="DC556" s="73"/>
      <c r="DD556" s="75"/>
      <c r="DE556" s="75"/>
      <c r="DF556" s="75"/>
      <c r="DG556" s="73"/>
      <c r="DH556" s="75"/>
      <c r="DI556" s="75"/>
      <c r="DJ556" s="75"/>
      <c r="DK556" s="76"/>
    </row>
    <row r="557" spans="63:115" x14ac:dyDescent="0.25">
      <c r="BK557" s="75"/>
      <c r="BL557" s="75"/>
      <c r="BM557" s="75"/>
      <c r="BN557" s="73"/>
      <c r="BO557" s="75"/>
      <c r="BP557" s="75"/>
      <c r="BQ557" s="75"/>
      <c r="BR557" s="75"/>
      <c r="BS557" s="75"/>
      <c r="BT557" s="75"/>
      <c r="BU557" s="75"/>
      <c r="BV557" s="75"/>
      <c r="BW557" s="75"/>
      <c r="BX557" s="75"/>
      <c r="BY557" s="75"/>
      <c r="BZ557" s="75"/>
      <c r="CA557" s="73"/>
      <c r="CB557" s="75"/>
      <c r="CC557" s="75"/>
      <c r="CD557" s="75"/>
      <c r="CE557" s="73"/>
      <c r="CF557" s="75"/>
      <c r="CG557" s="75"/>
      <c r="CH557" s="75"/>
      <c r="CI557" s="73"/>
      <c r="CJ557" s="75"/>
      <c r="CK557" s="75"/>
      <c r="CL557" s="75"/>
      <c r="CM557" s="73"/>
      <c r="CN557" s="75"/>
      <c r="CO557" s="75"/>
      <c r="CP557" s="75"/>
      <c r="CQ557" s="73"/>
      <c r="CR557" s="75"/>
      <c r="CS557" s="75"/>
      <c r="CT557" s="75"/>
      <c r="CU557" s="73"/>
      <c r="CV557" s="75"/>
      <c r="CW557" s="75"/>
      <c r="CX557" s="75"/>
      <c r="CY557" s="73"/>
      <c r="CZ557" s="75"/>
      <c r="DA557" s="75"/>
      <c r="DB557" s="75"/>
      <c r="DC557" s="73"/>
      <c r="DD557" s="75"/>
      <c r="DE557" s="75"/>
      <c r="DF557" s="75"/>
      <c r="DG557" s="73"/>
      <c r="DH557" s="75"/>
      <c r="DI557" s="75"/>
      <c r="DJ557" s="75"/>
      <c r="DK557" s="76"/>
    </row>
    <row r="558" spans="63:115" x14ac:dyDescent="0.25">
      <c r="BK558" s="75"/>
      <c r="BL558" s="75"/>
      <c r="BM558" s="75"/>
      <c r="BN558" s="73"/>
      <c r="BO558" s="75"/>
      <c r="BP558" s="75"/>
      <c r="BQ558" s="75"/>
      <c r="BR558" s="75"/>
      <c r="BS558" s="75"/>
      <c r="BT558" s="75"/>
      <c r="BU558" s="75"/>
      <c r="BV558" s="75"/>
      <c r="BW558" s="75"/>
      <c r="BX558" s="75"/>
      <c r="BY558" s="75"/>
      <c r="BZ558" s="75"/>
      <c r="CA558" s="73"/>
      <c r="CB558" s="75"/>
      <c r="CC558" s="75"/>
      <c r="CD558" s="75"/>
      <c r="CE558" s="73"/>
      <c r="CF558" s="75"/>
      <c r="CG558" s="75"/>
      <c r="CH558" s="75"/>
      <c r="CI558" s="73"/>
      <c r="CJ558" s="75"/>
      <c r="CK558" s="75"/>
      <c r="CL558" s="75"/>
      <c r="CM558" s="73"/>
      <c r="CN558" s="75"/>
      <c r="CO558" s="75"/>
      <c r="CP558" s="75"/>
      <c r="CQ558" s="73"/>
      <c r="CR558" s="75"/>
      <c r="CS558" s="75"/>
      <c r="CT558" s="75"/>
      <c r="CU558" s="73"/>
      <c r="CV558" s="75"/>
      <c r="CW558" s="75"/>
      <c r="CX558" s="75"/>
      <c r="CY558" s="73"/>
      <c r="CZ558" s="75"/>
      <c r="DA558" s="75"/>
      <c r="DB558" s="75"/>
      <c r="DC558" s="73"/>
      <c r="DD558" s="75"/>
      <c r="DE558" s="75"/>
      <c r="DF558" s="75"/>
      <c r="DG558" s="73"/>
      <c r="DH558" s="75"/>
      <c r="DI558" s="75"/>
      <c r="DJ558" s="75"/>
      <c r="DK558" s="76"/>
    </row>
    <row r="559" spans="63:115" x14ac:dyDescent="0.25">
      <c r="BK559" s="75"/>
      <c r="BL559" s="75"/>
      <c r="BM559" s="75"/>
      <c r="BN559" s="73"/>
      <c r="BO559" s="75"/>
      <c r="BP559" s="75"/>
      <c r="BQ559" s="75"/>
      <c r="BR559" s="75"/>
      <c r="BS559" s="75"/>
      <c r="BT559" s="75"/>
      <c r="BU559" s="75"/>
      <c r="BV559" s="75"/>
      <c r="BW559" s="75"/>
      <c r="BX559" s="75"/>
      <c r="BY559" s="75"/>
      <c r="BZ559" s="75"/>
      <c r="CA559" s="73"/>
      <c r="CB559" s="75"/>
      <c r="CC559" s="75"/>
      <c r="CD559" s="75"/>
      <c r="CE559" s="73"/>
      <c r="CF559" s="75"/>
      <c r="CG559" s="75"/>
      <c r="CH559" s="75"/>
      <c r="CI559" s="73"/>
      <c r="CJ559" s="75"/>
      <c r="CK559" s="75"/>
      <c r="CL559" s="75"/>
      <c r="CM559" s="73"/>
      <c r="CN559" s="75"/>
      <c r="CO559" s="75"/>
      <c r="CP559" s="75"/>
      <c r="CQ559" s="73"/>
      <c r="CR559" s="75"/>
      <c r="CS559" s="75"/>
      <c r="CT559" s="75"/>
      <c r="CU559" s="73"/>
      <c r="CV559" s="75"/>
      <c r="CW559" s="75"/>
      <c r="CX559" s="75"/>
      <c r="CY559" s="73"/>
      <c r="CZ559" s="75"/>
      <c r="DA559" s="75"/>
      <c r="DB559" s="75"/>
      <c r="DC559" s="73"/>
      <c r="DD559" s="75"/>
      <c r="DE559" s="75"/>
      <c r="DF559" s="75"/>
      <c r="DG559" s="73"/>
      <c r="DH559" s="75"/>
      <c r="DI559" s="75"/>
      <c r="DJ559" s="75"/>
      <c r="DK559" s="76"/>
    </row>
    <row r="560" spans="63:115" x14ac:dyDescent="0.25">
      <c r="BK560" s="75"/>
      <c r="BL560" s="75"/>
      <c r="BM560" s="75"/>
      <c r="BN560" s="73"/>
      <c r="BO560" s="75"/>
      <c r="BP560" s="75"/>
      <c r="BQ560" s="75"/>
      <c r="BR560" s="75"/>
      <c r="BS560" s="75"/>
      <c r="BT560" s="75"/>
      <c r="BU560" s="75"/>
      <c r="BV560" s="75"/>
      <c r="BW560" s="75"/>
      <c r="BX560" s="75"/>
      <c r="BY560" s="75"/>
      <c r="BZ560" s="75"/>
      <c r="CA560" s="73"/>
      <c r="CB560" s="75"/>
      <c r="CC560" s="75"/>
      <c r="CD560" s="75"/>
      <c r="CE560" s="73"/>
      <c r="CF560" s="75"/>
      <c r="CG560" s="75"/>
      <c r="CH560" s="75"/>
      <c r="CI560" s="73"/>
      <c r="CJ560" s="75"/>
      <c r="CK560" s="75"/>
      <c r="CL560" s="75"/>
      <c r="CM560" s="73"/>
      <c r="CN560" s="75"/>
      <c r="CO560" s="75"/>
      <c r="CP560" s="75"/>
      <c r="CQ560" s="73"/>
      <c r="CR560" s="75"/>
      <c r="CS560" s="75"/>
      <c r="CT560" s="75"/>
      <c r="CU560" s="73"/>
      <c r="CV560" s="75"/>
      <c r="CW560" s="75"/>
      <c r="CX560" s="75"/>
      <c r="CY560" s="73"/>
      <c r="CZ560" s="75"/>
      <c r="DA560" s="75"/>
      <c r="DB560" s="75"/>
      <c r="DC560" s="73"/>
      <c r="DD560" s="75"/>
      <c r="DE560" s="75"/>
      <c r="DF560" s="75"/>
      <c r="DG560" s="73"/>
      <c r="DH560" s="75"/>
      <c r="DI560" s="75"/>
      <c r="DJ560" s="75"/>
      <c r="DK560" s="76"/>
    </row>
    <row r="561" spans="63:115" x14ac:dyDescent="0.25">
      <c r="BK561" s="75"/>
      <c r="BL561" s="75"/>
      <c r="BM561" s="75"/>
      <c r="BN561" s="73"/>
      <c r="BO561" s="75"/>
      <c r="BP561" s="75"/>
      <c r="BQ561" s="75"/>
      <c r="BR561" s="75"/>
      <c r="BS561" s="75"/>
      <c r="BT561" s="75"/>
      <c r="BU561" s="75"/>
      <c r="BV561" s="75"/>
      <c r="BW561" s="75"/>
      <c r="BX561" s="75"/>
      <c r="BY561" s="75"/>
      <c r="BZ561" s="75"/>
      <c r="CA561" s="73"/>
      <c r="CB561" s="75"/>
      <c r="CC561" s="75"/>
      <c r="CD561" s="75"/>
      <c r="CE561" s="73"/>
      <c r="CF561" s="75"/>
      <c r="CG561" s="75"/>
      <c r="CH561" s="75"/>
      <c r="CI561" s="73"/>
      <c r="CJ561" s="75"/>
      <c r="CK561" s="75"/>
      <c r="CL561" s="75"/>
      <c r="CM561" s="73"/>
      <c r="CN561" s="75"/>
      <c r="CO561" s="75"/>
      <c r="CP561" s="75"/>
      <c r="CQ561" s="73"/>
      <c r="CR561" s="75"/>
      <c r="CS561" s="75"/>
      <c r="CT561" s="75"/>
      <c r="CU561" s="73"/>
      <c r="CV561" s="75"/>
      <c r="CW561" s="75"/>
      <c r="CX561" s="75"/>
      <c r="CY561" s="73"/>
      <c r="CZ561" s="75"/>
      <c r="DA561" s="75"/>
      <c r="DB561" s="75"/>
      <c r="DC561" s="73"/>
      <c r="DD561" s="75"/>
      <c r="DE561" s="75"/>
      <c r="DF561" s="75"/>
      <c r="DG561" s="73"/>
      <c r="DH561" s="75"/>
      <c r="DI561" s="75"/>
      <c r="DJ561" s="75"/>
      <c r="DK561" s="76"/>
    </row>
    <row r="562" spans="63:115" x14ac:dyDescent="0.25">
      <c r="BK562" s="75"/>
      <c r="BL562" s="75"/>
      <c r="BM562" s="75"/>
      <c r="BN562" s="73"/>
      <c r="BO562" s="75"/>
      <c r="BP562" s="75"/>
      <c r="BQ562" s="75"/>
      <c r="BR562" s="75"/>
      <c r="BS562" s="75"/>
      <c r="BT562" s="75"/>
      <c r="BU562" s="75"/>
      <c r="BV562" s="75"/>
      <c r="BW562" s="75"/>
      <c r="BX562" s="75"/>
      <c r="BY562" s="75"/>
      <c r="BZ562" s="75"/>
      <c r="CA562" s="73"/>
      <c r="CB562" s="75"/>
      <c r="CC562" s="75"/>
      <c r="CD562" s="75"/>
      <c r="CE562" s="73"/>
      <c r="CF562" s="75"/>
      <c r="CG562" s="75"/>
      <c r="CH562" s="75"/>
      <c r="CI562" s="73"/>
      <c r="CJ562" s="75"/>
      <c r="CK562" s="75"/>
      <c r="CL562" s="75"/>
      <c r="CM562" s="73"/>
      <c r="CN562" s="75"/>
      <c r="CO562" s="75"/>
      <c r="CP562" s="75"/>
      <c r="CQ562" s="73"/>
      <c r="CR562" s="75"/>
      <c r="CS562" s="75"/>
      <c r="CT562" s="75"/>
      <c r="CU562" s="73"/>
      <c r="CV562" s="75"/>
      <c r="CW562" s="75"/>
      <c r="CX562" s="75"/>
      <c r="CY562" s="73"/>
      <c r="CZ562" s="75"/>
      <c r="DA562" s="75"/>
      <c r="DB562" s="75"/>
      <c r="DC562" s="73"/>
      <c r="DD562" s="75"/>
      <c r="DE562" s="75"/>
      <c r="DF562" s="75"/>
      <c r="DG562" s="73"/>
      <c r="DH562" s="75"/>
      <c r="DI562" s="75"/>
      <c r="DJ562" s="75"/>
      <c r="DK562" s="76"/>
    </row>
    <row r="563" spans="63:115" x14ac:dyDescent="0.25">
      <c r="BK563" s="75"/>
      <c r="BL563" s="75"/>
      <c r="BM563" s="75"/>
      <c r="BN563" s="73"/>
      <c r="BO563" s="75"/>
      <c r="BP563" s="75"/>
      <c r="BQ563" s="75"/>
      <c r="BR563" s="75"/>
      <c r="BS563" s="75"/>
      <c r="BT563" s="75"/>
      <c r="BU563" s="75"/>
      <c r="BV563" s="75"/>
      <c r="BW563" s="75"/>
      <c r="BX563" s="75"/>
      <c r="BY563" s="75"/>
      <c r="BZ563" s="75"/>
      <c r="CA563" s="73"/>
      <c r="CB563" s="75"/>
      <c r="CC563" s="75"/>
      <c r="CD563" s="75"/>
      <c r="CE563" s="73"/>
      <c r="CF563" s="75"/>
      <c r="CG563" s="75"/>
      <c r="CH563" s="75"/>
      <c r="CI563" s="73"/>
      <c r="CJ563" s="75"/>
      <c r="CK563" s="75"/>
      <c r="CL563" s="75"/>
      <c r="CM563" s="73"/>
      <c r="CN563" s="75"/>
      <c r="CO563" s="75"/>
      <c r="CP563" s="75"/>
      <c r="CQ563" s="73"/>
      <c r="CR563" s="75"/>
      <c r="CS563" s="75"/>
      <c r="CT563" s="75"/>
      <c r="CU563" s="73"/>
      <c r="CV563" s="75"/>
      <c r="CW563" s="75"/>
      <c r="CX563" s="75"/>
      <c r="CY563" s="73"/>
      <c r="CZ563" s="75"/>
      <c r="DA563" s="75"/>
      <c r="DB563" s="75"/>
      <c r="DC563" s="73"/>
      <c r="DD563" s="75"/>
      <c r="DE563" s="75"/>
      <c r="DF563" s="75"/>
      <c r="DG563" s="73"/>
      <c r="DH563" s="75"/>
      <c r="DI563" s="75"/>
      <c r="DJ563" s="75"/>
      <c r="DK563" s="76"/>
    </row>
    <row r="564" spans="63:115" x14ac:dyDescent="0.25">
      <c r="BK564" s="75"/>
      <c r="BL564" s="75"/>
      <c r="BM564" s="75"/>
      <c r="BN564" s="73"/>
      <c r="BO564" s="75"/>
      <c r="BP564" s="75"/>
      <c r="BQ564" s="75"/>
      <c r="BR564" s="75"/>
      <c r="BS564" s="75"/>
      <c r="BT564" s="75"/>
      <c r="BU564" s="75"/>
      <c r="BV564" s="75"/>
      <c r="BW564" s="75"/>
      <c r="BX564" s="75"/>
      <c r="BY564" s="75"/>
      <c r="BZ564" s="75"/>
      <c r="CA564" s="73"/>
      <c r="CB564" s="75"/>
      <c r="CC564" s="75"/>
      <c r="CD564" s="75"/>
      <c r="CE564" s="73"/>
      <c r="CF564" s="75"/>
      <c r="CG564" s="75"/>
      <c r="CH564" s="75"/>
      <c r="CI564" s="73"/>
      <c r="CJ564" s="75"/>
      <c r="CK564" s="75"/>
      <c r="CL564" s="75"/>
      <c r="CM564" s="73"/>
      <c r="CN564" s="75"/>
      <c r="CO564" s="75"/>
      <c r="CP564" s="75"/>
      <c r="CQ564" s="73"/>
      <c r="CR564" s="75"/>
      <c r="CS564" s="75"/>
      <c r="CT564" s="75"/>
      <c r="CU564" s="73"/>
      <c r="CV564" s="75"/>
      <c r="CW564" s="75"/>
      <c r="CX564" s="75"/>
      <c r="CY564" s="73"/>
      <c r="CZ564" s="75"/>
      <c r="DA564" s="75"/>
      <c r="DB564" s="75"/>
      <c r="DC564" s="73"/>
      <c r="DD564" s="75"/>
      <c r="DE564" s="75"/>
      <c r="DF564" s="75"/>
      <c r="DG564" s="73"/>
      <c r="DH564" s="75"/>
      <c r="DI564" s="75"/>
      <c r="DJ564" s="75"/>
      <c r="DK564" s="76"/>
    </row>
    <row r="565" spans="63:115" x14ac:dyDescent="0.25">
      <c r="BK565" s="75"/>
      <c r="BL565" s="75"/>
      <c r="BM565" s="75"/>
      <c r="BN565" s="73"/>
      <c r="BO565" s="75"/>
      <c r="BP565" s="75"/>
      <c r="BQ565" s="75"/>
      <c r="BR565" s="75"/>
      <c r="BS565" s="75"/>
      <c r="BT565" s="75"/>
      <c r="BU565" s="75"/>
      <c r="BV565" s="75"/>
      <c r="BW565" s="75"/>
      <c r="BX565" s="75"/>
      <c r="BY565" s="75"/>
      <c r="BZ565" s="75"/>
      <c r="CA565" s="73"/>
      <c r="CB565" s="75"/>
      <c r="CC565" s="75"/>
      <c r="CD565" s="75"/>
      <c r="CE565" s="73"/>
      <c r="CF565" s="75"/>
      <c r="CG565" s="75"/>
      <c r="CH565" s="75"/>
      <c r="CI565" s="73"/>
      <c r="CJ565" s="75"/>
      <c r="CK565" s="75"/>
      <c r="CL565" s="75"/>
      <c r="CM565" s="73"/>
      <c r="CN565" s="75"/>
      <c r="CO565" s="75"/>
      <c r="CP565" s="75"/>
      <c r="CQ565" s="73"/>
      <c r="CR565" s="75"/>
      <c r="CS565" s="75"/>
      <c r="CT565" s="75"/>
      <c r="CU565" s="73"/>
      <c r="CV565" s="75"/>
      <c r="CW565" s="75"/>
      <c r="CX565" s="75"/>
      <c r="CY565" s="73"/>
      <c r="CZ565" s="75"/>
      <c r="DA565" s="75"/>
      <c r="DB565" s="75"/>
      <c r="DC565" s="73"/>
      <c r="DD565" s="75"/>
      <c r="DE565" s="75"/>
      <c r="DF565" s="75"/>
      <c r="DG565" s="73"/>
      <c r="DH565" s="75"/>
      <c r="DI565" s="75"/>
      <c r="DJ565" s="75"/>
      <c r="DK565" s="76"/>
    </row>
    <row r="566" spans="63:115" x14ac:dyDescent="0.25">
      <c r="BK566" s="75"/>
      <c r="BL566" s="75"/>
      <c r="BM566" s="75"/>
      <c r="BN566" s="73"/>
      <c r="BO566" s="75"/>
      <c r="BP566" s="75"/>
      <c r="BQ566" s="75"/>
      <c r="BR566" s="75"/>
      <c r="BS566" s="75"/>
      <c r="BT566" s="75"/>
      <c r="BU566" s="75"/>
      <c r="BV566" s="75"/>
      <c r="BW566" s="75"/>
      <c r="BX566" s="75"/>
      <c r="BY566" s="75"/>
      <c r="BZ566" s="75"/>
      <c r="CA566" s="73"/>
      <c r="CB566" s="75"/>
      <c r="CC566" s="75"/>
      <c r="CD566" s="75"/>
      <c r="CE566" s="73"/>
      <c r="CF566" s="75"/>
      <c r="CG566" s="75"/>
      <c r="CH566" s="75"/>
      <c r="CI566" s="73"/>
      <c r="CJ566" s="75"/>
      <c r="CK566" s="75"/>
      <c r="CL566" s="75"/>
      <c r="CM566" s="73"/>
      <c r="CN566" s="75"/>
      <c r="CO566" s="75"/>
      <c r="CP566" s="75"/>
      <c r="CQ566" s="73"/>
      <c r="CR566" s="75"/>
      <c r="CS566" s="75"/>
      <c r="CT566" s="75"/>
      <c r="CU566" s="73"/>
      <c r="CV566" s="75"/>
      <c r="CW566" s="75"/>
      <c r="CX566" s="75"/>
      <c r="CY566" s="73"/>
      <c r="CZ566" s="75"/>
      <c r="DA566" s="75"/>
      <c r="DB566" s="75"/>
      <c r="DC566" s="73"/>
      <c r="DD566" s="75"/>
      <c r="DE566" s="75"/>
      <c r="DF566" s="75"/>
      <c r="DG566" s="73"/>
      <c r="DH566" s="75"/>
      <c r="DI566" s="75"/>
      <c r="DJ566" s="75"/>
      <c r="DK566" s="76"/>
    </row>
    <row r="567" spans="63:115" x14ac:dyDescent="0.25">
      <c r="BK567" s="75"/>
      <c r="BL567" s="75"/>
      <c r="BM567" s="75"/>
      <c r="BN567" s="73"/>
      <c r="BO567" s="75"/>
      <c r="BP567" s="75"/>
      <c r="BQ567" s="75"/>
      <c r="BR567" s="75"/>
      <c r="BS567" s="75"/>
      <c r="BT567" s="75"/>
      <c r="BU567" s="75"/>
      <c r="BV567" s="75"/>
      <c r="BW567" s="75"/>
      <c r="BX567" s="75"/>
      <c r="BY567" s="75"/>
      <c r="BZ567" s="75"/>
      <c r="CA567" s="73"/>
      <c r="CB567" s="75"/>
      <c r="CC567" s="75"/>
      <c r="CD567" s="75"/>
      <c r="CE567" s="73"/>
      <c r="CF567" s="75"/>
      <c r="CG567" s="75"/>
      <c r="CH567" s="75"/>
      <c r="CI567" s="73"/>
      <c r="CJ567" s="75"/>
      <c r="CK567" s="75"/>
      <c r="CL567" s="75"/>
      <c r="CM567" s="73"/>
      <c r="CN567" s="75"/>
      <c r="CO567" s="75"/>
      <c r="CP567" s="75"/>
      <c r="CQ567" s="73"/>
      <c r="CR567" s="75"/>
      <c r="CS567" s="75"/>
      <c r="CT567" s="75"/>
      <c r="CU567" s="73"/>
      <c r="CV567" s="75"/>
      <c r="CW567" s="75"/>
      <c r="CX567" s="75"/>
      <c r="CY567" s="73"/>
      <c r="CZ567" s="75"/>
      <c r="DA567" s="75"/>
      <c r="DB567" s="75"/>
      <c r="DC567" s="73"/>
      <c r="DD567" s="75"/>
      <c r="DE567" s="75"/>
      <c r="DF567" s="75"/>
      <c r="DG567" s="73"/>
      <c r="DH567" s="75"/>
      <c r="DI567" s="75"/>
      <c r="DJ567" s="75"/>
      <c r="DK567" s="76"/>
    </row>
    <row r="568" spans="63:115" x14ac:dyDescent="0.25">
      <c r="BK568" s="75"/>
      <c r="BL568" s="75"/>
      <c r="BM568" s="75"/>
      <c r="BN568" s="73"/>
      <c r="BO568" s="75"/>
      <c r="BP568" s="75"/>
      <c r="BQ568" s="75"/>
      <c r="BR568" s="75"/>
      <c r="BS568" s="75"/>
      <c r="BT568" s="75"/>
      <c r="BU568" s="75"/>
      <c r="BV568" s="75"/>
      <c r="BW568" s="75"/>
      <c r="BX568" s="75"/>
      <c r="BY568" s="75"/>
      <c r="BZ568" s="75"/>
      <c r="CA568" s="73"/>
      <c r="CB568" s="75"/>
      <c r="CC568" s="75"/>
      <c r="CD568" s="75"/>
      <c r="CE568" s="73"/>
      <c r="CF568" s="75"/>
      <c r="CG568" s="75"/>
      <c r="CH568" s="75"/>
      <c r="CI568" s="73"/>
      <c r="CJ568" s="75"/>
      <c r="CK568" s="75"/>
      <c r="CL568" s="75"/>
      <c r="CM568" s="73"/>
      <c r="CN568" s="75"/>
      <c r="CO568" s="75"/>
      <c r="CP568" s="75"/>
      <c r="CQ568" s="73"/>
      <c r="CR568" s="75"/>
      <c r="CS568" s="75"/>
      <c r="CT568" s="75"/>
      <c r="CU568" s="73"/>
      <c r="CV568" s="75"/>
      <c r="CW568" s="75"/>
      <c r="CX568" s="75"/>
      <c r="CY568" s="73"/>
      <c r="CZ568" s="75"/>
      <c r="DA568" s="75"/>
      <c r="DB568" s="75"/>
      <c r="DC568" s="73"/>
      <c r="DD568" s="75"/>
      <c r="DE568" s="75"/>
      <c r="DF568" s="75"/>
      <c r="DG568" s="73"/>
      <c r="DH568" s="75"/>
      <c r="DI568" s="75"/>
      <c r="DJ568" s="75"/>
      <c r="DK568" s="76"/>
    </row>
    <row r="569" spans="63:115" x14ac:dyDescent="0.25">
      <c r="BK569" s="75"/>
      <c r="BL569" s="75"/>
      <c r="BM569" s="75"/>
      <c r="BN569" s="73"/>
      <c r="BO569" s="75"/>
      <c r="BP569" s="75"/>
      <c r="BQ569" s="75"/>
      <c r="BR569" s="75"/>
      <c r="BS569" s="75"/>
      <c r="BT569" s="75"/>
      <c r="BU569" s="75"/>
      <c r="BV569" s="75"/>
      <c r="BW569" s="75"/>
      <c r="BX569" s="75"/>
      <c r="BY569" s="75"/>
      <c r="BZ569" s="75"/>
      <c r="CA569" s="73"/>
      <c r="CB569" s="75"/>
      <c r="CC569" s="75"/>
      <c r="CD569" s="75"/>
      <c r="CE569" s="73"/>
      <c r="CF569" s="75"/>
      <c r="CG569" s="75"/>
      <c r="CH569" s="75"/>
      <c r="CI569" s="73"/>
      <c r="CJ569" s="75"/>
      <c r="CK569" s="75"/>
      <c r="CL569" s="75"/>
      <c r="CM569" s="73"/>
      <c r="CN569" s="75"/>
      <c r="CO569" s="75"/>
      <c r="CP569" s="75"/>
      <c r="CQ569" s="73"/>
      <c r="CR569" s="75"/>
      <c r="CS569" s="75"/>
      <c r="CT569" s="75"/>
      <c r="CU569" s="73"/>
      <c r="CV569" s="75"/>
      <c r="CW569" s="75"/>
      <c r="CX569" s="75"/>
      <c r="CY569" s="73"/>
      <c r="CZ569" s="75"/>
      <c r="DA569" s="75"/>
      <c r="DB569" s="75"/>
      <c r="DC569" s="73"/>
      <c r="DD569" s="75"/>
      <c r="DE569" s="75"/>
      <c r="DF569" s="75"/>
      <c r="DG569" s="73"/>
      <c r="DH569" s="75"/>
      <c r="DI569" s="75"/>
      <c r="DJ569" s="75"/>
      <c r="DK569" s="76"/>
    </row>
    <row r="570" spans="63:115" x14ac:dyDescent="0.25">
      <c r="BK570" s="75"/>
      <c r="BL570" s="75"/>
      <c r="BM570" s="75"/>
      <c r="BN570" s="73"/>
      <c r="BO570" s="75"/>
      <c r="BP570" s="75"/>
      <c r="BQ570" s="75"/>
      <c r="BR570" s="75"/>
      <c r="BS570" s="75"/>
      <c r="BT570" s="75"/>
      <c r="BU570" s="75"/>
      <c r="BV570" s="75"/>
      <c r="BW570" s="75"/>
      <c r="BX570" s="75"/>
      <c r="BY570" s="75"/>
      <c r="BZ570" s="75"/>
      <c r="CA570" s="73"/>
      <c r="CB570" s="75"/>
      <c r="CC570" s="75"/>
      <c r="CD570" s="75"/>
      <c r="CE570" s="73"/>
      <c r="CF570" s="75"/>
      <c r="CG570" s="75"/>
      <c r="CH570" s="75"/>
      <c r="CI570" s="73"/>
      <c r="CJ570" s="75"/>
      <c r="CK570" s="75"/>
      <c r="CL570" s="75"/>
      <c r="CM570" s="73"/>
      <c r="CN570" s="75"/>
      <c r="CO570" s="75"/>
      <c r="CP570" s="75"/>
      <c r="CQ570" s="73"/>
      <c r="CR570" s="75"/>
      <c r="CS570" s="75"/>
      <c r="CT570" s="75"/>
      <c r="CU570" s="73"/>
      <c r="CV570" s="75"/>
      <c r="CW570" s="75"/>
      <c r="CX570" s="75"/>
      <c r="CY570" s="73"/>
      <c r="CZ570" s="75"/>
      <c r="DA570" s="75"/>
      <c r="DB570" s="75"/>
      <c r="DC570" s="73"/>
      <c r="DD570" s="75"/>
      <c r="DE570" s="75"/>
      <c r="DF570" s="75"/>
      <c r="DG570" s="73"/>
      <c r="DH570" s="75"/>
      <c r="DI570" s="75"/>
      <c r="DJ570" s="75"/>
      <c r="DK570" s="76"/>
    </row>
    <row r="571" spans="63:115" x14ac:dyDescent="0.25">
      <c r="BK571" s="75"/>
      <c r="BL571" s="75"/>
      <c r="BM571" s="75"/>
      <c r="BN571" s="73"/>
      <c r="BO571" s="75"/>
      <c r="BP571" s="75"/>
      <c r="BQ571" s="75"/>
      <c r="BR571" s="75"/>
      <c r="BS571" s="75"/>
      <c r="BT571" s="75"/>
      <c r="BU571" s="75"/>
      <c r="BV571" s="75"/>
      <c r="BW571" s="75"/>
      <c r="BX571" s="75"/>
      <c r="BY571" s="75"/>
      <c r="BZ571" s="75"/>
      <c r="CA571" s="73"/>
      <c r="CB571" s="75"/>
      <c r="CC571" s="75"/>
      <c r="CD571" s="75"/>
      <c r="CE571" s="73"/>
      <c r="CF571" s="75"/>
      <c r="CG571" s="75"/>
      <c r="CH571" s="75"/>
      <c r="CI571" s="73"/>
      <c r="CJ571" s="75"/>
      <c r="CK571" s="75"/>
      <c r="CL571" s="75"/>
      <c r="CM571" s="73"/>
      <c r="CN571" s="75"/>
      <c r="CO571" s="75"/>
      <c r="CP571" s="75"/>
      <c r="CQ571" s="73"/>
      <c r="CR571" s="75"/>
      <c r="CS571" s="75"/>
      <c r="CT571" s="75"/>
      <c r="CU571" s="73"/>
      <c r="CV571" s="75"/>
      <c r="CW571" s="75"/>
      <c r="CX571" s="75"/>
      <c r="CY571" s="73"/>
      <c r="CZ571" s="75"/>
      <c r="DA571" s="75"/>
      <c r="DB571" s="75"/>
      <c r="DC571" s="73"/>
      <c r="DD571" s="75"/>
      <c r="DE571" s="75"/>
      <c r="DF571" s="75"/>
      <c r="DG571" s="73"/>
      <c r="DH571" s="75"/>
      <c r="DI571" s="75"/>
      <c r="DJ571" s="75"/>
      <c r="DK571" s="76"/>
    </row>
    <row r="572" spans="63:115" x14ac:dyDescent="0.25">
      <c r="BK572" s="75"/>
      <c r="BL572" s="75"/>
      <c r="BM572" s="75"/>
      <c r="BN572" s="73"/>
      <c r="BO572" s="75"/>
      <c r="BP572" s="75"/>
      <c r="BQ572" s="75"/>
      <c r="BR572" s="75"/>
      <c r="BS572" s="75"/>
      <c r="BT572" s="75"/>
      <c r="BU572" s="75"/>
      <c r="BV572" s="75"/>
      <c r="BW572" s="75"/>
      <c r="BX572" s="75"/>
      <c r="BY572" s="75"/>
      <c r="BZ572" s="75"/>
      <c r="CA572" s="73"/>
      <c r="CB572" s="75"/>
      <c r="CC572" s="75"/>
      <c r="CD572" s="75"/>
      <c r="CE572" s="73"/>
      <c r="CF572" s="75"/>
      <c r="CG572" s="75"/>
      <c r="CH572" s="75"/>
      <c r="CI572" s="73"/>
      <c r="CJ572" s="75"/>
      <c r="CK572" s="75"/>
      <c r="CL572" s="75"/>
      <c r="CM572" s="73"/>
      <c r="CN572" s="75"/>
      <c r="CO572" s="75"/>
      <c r="CP572" s="75"/>
      <c r="CQ572" s="73"/>
      <c r="CR572" s="75"/>
      <c r="CS572" s="75"/>
      <c r="CT572" s="75"/>
      <c r="CU572" s="73"/>
      <c r="CV572" s="75"/>
      <c r="CW572" s="75"/>
      <c r="CX572" s="75"/>
      <c r="CY572" s="73"/>
      <c r="CZ572" s="75"/>
      <c r="DA572" s="75"/>
      <c r="DB572" s="75"/>
      <c r="DC572" s="73"/>
      <c r="DD572" s="75"/>
      <c r="DE572" s="75"/>
      <c r="DF572" s="75"/>
      <c r="DG572" s="73"/>
      <c r="DH572" s="75"/>
      <c r="DI572" s="75"/>
      <c r="DJ572" s="75"/>
      <c r="DK572" s="76"/>
    </row>
    <row r="573" spans="63:115" x14ac:dyDescent="0.25">
      <c r="BK573" s="75"/>
      <c r="BL573" s="75"/>
      <c r="BM573" s="75"/>
      <c r="BN573" s="73"/>
      <c r="BO573" s="75"/>
      <c r="BP573" s="75"/>
      <c r="BQ573" s="75"/>
      <c r="BR573" s="75"/>
      <c r="BS573" s="75"/>
      <c r="BT573" s="75"/>
      <c r="BU573" s="75"/>
      <c r="BV573" s="75"/>
      <c r="BW573" s="75"/>
      <c r="BX573" s="75"/>
      <c r="BY573" s="75"/>
      <c r="BZ573" s="75"/>
      <c r="CA573" s="73"/>
      <c r="CB573" s="75"/>
      <c r="CC573" s="75"/>
      <c r="CD573" s="75"/>
      <c r="CE573" s="73"/>
      <c r="CF573" s="75"/>
      <c r="CG573" s="75"/>
      <c r="CH573" s="75"/>
      <c r="CI573" s="73"/>
      <c r="CJ573" s="75"/>
      <c r="CK573" s="75"/>
      <c r="CL573" s="75"/>
      <c r="CM573" s="73"/>
      <c r="CN573" s="75"/>
      <c r="CO573" s="75"/>
      <c r="CP573" s="75"/>
      <c r="CQ573" s="73"/>
      <c r="CR573" s="75"/>
      <c r="CS573" s="75"/>
      <c r="CT573" s="75"/>
      <c r="CU573" s="73"/>
      <c r="CV573" s="75"/>
      <c r="CW573" s="75"/>
      <c r="CX573" s="75"/>
      <c r="CY573" s="73"/>
      <c r="CZ573" s="75"/>
      <c r="DA573" s="75"/>
      <c r="DB573" s="75"/>
      <c r="DC573" s="73"/>
      <c r="DD573" s="75"/>
      <c r="DE573" s="75"/>
      <c r="DF573" s="75"/>
      <c r="DG573" s="73"/>
      <c r="DH573" s="75"/>
      <c r="DI573" s="75"/>
      <c r="DJ573" s="75"/>
      <c r="DK573" s="76"/>
    </row>
    <row r="574" spans="63:115" x14ac:dyDescent="0.25">
      <c r="BK574" s="75"/>
      <c r="BL574" s="75"/>
      <c r="BM574" s="75"/>
      <c r="BN574" s="73"/>
      <c r="BO574" s="75"/>
      <c r="BP574" s="75"/>
      <c r="BQ574" s="75"/>
      <c r="BR574" s="75"/>
      <c r="BS574" s="75"/>
      <c r="BT574" s="75"/>
      <c r="BU574" s="75"/>
      <c r="BV574" s="75"/>
      <c r="BW574" s="75"/>
      <c r="BX574" s="75"/>
      <c r="BY574" s="75"/>
      <c r="BZ574" s="75"/>
      <c r="CA574" s="73"/>
      <c r="CB574" s="75"/>
      <c r="CC574" s="75"/>
      <c r="CD574" s="75"/>
      <c r="CE574" s="73"/>
      <c r="CF574" s="75"/>
      <c r="CG574" s="75"/>
      <c r="CH574" s="75"/>
      <c r="CI574" s="73"/>
      <c r="CJ574" s="75"/>
      <c r="CK574" s="75"/>
      <c r="CL574" s="75"/>
      <c r="CM574" s="73"/>
      <c r="CN574" s="75"/>
      <c r="CO574" s="75"/>
      <c r="CP574" s="75"/>
      <c r="CQ574" s="73"/>
      <c r="CR574" s="75"/>
      <c r="CS574" s="75"/>
      <c r="CT574" s="75"/>
      <c r="CU574" s="73"/>
      <c r="CV574" s="75"/>
      <c r="CW574" s="75"/>
      <c r="CX574" s="75"/>
      <c r="CY574" s="73"/>
      <c r="CZ574" s="75"/>
      <c r="DA574" s="75"/>
      <c r="DB574" s="75"/>
      <c r="DC574" s="73"/>
      <c r="DD574" s="75"/>
      <c r="DE574" s="75"/>
      <c r="DF574" s="75"/>
      <c r="DG574" s="73"/>
      <c r="DH574" s="75"/>
      <c r="DI574" s="75"/>
      <c r="DJ574" s="75"/>
      <c r="DK574" s="76"/>
    </row>
    <row r="575" spans="63:115" x14ac:dyDescent="0.25">
      <c r="BK575" s="75"/>
      <c r="BL575" s="75"/>
      <c r="BM575" s="75"/>
      <c r="BN575" s="73"/>
      <c r="BO575" s="75"/>
      <c r="BP575" s="75"/>
      <c r="BQ575" s="75"/>
      <c r="BR575" s="75"/>
      <c r="BS575" s="75"/>
      <c r="BT575" s="75"/>
      <c r="BU575" s="75"/>
      <c r="BV575" s="75"/>
      <c r="BW575" s="75"/>
      <c r="BX575" s="75"/>
      <c r="BY575" s="75"/>
      <c r="BZ575" s="75"/>
      <c r="CA575" s="73"/>
      <c r="CB575" s="75"/>
      <c r="CC575" s="75"/>
      <c r="CD575" s="75"/>
      <c r="CE575" s="73"/>
      <c r="CF575" s="75"/>
      <c r="CG575" s="75"/>
      <c r="CH575" s="75"/>
      <c r="CI575" s="73"/>
      <c r="CJ575" s="75"/>
      <c r="CK575" s="75"/>
      <c r="CL575" s="75"/>
      <c r="CM575" s="73"/>
      <c r="CN575" s="75"/>
      <c r="CO575" s="75"/>
      <c r="CP575" s="75"/>
      <c r="CQ575" s="73"/>
      <c r="CR575" s="75"/>
      <c r="CS575" s="75"/>
      <c r="CT575" s="75"/>
      <c r="CU575" s="73"/>
      <c r="CV575" s="75"/>
      <c r="CW575" s="75"/>
      <c r="CX575" s="75"/>
      <c r="CY575" s="73"/>
      <c r="CZ575" s="75"/>
      <c r="DA575" s="75"/>
      <c r="DB575" s="75"/>
      <c r="DC575" s="73"/>
      <c r="DD575" s="75"/>
      <c r="DE575" s="75"/>
      <c r="DF575" s="75"/>
      <c r="DG575" s="73"/>
      <c r="DH575" s="75"/>
      <c r="DI575" s="75"/>
      <c r="DJ575" s="75"/>
      <c r="DK575" s="76"/>
    </row>
    <row r="576" spans="63:115" x14ac:dyDescent="0.25">
      <c r="BK576" s="75"/>
      <c r="BL576" s="75"/>
      <c r="BM576" s="75"/>
      <c r="BN576" s="73"/>
      <c r="BO576" s="75"/>
      <c r="BP576" s="75"/>
      <c r="BQ576" s="75"/>
      <c r="BR576" s="75"/>
      <c r="BS576" s="75"/>
      <c r="BT576" s="75"/>
      <c r="BU576" s="75"/>
      <c r="BV576" s="75"/>
      <c r="BW576" s="75"/>
      <c r="BX576" s="75"/>
      <c r="BY576" s="75"/>
      <c r="BZ576" s="75"/>
      <c r="CA576" s="73"/>
      <c r="CB576" s="75"/>
      <c r="CC576" s="75"/>
      <c r="CD576" s="75"/>
      <c r="CE576" s="73"/>
      <c r="CF576" s="75"/>
      <c r="CG576" s="75"/>
      <c r="CH576" s="75"/>
      <c r="CI576" s="73"/>
      <c r="CJ576" s="75"/>
      <c r="CK576" s="75"/>
      <c r="CL576" s="75"/>
      <c r="CM576" s="73"/>
      <c r="CN576" s="75"/>
      <c r="CO576" s="75"/>
      <c r="CP576" s="75"/>
      <c r="CQ576" s="73"/>
      <c r="CR576" s="75"/>
      <c r="CS576" s="75"/>
      <c r="CT576" s="75"/>
      <c r="CU576" s="73"/>
      <c r="CV576" s="75"/>
      <c r="CW576" s="75"/>
      <c r="CX576" s="75"/>
      <c r="CY576" s="73"/>
      <c r="CZ576" s="75"/>
      <c r="DA576" s="75"/>
      <c r="DB576" s="75"/>
      <c r="DC576" s="73"/>
      <c r="DD576" s="75"/>
      <c r="DE576" s="75"/>
      <c r="DF576" s="75"/>
      <c r="DG576" s="73"/>
      <c r="DH576" s="75"/>
      <c r="DI576" s="75"/>
      <c r="DJ576" s="75"/>
      <c r="DK576" s="76"/>
    </row>
    <row r="577" spans="63:115" x14ac:dyDescent="0.25">
      <c r="BK577" s="75"/>
      <c r="BL577" s="75"/>
      <c r="BM577" s="75"/>
      <c r="BN577" s="73"/>
      <c r="BO577" s="75"/>
      <c r="BP577" s="75"/>
      <c r="BQ577" s="75"/>
      <c r="BR577" s="75"/>
      <c r="BS577" s="75"/>
      <c r="BT577" s="75"/>
      <c r="BU577" s="75"/>
      <c r="BV577" s="75"/>
      <c r="BW577" s="75"/>
      <c r="BX577" s="75"/>
      <c r="BY577" s="75"/>
      <c r="BZ577" s="75"/>
      <c r="CA577" s="73"/>
      <c r="CB577" s="75"/>
      <c r="CC577" s="75"/>
      <c r="CD577" s="75"/>
      <c r="CE577" s="73"/>
      <c r="CF577" s="75"/>
      <c r="CG577" s="75"/>
      <c r="CH577" s="75"/>
      <c r="CI577" s="73"/>
      <c r="CJ577" s="75"/>
      <c r="CK577" s="75"/>
      <c r="CL577" s="75"/>
      <c r="CM577" s="73"/>
      <c r="CN577" s="75"/>
      <c r="CO577" s="75"/>
      <c r="CP577" s="75"/>
      <c r="CQ577" s="73"/>
      <c r="CR577" s="75"/>
      <c r="CS577" s="75"/>
      <c r="CT577" s="75"/>
      <c r="CU577" s="73"/>
      <c r="CV577" s="75"/>
      <c r="CW577" s="75"/>
      <c r="CX577" s="75"/>
      <c r="CY577" s="73"/>
      <c r="CZ577" s="75"/>
      <c r="DA577" s="75"/>
      <c r="DB577" s="75"/>
      <c r="DC577" s="73"/>
      <c r="DD577" s="75"/>
      <c r="DE577" s="75"/>
      <c r="DF577" s="75"/>
      <c r="DG577" s="73"/>
      <c r="DH577" s="75"/>
      <c r="DI577" s="75"/>
      <c r="DJ577" s="75"/>
      <c r="DK577" s="76"/>
    </row>
    <row r="578" spans="63:115" x14ac:dyDescent="0.25">
      <c r="BK578" s="75"/>
      <c r="BL578" s="75"/>
      <c r="BM578" s="75"/>
      <c r="BN578" s="73"/>
      <c r="BO578" s="75"/>
      <c r="BP578" s="75"/>
      <c r="BQ578" s="75"/>
      <c r="BR578" s="75"/>
      <c r="BS578" s="75"/>
      <c r="BT578" s="75"/>
      <c r="BU578" s="75"/>
      <c r="BV578" s="75"/>
      <c r="BW578" s="75"/>
      <c r="BX578" s="75"/>
      <c r="BY578" s="75"/>
      <c r="BZ578" s="75"/>
      <c r="CA578" s="73"/>
      <c r="CB578" s="75"/>
      <c r="CC578" s="75"/>
      <c r="CD578" s="75"/>
      <c r="CE578" s="73"/>
      <c r="CF578" s="75"/>
      <c r="CG578" s="75"/>
      <c r="CH578" s="75"/>
      <c r="CI578" s="73"/>
      <c r="CJ578" s="75"/>
      <c r="CK578" s="75"/>
      <c r="CL578" s="75"/>
      <c r="CM578" s="73"/>
      <c r="CN578" s="75"/>
      <c r="CO578" s="75"/>
      <c r="CP578" s="75"/>
      <c r="CQ578" s="73"/>
      <c r="CR578" s="75"/>
      <c r="CS578" s="75"/>
      <c r="CT578" s="75"/>
      <c r="CU578" s="73"/>
      <c r="CV578" s="75"/>
      <c r="CW578" s="75"/>
      <c r="CX578" s="75"/>
      <c r="CY578" s="73"/>
      <c r="CZ578" s="75"/>
      <c r="DA578" s="75"/>
      <c r="DB578" s="75"/>
      <c r="DC578" s="73"/>
      <c r="DD578" s="75"/>
      <c r="DE578" s="75"/>
      <c r="DF578" s="75"/>
      <c r="DG578" s="73"/>
      <c r="DH578" s="75"/>
      <c r="DI578" s="75"/>
      <c r="DJ578" s="75"/>
      <c r="DK578" s="76"/>
    </row>
    <row r="579" spans="63:115" x14ac:dyDescent="0.25">
      <c r="BK579" s="75"/>
      <c r="BL579" s="75"/>
      <c r="BM579" s="75"/>
      <c r="BN579" s="73"/>
      <c r="BO579" s="75"/>
      <c r="BP579" s="75"/>
      <c r="BQ579" s="75"/>
      <c r="BR579" s="75"/>
      <c r="BS579" s="75"/>
      <c r="BT579" s="75"/>
      <c r="BU579" s="75"/>
      <c r="BV579" s="75"/>
      <c r="BW579" s="75"/>
      <c r="BX579" s="75"/>
      <c r="BY579" s="75"/>
      <c r="BZ579" s="75"/>
      <c r="CA579" s="73"/>
      <c r="CB579" s="75"/>
      <c r="CC579" s="75"/>
      <c r="CD579" s="75"/>
      <c r="CE579" s="73"/>
      <c r="CF579" s="75"/>
      <c r="CG579" s="75"/>
      <c r="CH579" s="75"/>
      <c r="CI579" s="73"/>
      <c r="CJ579" s="75"/>
      <c r="CK579" s="75"/>
      <c r="CL579" s="75"/>
      <c r="CM579" s="73"/>
      <c r="CN579" s="75"/>
      <c r="CO579" s="75"/>
      <c r="CP579" s="75"/>
      <c r="CQ579" s="73"/>
      <c r="CR579" s="75"/>
      <c r="CS579" s="75"/>
      <c r="CT579" s="75"/>
      <c r="CU579" s="73"/>
      <c r="CV579" s="75"/>
      <c r="CW579" s="75"/>
      <c r="CX579" s="75"/>
      <c r="CY579" s="73"/>
      <c r="CZ579" s="75"/>
      <c r="DA579" s="75"/>
      <c r="DB579" s="75"/>
      <c r="DC579" s="73"/>
      <c r="DD579" s="75"/>
      <c r="DE579" s="75"/>
      <c r="DF579" s="75"/>
      <c r="DG579" s="73"/>
      <c r="DH579" s="75"/>
      <c r="DI579" s="75"/>
      <c r="DJ579" s="75"/>
      <c r="DK579" s="76"/>
    </row>
    <row r="580" spans="63:115" x14ac:dyDescent="0.25">
      <c r="BK580" s="75"/>
      <c r="BL580" s="75"/>
      <c r="BM580" s="75"/>
      <c r="BN580" s="73"/>
      <c r="BO580" s="75"/>
      <c r="BP580" s="75"/>
      <c r="BQ580" s="75"/>
      <c r="BR580" s="75"/>
      <c r="BS580" s="75"/>
      <c r="BT580" s="75"/>
      <c r="BU580" s="75"/>
      <c r="BV580" s="75"/>
      <c r="BW580" s="75"/>
      <c r="BX580" s="75"/>
      <c r="BY580" s="75"/>
      <c r="BZ580" s="75"/>
      <c r="CA580" s="73"/>
      <c r="CB580" s="75"/>
      <c r="CC580" s="75"/>
      <c r="CD580" s="75"/>
      <c r="CE580" s="73"/>
      <c r="CF580" s="75"/>
      <c r="CG580" s="75"/>
      <c r="CH580" s="75"/>
      <c r="CI580" s="73"/>
      <c r="CJ580" s="75"/>
      <c r="CK580" s="75"/>
      <c r="CL580" s="75"/>
      <c r="CM580" s="73"/>
      <c r="CN580" s="75"/>
      <c r="CO580" s="75"/>
      <c r="CP580" s="75"/>
      <c r="CQ580" s="73"/>
      <c r="CR580" s="75"/>
      <c r="CS580" s="75"/>
      <c r="CT580" s="75"/>
      <c r="CU580" s="73"/>
      <c r="CV580" s="75"/>
      <c r="CW580" s="75"/>
      <c r="CX580" s="75"/>
      <c r="CY580" s="73"/>
      <c r="CZ580" s="75"/>
      <c r="DA580" s="75"/>
      <c r="DB580" s="75"/>
      <c r="DC580" s="73"/>
      <c r="DD580" s="75"/>
      <c r="DE580" s="75"/>
      <c r="DF580" s="75"/>
      <c r="DG580" s="73"/>
      <c r="DH580" s="75"/>
      <c r="DI580" s="75"/>
      <c r="DJ580" s="75"/>
      <c r="DK580" s="76"/>
    </row>
    <row r="581" spans="63:115" x14ac:dyDescent="0.25">
      <c r="BK581" s="75"/>
      <c r="BL581" s="75"/>
      <c r="BM581" s="75"/>
      <c r="BN581" s="73"/>
      <c r="BO581" s="75"/>
      <c r="BP581" s="75"/>
      <c r="BQ581" s="75"/>
      <c r="BR581" s="75"/>
      <c r="BS581" s="75"/>
      <c r="BT581" s="75"/>
      <c r="BU581" s="75"/>
      <c r="BV581" s="75"/>
      <c r="BW581" s="75"/>
      <c r="BX581" s="75"/>
      <c r="BY581" s="75"/>
      <c r="BZ581" s="75"/>
      <c r="CA581" s="73"/>
      <c r="CB581" s="75"/>
      <c r="CC581" s="75"/>
      <c r="CD581" s="75"/>
      <c r="CE581" s="73"/>
      <c r="CF581" s="75"/>
      <c r="CG581" s="75"/>
      <c r="CH581" s="75"/>
      <c r="CI581" s="73"/>
      <c r="CJ581" s="75"/>
      <c r="CK581" s="75"/>
      <c r="CL581" s="75"/>
      <c r="CM581" s="73"/>
      <c r="CN581" s="75"/>
      <c r="CO581" s="75"/>
      <c r="CP581" s="75"/>
      <c r="CQ581" s="73"/>
      <c r="CR581" s="75"/>
      <c r="CS581" s="75"/>
      <c r="CT581" s="75"/>
      <c r="CU581" s="73"/>
      <c r="CV581" s="75"/>
      <c r="CW581" s="75"/>
      <c r="CX581" s="75"/>
      <c r="CY581" s="73"/>
      <c r="CZ581" s="75"/>
      <c r="DA581" s="75"/>
      <c r="DB581" s="75"/>
      <c r="DC581" s="73"/>
      <c r="DD581" s="75"/>
      <c r="DE581" s="75"/>
      <c r="DF581" s="75"/>
      <c r="DG581" s="73"/>
      <c r="DH581" s="75"/>
      <c r="DI581" s="75"/>
      <c r="DJ581" s="75"/>
      <c r="DK581" s="76"/>
    </row>
    <row r="582" spans="63:115" x14ac:dyDescent="0.25">
      <c r="BK582" s="75"/>
      <c r="BL582" s="75"/>
      <c r="BM582" s="75"/>
      <c r="BN582" s="73"/>
      <c r="BO582" s="75"/>
      <c r="BP582" s="75"/>
      <c r="BQ582" s="75"/>
      <c r="BR582" s="75"/>
      <c r="BS582" s="75"/>
      <c r="BT582" s="75"/>
      <c r="BU582" s="75"/>
      <c r="BV582" s="75"/>
      <c r="BW582" s="75"/>
      <c r="BX582" s="75"/>
      <c r="BY582" s="75"/>
      <c r="BZ582" s="75"/>
      <c r="CA582" s="73"/>
      <c r="CB582" s="75"/>
      <c r="CC582" s="75"/>
      <c r="CD582" s="75"/>
      <c r="CE582" s="73"/>
      <c r="CF582" s="75"/>
      <c r="CG582" s="75"/>
      <c r="CH582" s="75"/>
      <c r="CI582" s="73"/>
      <c r="CJ582" s="75"/>
      <c r="CK582" s="75"/>
      <c r="CL582" s="75"/>
      <c r="CM582" s="73"/>
      <c r="CN582" s="75"/>
      <c r="CO582" s="75"/>
      <c r="CP582" s="75"/>
      <c r="CQ582" s="73"/>
      <c r="CR582" s="75"/>
      <c r="CS582" s="75"/>
      <c r="CT582" s="75"/>
      <c r="CU582" s="73"/>
      <c r="CV582" s="75"/>
      <c r="CW582" s="75"/>
      <c r="CX582" s="75"/>
      <c r="CY582" s="73"/>
      <c r="CZ582" s="75"/>
      <c r="DA582" s="75"/>
      <c r="DB582" s="75"/>
      <c r="DC582" s="73"/>
      <c r="DD582" s="75"/>
      <c r="DE582" s="75"/>
      <c r="DF582" s="75"/>
      <c r="DG582" s="73"/>
      <c r="DH582" s="75"/>
      <c r="DI582" s="75"/>
      <c r="DJ582" s="75"/>
      <c r="DK582" s="76"/>
    </row>
    <row r="583" spans="63:115" x14ac:dyDescent="0.25">
      <c r="BK583" s="75"/>
      <c r="BL583" s="75"/>
      <c r="BM583" s="75"/>
      <c r="BN583" s="73"/>
      <c r="BO583" s="75"/>
      <c r="BP583" s="75"/>
      <c r="BQ583" s="75"/>
      <c r="BR583" s="75"/>
      <c r="BS583" s="75"/>
      <c r="BT583" s="75"/>
      <c r="BU583" s="75"/>
      <c r="BV583" s="75"/>
      <c r="BW583" s="75"/>
      <c r="BX583" s="75"/>
      <c r="BY583" s="75"/>
      <c r="BZ583" s="75"/>
      <c r="CA583" s="73"/>
      <c r="CB583" s="75"/>
      <c r="CC583" s="75"/>
      <c r="CD583" s="75"/>
      <c r="CE583" s="73"/>
      <c r="CF583" s="75"/>
      <c r="CG583" s="75"/>
      <c r="CH583" s="75"/>
      <c r="CI583" s="73"/>
      <c r="CJ583" s="75"/>
      <c r="CK583" s="75"/>
      <c r="CL583" s="75"/>
      <c r="CM583" s="73"/>
      <c r="CN583" s="75"/>
      <c r="CO583" s="75"/>
      <c r="CP583" s="75"/>
      <c r="CQ583" s="73"/>
      <c r="CR583" s="75"/>
      <c r="CS583" s="75"/>
      <c r="CT583" s="75"/>
      <c r="CU583" s="73"/>
      <c r="CV583" s="75"/>
      <c r="CW583" s="75"/>
      <c r="CX583" s="75"/>
      <c r="CY583" s="73"/>
      <c r="CZ583" s="75"/>
      <c r="DA583" s="75"/>
      <c r="DB583" s="75"/>
      <c r="DC583" s="73"/>
      <c r="DD583" s="75"/>
      <c r="DE583" s="75"/>
      <c r="DF583" s="75"/>
      <c r="DG583" s="73"/>
      <c r="DH583" s="75"/>
      <c r="DI583" s="75"/>
      <c r="DJ583" s="75"/>
      <c r="DK583" s="76"/>
    </row>
    <row r="584" spans="63:115" x14ac:dyDescent="0.25">
      <c r="BK584" s="75"/>
      <c r="BL584" s="75"/>
      <c r="BM584" s="75"/>
      <c r="BN584" s="73"/>
      <c r="BO584" s="75"/>
      <c r="BP584" s="75"/>
      <c r="BQ584" s="75"/>
      <c r="BR584" s="75"/>
      <c r="BS584" s="75"/>
      <c r="BT584" s="75"/>
      <c r="BU584" s="75"/>
      <c r="BV584" s="75"/>
      <c r="BW584" s="75"/>
      <c r="BX584" s="75"/>
      <c r="BY584" s="75"/>
      <c r="BZ584" s="75"/>
      <c r="CA584" s="73"/>
      <c r="CB584" s="75"/>
      <c r="CC584" s="75"/>
      <c r="CD584" s="75"/>
      <c r="CE584" s="73"/>
      <c r="CF584" s="75"/>
      <c r="CG584" s="75"/>
      <c r="CH584" s="75"/>
      <c r="CI584" s="73"/>
      <c r="CJ584" s="75"/>
      <c r="CK584" s="75"/>
      <c r="CL584" s="75"/>
      <c r="CM584" s="73"/>
      <c r="CN584" s="75"/>
      <c r="CO584" s="75"/>
      <c r="CP584" s="75"/>
      <c r="CQ584" s="73"/>
      <c r="CR584" s="75"/>
      <c r="CS584" s="75"/>
      <c r="CT584" s="75"/>
      <c r="CU584" s="73"/>
      <c r="CV584" s="75"/>
      <c r="CW584" s="75"/>
      <c r="CX584" s="75"/>
      <c r="CY584" s="73"/>
      <c r="CZ584" s="75"/>
      <c r="DA584" s="75"/>
      <c r="DB584" s="75"/>
      <c r="DC584" s="73"/>
      <c r="DD584" s="75"/>
      <c r="DE584" s="75"/>
      <c r="DF584" s="75"/>
      <c r="DG584" s="73"/>
      <c r="DH584" s="75"/>
      <c r="DI584" s="75"/>
      <c r="DJ584" s="75"/>
      <c r="DK584" s="76"/>
    </row>
    <row r="585" spans="63:115" x14ac:dyDescent="0.25">
      <c r="BK585" s="75"/>
      <c r="BL585" s="75"/>
      <c r="BM585" s="75"/>
      <c r="BN585" s="73"/>
      <c r="BO585" s="75"/>
      <c r="BP585" s="75"/>
      <c r="BQ585" s="75"/>
      <c r="BR585" s="75"/>
      <c r="BS585" s="75"/>
      <c r="BT585" s="75"/>
      <c r="BU585" s="75"/>
      <c r="BV585" s="75"/>
      <c r="BW585" s="75"/>
      <c r="BX585" s="75"/>
      <c r="BY585" s="75"/>
      <c r="BZ585" s="75"/>
      <c r="CA585" s="73"/>
      <c r="CB585" s="75"/>
      <c r="CC585" s="75"/>
      <c r="CD585" s="75"/>
      <c r="CE585" s="73"/>
      <c r="CF585" s="75"/>
      <c r="CG585" s="75"/>
      <c r="CH585" s="75"/>
      <c r="CI585" s="73"/>
      <c r="CJ585" s="75"/>
      <c r="CK585" s="75"/>
      <c r="CL585" s="75"/>
      <c r="CM585" s="73"/>
      <c r="CN585" s="75"/>
      <c r="CO585" s="75"/>
      <c r="CP585" s="75"/>
      <c r="CQ585" s="73"/>
      <c r="CR585" s="75"/>
      <c r="CS585" s="75"/>
      <c r="CT585" s="75"/>
      <c r="CU585" s="73"/>
      <c r="CV585" s="75"/>
      <c r="CW585" s="75"/>
      <c r="CX585" s="75"/>
      <c r="CY585" s="73"/>
      <c r="CZ585" s="75"/>
      <c r="DA585" s="75"/>
      <c r="DB585" s="75"/>
      <c r="DC585" s="73"/>
      <c r="DD585" s="75"/>
      <c r="DE585" s="75"/>
      <c r="DF585" s="75"/>
      <c r="DG585" s="73"/>
      <c r="DH585" s="75"/>
      <c r="DI585" s="75"/>
      <c r="DJ585" s="75"/>
      <c r="DK585" s="76"/>
    </row>
    <row r="586" spans="63:115" x14ac:dyDescent="0.25">
      <c r="BK586" s="75"/>
      <c r="BL586" s="75"/>
      <c r="BM586" s="75"/>
      <c r="BN586" s="73"/>
      <c r="BO586" s="75"/>
      <c r="BP586" s="75"/>
      <c r="BQ586" s="75"/>
      <c r="BR586" s="75"/>
      <c r="BS586" s="75"/>
      <c r="BT586" s="75"/>
      <c r="BU586" s="75"/>
      <c r="BV586" s="75"/>
      <c r="BW586" s="75"/>
      <c r="BX586" s="75"/>
      <c r="BY586" s="75"/>
      <c r="BZ586" s="75"/>
      <c r="CA586" s="73"/>
      <c r="CB586" s="75"/>
      <c r="CC586" s="75"/>
      <c r="CD586" s="75"/>
      <c r="CE586" s="73"/>
      <c r="CF586" s="75"/>
      <c r="CG586" s="75"/>
      <c r="CH586" s="75"/>
      <c r="CI586" s="73"/>
      <c r="CJ586" s="75"/>
      <c r="CK586" s="75"/>
      <c r="CL586" s="75"/>
      <c r="CM586" s="73"/>
      <c r="CN586" s="75"/>
      <c r="CO586" s="75"/>
      <c r="CP586" s="75"/>
      <c r="CQ586" s="73"/>
      <c r="CR586" s="75"/>
      <c r="CS586" s="75"/>
      <c r="CT586" s="75"/>
      <c r="CU586" s="73"/>
      <c r="CV586" s="75"/>
      <c r="CW586" s="75"/>
      <c r="CX586" s="75"/>
      <c r="CY586" s="73"/>
      <c r="CZ586" s="75"/>
      <c r="DA586" s="75"/>
      <c r="DB586" s="75"/>
      <c r="DC586" s="73"/>
      <c r="DD586" s="75"/>
      <c r="DE586" s="75"/>
      <c r="DF586" s="75"/>
      <c r="DG586" s="73"/>
      <c r="DH586" s="75"/>
      <c r="DI586" s="75"/>
      <c r="DJ586" s="75"/>
      <c r="DK586" s="76"/>
    </row>
    <row r="587" spans="63:115" x14ac:dyDescent="0.25">
      <c r="BK587" s="75"/>
      <c r="BL587" s="75"/>
      <c r="BM587" s="75"/>
      <c r="BN587" s="73"/>
      <c r="BO587" s="75"/>
      <c r="BP587" s="75"/>
      <c r="BQ587" s="75"/>
      <c r="BR587" s="75"/>
      <c r="BS587" s="75"/>
      <c r="BT587" s="75"/>
      <c r="BU587" s="75"/>
      <c r="BV587" s="75"/>
      <c r="BW587" s="75"/>
      <c r="BX587" s="75"/>
      <c r="BY587" s="75"/>
      <c r="BZ587" s="75"/>
      <c r="CA587" s="73"/>
      <c r="CB587" s="75"/>
      <c r="CC587" s="75"/>
      <c r="CD587" s="75"/>
      <c r="CE587" s="73"/>
      <c r="CF587" s="75"/>
      <c r="CG587" s="75"/>
      <c r="CH587" s="75"/>
      <c r="CI587" s="73"/>
      <c r="CJ587" s="75"/>
      <c r="CK587" s="75"/>
      <c r="CL587" s="75"/>
      <c r="CM587" s="73"/>
      <c r="CN587" s="75"/>
      <c r="CO587" s="75"/>
      <c r="CP587" s="75"/>
      <c r="CQ587" s="73"/>
      <c r="CR587" s="75"/>
      <c r="CS587" s="75"/>
      <c r="CT587" s="75"/>
      <c r="CU587" s="73"/>
      <c r="CV587" s="75"/>
      <c r="CW587" s="75"/>
      <c r="CX587" s="75"/>
      <c r="CY587" s="73"/>
      <c r="CZ587" s="75"/>
      <c r="DA587" s="75"/>
      <c r="DB587" s="75"/>
      <c r="DC587" s="73"/>
      <c r="DD587" s="75"/>
      <c r="DE587" s="75"/>
      <c r="DF587" s="75"/>
      <c r="DG587" s="73"/>
      <c r="DH587" s="75"/>
      <c r="DI587" s="75"/>
      <c r="DJ587" s="75"/>
      <c r="DK587" s="76"/>
    </row>
    <row r="588" spans="63:115" x14ac:dyDescent="0.25">
      <c r="BK588" s="75"/>
      <c r="BL588" s="75"/>
      <c r="BM588" s="75"/>
      <c r="BN588" s="73"/>
      <c r="BO588" s="75"/>
      <c r="BP588" s="75"/>
      <c r="BQ588" s="75"/>
      <c r="BR588" s="75"/>
      <c r="BS588" s="75"/>
      <c r="BT588" s="75"/>
      <c r="BU588" s="75"/>
      <c r="BV588" s="75"/>
      <c r="BW588" s="75"/>
      <c r="BX588" s="75"/>
      <c r="BY588" s="75"/>
      <c r="BZ588" s="75"/>
      <c r="CA588" s="73"/>
      <c r="CB588" s="75"/>
      <c r="CC588" s="75"/>
      <c r="CD588" s="75"/>
      <c r="CE588" s="73"/>
      <c r="CF588" s="75"/>
      <c r="CG588" s="75"/>
      <c r="CH588" s="75"/>
      <c r="CI588" s="73"/>
      <c r="CJ588" s="75"/>
      <c r="CK588" s="75"/>
      <c r="CL588" s="75"/>
      <c r="CM588" s="73"/>
      <c r="CN588" s="75"/>
      <c r="CO588" s="75"/>
      <c r="CP588" s="75"/>
      <c r="CQ588" s="73"/>
      <c r="CR588" s="75"/>
      <c r="CS588" s="75"/>
      <c r="CT588" s="75"/>
      <c r="CU588" s="73"/>
      <c r="CV588" s="75"/>
      <c r="CW588" s="75"/>
      <c r="CX588" s="75"/>
      <c r="CY588" s="73"/>
      <c r="CZ588" s="75"/>
      <c r="DA588" s="75"/>
      <c r="DB588" s="75"/>
      <c r="DC588" s="73"/>
      <c r="DD588" s="75"/>
      <c r="DE588" s="75"/>
      <c r="DF588" s="75"/>
      <c r="DG588" s="73"/>
      <c r="DH588" s="75"/>
      <c r="DI588" s="75"/>
      <c r="DJ588" s="75"/>
      <c r="DK588" s="76"/>
    </row>
    <row r="589" spans="63:115" x14ac:dyDescent="0.25">
      <c r="BK589" s="75"/>
      <c r="BL589" s="75"/>
      <c r="BM589" s="75"/>
      <c r="BN589" s="73"/>
      <c r="BO589" s="75"/>
      <c r="BP589" s="75"/>
      <c r="BQ589" s="75"/>
      <c r="BR589" s="75"/>
      <c r="BS589" s="75"/>
      <c r="BT589" s="75"/>
      <c r="BU589" s="75"/>
      <c r="BV589" s="75"/>
      <c r="BW589" s="75"/>
      <c r="BX589" s="75"/>
      <c r="BY589" s="75"/>
      <c r="BZ589" s="75"/>
      <c r="CA589" s="73"/>
      <c r="CB589" s="75"/>
      <c r="CC589" s="75"/>
      <c r="CD589" s="75"/>
      <c r="CE589" s="73"/>
      <c r="CF589" s="75"/>
      <c r="CG589" s="75"/>
      <c r="CH589" s="75"/>
      <c r="CI589" s="73"/>
      <c r="CJ589" s="75"/>
      <c r="CK589" s="75"/>
      <c r="CL589" s="75"/>
      <c r="CM589" s="73"/>
      <c r="CN589" s="75"/>
      <c r="CO589" s="75"/>
      <c r="CP589" s="75"/>
      <c r="CQ589" s="73"/>
      <c r="CR589" s="75"/>
      <c r="CS589" s="75"/>
      <c r="CT589" s="75"/>
      <c r="CU589" s="73"/>
      <c r="CV589" s="75"/>
      <c r="CW589" s="75"/>
      <c r="CX589" s="75"/>
      <c r="CY589" s="73"/>
      <c r="CZ589" s="75"/>
      <c r="DA589" s="75"/>
      <c r="DB589" s="75"/>
      <c r="DC589" s="73"/>
      <c r="DD589" s="75"/>
      <c r="DE589" s="75"/>
      <c r="DF589" s="75"/>
      <c r="DG589" s="73"/>
      <c r="DH589" s="75"/>
      <c r="DI589" s="75"/>
      <c r="DJ589" s="75"/>
      <c r="DK589" s="76"/>
    </row>
    <row r="590" spans="63:115" x14ac:dyDescent="0.25">
      <c r="BK590" s="75"/>
      <c r="BL590" s="75"/>
      <c r="BM590" s="75"/>
      <c r="BN590" s="73"/>
      <c r="BO590" s="75"/>
      <c r="BP590" s="75"/>
      <c r="BQ590" s="75"/>
      <c r="BR590" s="75"/>
      <c r="BS590" s="75"/>
      <c r="BT590" s="75"/>
      <c r="BU590" s="75"/>
      <c r="BV590" s="75"/>
      <c r="BW590" s="75"/>
      <c r="BX590" s="75"/>
      <c r="BY590" s="75"/>
      <c r="BZ590" s="75"/>
      <c r="CA590" s="73"/>
      <c r="CB590" s="75"/>
      <c r="CC590" s="75"/>
      <c r="CD590" s="75"/>
      <c r="CE590" s="73"/>
      <c r="CF590" s="75"/>
      <c r="CG590" s="75"/>
      <c r="CH590" s="75"/>
      <c r="CI590" s="73"/>
      <c r="CJ590" s="75"/>
      <c r="CK590" s="75"/>
      <c r="CL590" s="75"/>
      <c r="CM590" s="73"/>
      <c r="CN590" s="75"/>
      <c r="CO590" s="75"/>
      <c r="CP590" s="75"/>
      <c r="CQ590" s="73"/>
      <c r="CR590" s="75"/>
      <c r="CS590" s="75"/>
      <c r="CT590" s="75"/>
      <c r="CU590" s="73"/>
      <c r="CV590" s="75"/>
      <c r="CW590" s="75"/>
      <c r="CX590" s="75"/>
      <c r="CY590" s="73"/>
      <c r="CZ590" s="75"/>
      <c r="DA590" s="75"/>
      <c r="DB590" s="75"/>
      <c r="DC590" s="73"/>
      <c r="DD590" s="75"/>
      <c r="DE590" s="75"/>
      <c r="DF590" s="75"/>
      <c r="DG590" s="73"/>
      <c r="DH590" s="75"/>
      <c r="DI590" s="75"/>
      <c r="DJ590" s="75"/>
      <c r="DK590" s="76"/>
    </row>
    <row r="591" spans="63:115" x14ac:dyDescent="0.25">
      <c r="BK591" s="75"/>
      <c r="BL591" s="75"/>
      <c r="BM591" s="75"/>
      <c r="BN591" s="73"/>
      <c r="BO591" s="75"/>
      <c r="BP591" s="75"/>
      <c r="BQ591" s="75"/>
      <c r="BR591" s="75"/>
      <c r="BS591" s="75"/>
      <c r="BT591" s="75"/>
      <c r="BU591" s="75"/>
      <c r="BV591" s="75"/>
      <c r="BW591" s="75"/>
      <c r="BX591" s="75"/>
      <c r="BY591" s="75"/>
      <c r="BZ591" s="75"/>
      <c r="CA591" s="73"/>
      <c r="CB591" s="75"/>
      <c r="CC591" s="75"/>
      <c r="CD591" s="75"/>
      <c r="CE591" s="73"/>
      <c r="CF591" s="75"/>
      <c r="CG591" s="75"/>
      <c r="CH591" s="75"/>
      <c r="CI591" s="73"/>
      <c r="CJ591" s="75"/>
      <c r="CK591" s="75"/>
      <c r="CL591" s="75"/>
      <c r="CM591" s="73"/>
      <c r="CN591" s="75"/>
      <c r="CO591" s="75"/>
      <c r="CP591" s="75"/>
      <c r="CQ591" s="73"/>
      <c r="CR591" s="75"/>
      <c r="CS591" s="75"/>
      <c r="CT591" s="75"/>
      <c r="CU591" s="73"/>
      <c r="CV591" s="75"/>
      <c r="CW591" s="75"/>
      <c r="CX591" s="75"/>
      <c r="CY591" s="73"/>
      <c r="CZ591" s="75"/>
      <c r="DA591" s="75"/>
      <c r="DB591" s="75"/>
      <c r="DC591" s="73"/>
      <c r="DD591" s="75"/>
      <c r="DE591" s="75"/>
      <c r="DF591" s="75"/>
      <c r="DG591" s="73"/>
      <c r="DH591" s="75"/>
      <c r="DI591" s="75"/>
      <c r="DJ591" s="75"/>
      <c r="DK591" s="76"/>
    </row>
    <row r="592" spans="63:115" x14ac:dyDescent="0.25">
      <c r="BK592" s="75"/>
      <c r="BL592" s="75"/>
      <c r="BM592" s="75"/>
      <c r="BN592" s="73"/>
      <c r="BO592" s="75"/>
      <c r="BP592" s="75"/>
      <c r="BQ592" s="75"/>
      <c r="BR592" s="75"/>
      <c r="BS592" s="75"/>
      <c r="BT592" s="75"/>
      <c r="BU592" s="75"/>
      <c r="BV592" s="75"/>
      <c r="BW592" s="75"/>
      <c r="BX592" s="75"/>
      <c r="BY592" s="75"/>
      <c r="BZ592" s="75"/>
      <c r="CA592" s="73"/>
      <c r="CB592" s="75"/>
      <c r="CC592" s="75"/>
      <c r="CD592" s="75"/>
      <c r="CE592" s="73"/>
      <c r="CF592" s="75"/>
      <c r="CG592" s="75"/>
      <c r="CH592" s="75"/>
      <c r="CI592" s="73"/>
      <c r="CJ592" s="75"/>
      <c r="CK592" s="75"/>
      <c r="CL592" s="75"/>
      <c r="CM592" s="73"/>
      <c r="CN592" s="75"/>
      <c r="CO592" s="75"/>
      <c r="CP592" s="75"/>
      <c r="CQ592" s="73"/>
      <c r="CR592" s="75"/>
      <c r="CS592" s="75"/>
      <c r="CT592" s="75"/>
      <c r="CU592" s="73"/>
      <c r="CV592" s="75"/>
      <c r="CW592" s="75"/>
      <c r="CX592" s="75"/>
      <c r="CY592" s="73"/>
      <c r="CZ592" s="75"/>
      <c r="DA592" s="75"/>
      <c r="DB592" s="75"/>
      <c r="DC592" s="73"/>
      <c r="DD592" s="75"/>
      <c r="DE592" s="75"/>
      <c r="DF592" s="75"/>
      <c r="DG592" s="73"/>
      <c r="DH592" s="75"/>
      <c r="DI592" s="75"/>
      <c r="DJ592" s="75"/>
      <c r="DK592" s="76"/>
    </row>
    <row r="593" spans="63:115" x14ac:dyDescent="0.25">
      <c r="BK593" s="75"/>
      <c r="BL593" s="75"/>
      <c r="BM593" s="75"/>
      <c r="BN593" s="73"/>
      <c r="BO593" s="75"/>
      <c r="BP593" s="75"/>
      <c r="BQ593" s="75"/>
      <c r="BR593" s="75"/>
      <c r="BS593" s="75"/>
      <c r="BT593" s="75"/>
      <c r="BU593" s="75"/>
      <c r="BV593" s="75"/>
      <c r="BW593" s="75"/>
      <c r="BX593" s="75"/>
      <c r="BY593" s="75"/>
      <c r="BZ593" s="75"/>
      <c r="CA593" s="73"/>
      <c r="CB593" s="75"/>
      <c r="CC593" s="75"/>
      <c r="CD593" s="75"/>
      <c r="CE593" s="73"/>
      <c r="CF593" s="75"/>
      <c r="CG593" s="75"/>
      <c r="CH593" s="75"/>
      <c r="CI593" s="73"/>
      <c r="CJ593" s="75"/>
      <c r="CK593" s="75"/>
      <c r="CL593" s="75"/>
      <c r="CM593" s="73"/>
      <c r="CN593" s="75"/>
      <c r="CO593" s="75"/>
      <c r="CP593" s="75"/>
      <c r="CQ593" s="73"/>
      <c r="CR593" s="75"/>
      <c r="CS593" s="75"/>
      <c r="CT593" s="75"/>
      <c r="CU593" s="73"/>
      <c r="CV593" s="75"/>
      <c r="CW593" s="75"/>
      <c r="CX593" s="75"/>
      <c r="CY593" s="73"/>
      <c r="CZ593" s="75"/>
      <c r="DA593" s="75"/>
      <c r="DB593" s="75"/>
      <c r="DC593" s="73"/>
      <c r="DD593" s="75"/>
      <c r="DE593" s="75"/>
      <c r="DF593" s="75"/>
      <c r="DG593" s="73"/>
      <c r="DH593" s="75"/>
      <c r="DI593" s="75"/>
      <c r="DJ593" s="75"/>
      <c r="DK593" s="76"/>
    </row>
    <row r="594" spans="63:115" x14ac:dyDescent="0.25">
      <c r="BK594" s="75"/>
      <c r="BL594" s="75"/>
      <c r="BM594" s="75"/>
      <c r="BN594" s="73"/>
      <c r="BO594" s="75"/>
      <c r="BP594" s="75"/>
      <c r="BQ594" s="75"/>
      <c r="BR594" s="75"/>
      <c r="BS594" s="75"/>
      <c r="BT594" s="75"/>
      <c r="BU594" s="75"/>
      <c r="BV594" s="75"/>
      <c r="BW594" s="75"/>
      <c r="BX594" s="75"/>
      <c r="BY594" s="75"/>
      <c r="BZ594" s="75"/>
      <c r="CA594" s="73"/>
      <c r="CB594" s="75"/>
      <c r="CC594" s="75"/>
      <c r="CD594" s="75"/>
      <c r="CE594" s="73"/>
      <c r="CF594" s="75"/>
      <c r="CG594" s="75"/>
      <c r="CH594" s="75"/>
      <c r="CI594" s="73"/>
      <c r="CJ594" s="75"/>
      <c r="CK594" s="75"/>
      <c r="CL594" s="75"/>
      <c r="CM594" s="73"/>
      <c r="CN594" s="75"/>
      <c r="CO594" s="75"/>
      <c r="CP594" s="75"/>
      <c r="CQ594" s="73"/>
      <c r="CR594" s="75"/>
      <c r="CS594" s="75"/>
      <c r="CT594" s="75"/>
      <c r="CU594" s="73"/>
      <c r="CV594" s="75"/>
      <c r="CW594" s="75"/>
      <c r="CX594" s="75"/>
      <c r="CY594" s="73"/>
      <c r="CZ594" s="75"/>
      <c r="DA594" s="75"/>
      <c r="DB594" s="75"/>
      <c r="DC594" s="73"/>
      <c r="DD594" s="75"/>
      <c r="DE594" s="75"/>
      <c r="DF594" s="75"/>
      <c r="DG594" s="73"/>
      <c r="DH594" s="75"/>
      <c r="DI594" s="75"/>
      <c r="DJ594" s="75"/>
      <c r="DK594" s="76"/>
    </row>
    <row r="595" spans="63:115" x14ac:dyDescent="0.25">
      <c r="BK595" s="75"/>
      <c r="BL595" s="75"/>
      <c r="BM595" s="75"/>
      <c r="BN595" s="73"/>
      <c r="BO595" s="75"/>
      <c r="BP595" s="75"/>
      <c r="BQ595" s="75"/>
      <c r="BR595" s="75"/>
      <c r="BS595" s="75"/>
      <c r="BT595" s="75"/>
      <c r="BU595" s="75"/>
      <c r="BV595" s="75"/>
      <c r="BW595" s="75"/>
      <c r="BX595" s="75"/>
      <c r="BY595" s="75"/>
      <c r="BZ595" s="75"/>
      <c r="CA595" s="73"/>
      <c r="CB595" s="75"/>
      <c r="CC595" s="75"/>
      <c r="CD595" s="75"/>
      <c r="CE595" s="73"/>
      <c r="CF595" s="75"/>
      <c r="CG595" s="75"/>
      <c r="CH595" s="75"/>
      <c r="CI595" s="73"/>
      <c r="CJ595" s="75"/>
      <c r="CK595" s="75"/>
      <c r="CL595" s="75"/>
      <c r="CM595" s="73"/>
      <c r="CN595" s="75"/>
      <c r="CO595" s="75"/>
      <c r="CP595" s="75"/>
      <c r="CQ595" s="73"/>
      <c r="CR595" s="75"/>
      <c r="CS595" s="75"/>
      <c r="CT595" s="75"/>
      <c r="CU595" s="73"/>
      <c r="CV595" s="75"/>
      <c r="CW595" s="75"/>
      <c r="CX595" s="75"/>
      <c r="CY595" s="73"/>
      <c r="CZ595" s="75"/>
      <c r="DA595" s="75"/>
      <c r="DB595" s="75"/>
      <c r="DC595" s="73"/>
      <c r="DD595" s="75"/>
      <c r="DE595" s="75"/>
      <c r="DF595" s="75"/>
      <c r="DG595" s="73"/>
      <c r="DH595" s="75"/>
      <c r="DI595" s="75"/>
      <c r="DJ595" s="75"/>
      <c r="DK595" s="76"/>
    </row>
    <row r="596" spans="63:115" x14ac:dyDescent="0.25">
      <c r="BK596" s="75"/>
      <c r="BL596" s="75"/>
      <c r="BM596" s="75"/>
      <c r="BN596" s="73"/>
      <c r="BO596" s="75"/>
      <c r="BP596" s="75"/>
      <c r="BQ596" s="75"/>
      <c r="BR596" s="75"/>
      <c r="BS596" s="75"/>
      <c r="BT596" s="75"/>
      <c r="BU596" s="75"/>
      <c r="BV596" s="75"/>
      <c r="BW596" s="75"/>
      <c r="BX596" s="75"/>
      <c r="BY596" s="75"/>
      <c r="BZ596" s="75"/>
      <c r="CA596" s="73"/>
      <c r="CB596" s="75"/>
      <c r="CC596" s="75"/>
      <c r="CD596" s="75"/>
      <c r="CE596" s="73"/>
      <c r="CF596" s="75"/>
      <c r="CG596" s="75"/>
      <c r="CH596" s="75"/>
      <c r="CI596" s="73"/>
      <c r="CJ596" s="75"/>
      <c r="CK596" s="75"/>
      <c r="CL596" s="75"/>
      <c r="CM596" s="73"/>
      <c r="CN596" s="75"/>
      <c r="CO596" s="75"/>
      <c r="CP596" s="75"/>
      <c r="CQ596" s="73"/>
      <c r="CR596" s="75"/>
      <c r="CS596" s="75"/>
      <c r="CT596" s="75"/>
      <c r="CU596" s="73"/>
      <c r="CV596" s="75"/>
      <c r="CW596" s="75"/>
      <c r="CX596" s="75"/>
      <c r="CY596" s="73"/>
      <c r="CZ596" s="75"/>
      <c r="DA596" s="75"/>
      <c r="DB596" s="75"/>
      <c r="DC596" s="73"/>
      <c r="DD596" s="75"/>
      <c r="DE596" s="75"/>
      <c r="DF596" s="75"/>
      <c r="DG596" s="73"/>
      <c r="DH596" s="75"/>
      <c r="DI596" s="75"/>
      <c r="DJ596" s="75"/>
      <c r="DK596" s="76"/>
    </row>
    <row r="597" spans="63:115" x14ac:dyDescent="0.25">
      <c r="BK597" s="75"/>
      <c r="BL597" s="75"/>
      <c r="BM597" s="75"/>
      <c r="BN597" s="73"/>
      <c r="BO597" s="75"/>
      <c r="BP597" s="75"/>
      <c r="BQ597" s="75"/>
      <c r="BR597" s="75"/>
      <c r="BS597" s="75"/>
      <c r="BT597" s="75"/>
      <c r="BU597" s="75"/>
      <c r="BV597" s="75"/>
      <c r="BW597" s="75"/>
      <c r="BX597" s="75"/>
      <c r="BY597" s="75"/>
      <c r="BZ597" s="75"/>
      <c r="CA597" s="73"/>
      <c r="CB597" s="75"/>
      <c r="CC597" s="75"/>
      <c r="CD597" s="75"/>
      <c r="CE597" s="73"/>
      <c r="CF597" s="75"/>
      <c r="CG597" s="75"/>
      <c r="CH597" s="75"/>
      <c r="CI597" s="73"/>
      <c r="CJ597" s="75"/>
      <c r="CK597" s="75"/>
      <c r="CL597" s="75"/>
      <c r="CM597" s="73"/>
      <c r="CN597" s="75"/>
      <c r="CO597" s="75"/>
      <c r="CP597" s="75"/>
      <c r="CQ597" s="73"/>
      <c r="CR597" s="75"/>
      <c r="CS597" s="75"/>
      <c r="CT597" s="75"/>
      <c r="CU597" s="73"/>
      <c r="CV597" s="75"/>
      <c r="CW597" s="75"/>
      <c r="CX597" s="75"/>
      <c r="CY597" s="73"/>
      <c r="CZ597" s="75"/>
      <c r="DA597" s="75"/>
      <c r="DB597" s="75"/>
      <c r="DC597" s="73"/>
      <c r="DD597" s="75"/>
      <c r="DE597" s="75"/>
      <c r="DF597" s="75"/>
      <c r="DG597" s="73"/>
      <c r="DH597" s="75"/>
      <c r="DI597" s="75"/>
      <c r="DJ597" s="75"/>
      <c r="DK597" s="76"/>
    </row>
    <row r="598" spans="63:115" x14ac:dyDescent="0.25">
      <c r="BK598" s="75"/>
      <c r="BL598" s="75"/>
      <c r="BM598" s="75"/>
      <c r="BN598" s="73"/>
      <c r="BO598" s="75"/>
      <c r="BP598" s="75"/>
      <c r="BQ598" s="75"/>
      <c r="BR598" s="75"/>
      <c r="BS598" s="75"/>
      <c r="BT598" s="75"/>
      <c r="BU598" s="75"/>
      <c r="BV598" s="75"/>
      <c r="BW598" s="75"/>
      <c r="BX598" s="75"/>
      <c r="BY598" s="75"/>
      <c r="BZ598" s="75"/>
      <c r="CA598" s="73"/>
      <c r="CB598" s="75"/>
      <c r="CC598" s="75"/>
      <c r="CD598" s="75"/>
      <c r="CE598" s="73"/>
      <c r="CF598" s="75"/>
      <c r="CG598" s="75"/>
      <c r="CH598" s="75"/>
      <c r="CI598" s="73"/>
      <c r="CJ598" s="75"/>
      <c r="CK598" s="75"/>
      <c r="CL598" s="75"/>
      <c r="CM598" s="73"/>
      <c r="CN598" s="75"/>
      <c r="CO598" s="75"/>
      <c r="CP598" s="75"/>
      <c r="CQ598" s="73"/>
      <c r="CR598" s="75"/>
      <c r="CS598" s="75"/>
      <c r="CT598" s="75"/>
      <c r="CU598" s="73"/>
      <c r="CV598" s="75"/>
      <c r="CW598" s="75"/>
      <c r="CX598" s="75"/>
      <c r="CY598" s="73"/>
      <c r="CZ598" s="75"/>
      <c r="DA598" s="75"/>
      <c r="DB598" s="75"/>
      <c r="DC598" s="73"/>
      <c r="DD598" s="75"/>
      <c r="DE598" s="75"/>
      <c r="DF598" s="75"/>
      <c r="DG598" s="73"/>
      <c r="DH598" s="75"/>
      <c r="DI598" s="75"/>
      <c r="DJ598" s="75"/>
      <c r="DK598" s="76"/>
    </row>
    <row r="599" spans="63:115" x14ac:dyDescent="0.25">
      <c r="BK599" s="75"/>
      <c r="BL599" s="75"/>
      <c r="BM599" s="75"/>
      <c r="BN599" s="73"/>
      <c r="BO599" s="75"/>
      <c r="BP599" s="75"/>
      <c r="BQ599" s="75"/>
      <c r="BR599" s="75"/>
      <c r="BS599" s="75"/>
      <c r="BT599" s="75"/>
      <c r="BU599" s="75"/>
      <c r="BV599" s="75"/>
      <c r="BW599" s="75"/>
      <c r="BX599" s="75"/>
      <c r="BY599" s="75"/>
      <c r="BZ599" s="75"/>
      <c r="CA599" s="73"/>
      <c r="CB599" s="75"/>
      <c r="CC599" s="75"/>
      <c r="CD599" s="75"/>
      <c r="CE599" s="73"/>
      <c r="CF599" s="75"/>
      <c r="CG599" s="75"/>
      <c r="CH599" s="75"/>
      <c r="CI599" s="73"/>
      <c r="CJ599" s="75"/>
      <c r="CK599" s="75"/>
      <c r="CL599" s="75"/>
      <c r="CM599" s="73"/>
      <c r="CN599" s="75"/>
      <c r="CO599" s="75"/>
      <c r="CP599" s="75"/>
      <c r="CQ599" s="73"/>
      <c r="CR599" s="75"/>
      <c r="CS599" s="75"/>
      <c r="CT599" s="75"/>
      <c r="CU599" s="73"/>
      <c r="CV599" s="75"/>
      <c r="CW599" s="75"/>
      <c r="CX599" s="75"/>
      <c r="CY599" s="73"/>
      <c r="CZ599" s="75"/>
      <c r="DA599" s="75"/>
      <c r="DB599" s="75"/>
      <c r="DC599" s="73"/>
      <c r="DD599" s="75"/>
      <c r="DE599" s="75"/>
      <c r="DF599" s="75"/>
      <c r="DG599" s="73"/>
      <c r="DH599" s="75"/>
      <c r="DI599" s="75"/>
      <c r="DJ599" s="75"/>
      <c r="DK599" s="76"/>
    </row>
    <row r="600" spans="63:115" x14ac:dyDescent="0.25">
      <c r="BK600" s="75"/>
      <c r="BL600" s="75"/>
      <c r="BM600" s="75"/>
      <c r="BN600" s="73"/>
      <c r="BO600" s="75"/>
      <c r="BP600" s="75"/>
      <c r="BQ600" s="75"/>
      <c r="BR600" s="75"/>
      <c r="BS600" s="75"/>
      <c r="BT600" s="75"/>
      <c r="BU600" s="75"/>
      <c r="BV600" s="75"/>
      <c r="BW600" s="75"/>
      <c r="BX600" s="75"/>
      <c r="BY600" s="75"/>
      <c r="BZ600" s="75"/>
      <c r="CA600" s="73"/>
      <c r="CB600" s="75"/>
      <c r="CC600" s="75"/>
      <c r="CD600" s="75"/>
      <c r="CE600" s="73"/>
      <c r="CF600" s="75"/>
      <c r="CG600" s="75"/>
      <c r="CH600" s="75"/>
      <c r="CI600" s="73"/>
      <c r="CJ600" s="75"/>
      <c r="CK600" s="75"/>
      <c r="CL600" s="75"/>
      <c r="CM600" s="73"/>
      <c r="CN600" s="75"/>
      <c r="CO600" s="75"/>
      <c r="CP600" s="75"/>
      <c r="CQ600" s="73"/>
      <c r="CR600" s="75"/>
      <c r="CS600" s="75"/>
      <c r="CT600" s="75"/>
      <c r="CU600" s="73"/>
      <c r="CV600" s="75"/>
      <c r="CW600" s="75"/>
      <c r="CX600" s="75"/>
      <c r="CY600" s="73"/>
      <c r="CZ600" s="75"/>
      <c r="DA600" s="75"/>
      <c r="DB600" s="75"/>
      <c r="DC600" s="73"/>
      <c r="DD600" s="75"/>
      <c r="DE600" s="75"/>
      <c r="DF600" s="75"/>
      <c r="DG600" s="73"/>
      <c r="DH600" s="75"/>
      <c r="DI600" s="75"/>
      <c r="DJ600" s="75"/>
      <c r="DK600" s="76"/>
    </row>
    <row r="601" spans="63:115" x14ac:dyDescent="0.25">
      <c r="BK601" s="75"/>
      <c r="BL601" s="75"/>
      <c r="BM601" s="75"/>
      <c r="BN601" s="73"/>
      <c r="BO601" s="75"/>
      <c r="BP601" s="75"/>
      <c r="BQ601" s="75"/>
      <c r="BR601" s="75"/>
      <c r="BS601" s="75"/>
      <c r="BT601" s="75"/>
      <c r="BU601" s="75"/>
      <c r="BV601" s="75"/>
      <c r="BW601" s="75"/>
      <c r="BX601" s="75"/>
      <c r="BY601" s="75"/>
      <c r="BZ601" s="75"/>
      <c r="CA601" s="73"/>
      <c r="CB601" s="75"/>
      <c r="CC601" s="75"/>
      <c r="CD601" s="75"/>
      <c r="CE601" s="73"/>
      <c r="CF601" s="75"/>
      <c r="CG601" s="75"/>
      <c r="CH601" s="75"/>
      <c r="CI601" s="73"/>
      <c r="CJ601" s="75"/>
      <c r="CK601" s="75"/>
      <c r="CL601" s="75"/>
      <c r="CM601" s="73"/>
      <c r="CN601" s="75"/>
      <c r="CO601" s="75"/>
      <c r="CP601" s="75"/>
      <c r="CQ601" s="73"/>
      <c r="CR601" s="75"/>
      <c r="CS601" s="75"/>
      <c r="CT601" s="75"/>
      <c r="CU601" s="73"/>
      <c r="CV601" s="75"/>
      <c r="CW601" s="75"/>
      <c r="CX601" s="75"/>
      <c r="CY601" s="73"/>
      <c r="CZ601" s="75"/>
      <c r="DA601" s="75"/>
      <c r="DB601" s="75"/>
      <c r="DC601" s="73"/>
      <c r="DD601" s="75"/>
      <c r="DE601" s="75"/>
      <c r="DF601" s="75"/>
      <c r="DG601" s="73"/>
      <c r="DH601" s="75"/>
      <c r="DI601" s="75"/>
      <c r="DJ601" s="75"/>
      <c r="DK601" s="76"/>
    </row>
    <row r="602" spans="63:115" x14ac:dyDescent="0.25">
      <c r="BK602" s="75"/>
      <c r="BL602" s="75"/>
      <c r="BM602" s="75"/>
      <c r="BN602" s="73"/>
      <c r="BO602" s="75"/>
      <c r="BP602" s="75"/>
      <c r="BQ602" s="75"/>
      <c r="BR602" s="75"/>
      <c r="BS602" s="75"/>
      <c r="BT602" s="75"/>
      <c r="BU602" s="75"/>
      <c r="BV602" s="75"/>
      <c r="BW602" s="75"/>
      <c r="BX602" s="75"/>
      <c r="BY602" s="75"/>
      <c r="BZ602" s="75"/>
      <c r="CA602" s="73"/>
      <c r="CB602" s="75"/>
      <c r="CC602" s="75"/>
      <c r="CD602" s="75"/>
      <c r="CE602" s="73"/>
      <c r="CF602" s="75"/>
      <c r="CG602" s="75"/>
      <c r="CH602" s="75"/>
      <c r="CI602" s="73"/>
      <c r="CJ602" s="75"/>
      <c r="CK602" s="75"/>
      <c r="CL602" s="75"/>
      <c r="CM602" s="73"/>
      <c r="CN602" s="75"/>
      <c r="CO602" s="75"/>
      <c r="CP602" s="75"/>
      <c r="CQ602" s="73"/>
      <c r="CR602" s="75"/>
      <c r="CS602" s="75"/>
      <c r="CT602" s="75"/>
      <c r="CU602" s="73"/>
      <c r="CV602" s="75"/>
      <c r="CW602" s="75"/>
      <c r="CX602" s="75"/>
      <c r="CY602" s="73"/>
      <c r="CZ602" s="75"/>
      <c r="DA602" s="75"/>
      <c r="DB602" s="75"/>
      <c r="DC602" s="73"/>
      <c r="DD602" s="75"/>
      <c r="DE602" s="75"/>
      <c r="DF602" s="75"/>
      <c r="DG602" s="73"/>
      <c r="DH602" s="75"/>
      <c r="DI602" s="75"/>
      <c r="DJ602" s="75"/>
      <c r="DK602" s="76"/>
    </row>
    <row r="603" spans="63:115" x14ac:dyDescent="0.25">
      <c r="BK603" s="75"/>
      <c r="BL603" s="75"/>
      <c r="BM603" s="75"/>
      <c r="BN603" s="73"/>
      <c r="BO603" s="75"/>
      <c r="BP603" s="75"/>
      <c r="BQ603" s="75"/>
      <c r="BR603" s="75"/>
      <c r="BS603" s="75"/>
      <c r="BT603" s="75"/>
      <c r="BU603" s="75"/>
      <c r="BV603" s="75"/>
      <c r="BW603" s="75"/>
      <c r="BX603" s="75"/>
      <c r="BY603" s="75"/>
      <c r="BZ603" s="75"/>
      <c r="CA603" s="73"/>
      <c r="CB603" s="75"/>
      <c r="CC603" s="75"/>
      <c r="CD603" s="75"/>
      <c r="CE603" s="73"/>
      <c r="CF603" s="75"/>
      <c r="CG603" s="75"/>
      <c r="CH603" s="75"/>
      <c r="CI603" s="73"/>
      <c r="CJ603" s="75"/>
      <c r="CK603" s="75"/>
      <c r="CL603" s="75"/>
      <c r="CM603" s="73"/>
      <c r="CN603" s="75"/>
      <c r="CO603" s="75"/>
      <c r="CP603" s="75"/>
      <c r="CQ603" s="73"/>
      <c r="CR603" s="75"/>
      <c r="CS603" s="75"/>
      <c r="CT603" s="75"/>
      <c r="CU603" s="73"/>
      <c r="CV603" s="75"/>
      <c r="CW603" s="75"/>
      <c r="CX603" s="75"/>
      <c r="CY603" s="73"/>
      <c r="CZ603" s="75"/>
      <c r="DA603" s="75"/>
      <c r="DB603" s="75"/>
      <c r="DC603" s="73"/>
      <c r="DD603" s="75"/>
      <c r="DE603" s="75"/>
      <c r="DF603" s="75"/>
      <c r="DG603" s="73"/>
      <c r="DH603" s="75"/>
      <c r="DI603" s="75"/>
      <c r="DJ603" s="75"/>
      <c r="DK603" s="76"/>
    </row>
    <row r="604" spans="63:115" x14ac:dyDescent="0.25">
      <c r="BK604" s="75"/>
      <c r="BL604" s="75"/>
      <c r="BM604" s="75"/>
      <c r="BN604" s="73"/>
      <c r="BO604" s="75"/>
      <c r="BP604" s="75"/>
      <c r="BQ604" s="75"/>
      <c r="BR604" s="75"/>
      <c r="BS604" s="75"/>
      <c r="BT604" s="75"/>
      <c r="BU604" s="75"/>
      <c r="BV604" s="75"/>
      <c r="BW604" s="75"/>
      <c r="BX604" s="75"/>
      <c r="BY604" s="75"/>
      <c r="BZ604" s="75"/>
      <c r="CA604" s="73"/>
      <c r="CB604" s="75"/>
      <c r="CC604" s="75"/>
      <c r="CD604" s="75"/>
      <c r="CE604" s="73"/>
      <c r="CF604" s="75"/>
      <c r="CG604" s="75"/>
      <c r="CH604" s="75"/>
      <c r="CI604" s="73"/>
      <c r="CJ604" s="75"/>
      <c r="CK604" s="75"/>
      <c r="CL604" s="75"/>
      <c r="CM604" s="73"/>
      <c r="CN604" s="75"/>
      <c r="CO604" s="75"/>
      <c r="CP604" s="75"/>
      <c r="CQ604" s="73"/>
      <c r="CR604" s="75"/>
      <c r="CS604" s="75"/>
      <c r="CT604" s="75"/>
      <c r="CU604" s="73"/>
      <c r="CV604" s="75"/>
      <c r="CW604" s="75"/>
      <c r="CX604" s="75"/>
      <c r="CY604" s="73"/>
      <c r="CZ604" s="75"/>
      <c r="DA604" s="75"/>
      <c r="DB604" s="75"/>
      <c r="DC604" s="73"/>
      <c r="DD604" s="75"/>
      <c r="DE604" s="75"/>
      <c r="DF604" s="75"/>
      <c r="DG604" s="73"/>
      <c r="DH604" s="75"/>
      <c r="DI604" s="75"/>
      <c r="DJ604" s="75"/>
      <c r="DK604" s="76"/>
    </row>
    <row r="605" spans="63:115" x14ac:dyDescent="0.25">
      <c r="BK605" s="75"/>
      <c r="BL605" s="75"/>
      <c r="BM605" s="75"/>
      <c r="BN605" s="73"/>
      <c r="BO605" s="75"/>
      <c r="BP605" s="75"/>
      <c r="BQ605" s="75"/>
      <c r="BR605" s="75"/>
      <c r="BS605" s="75"/>
      <c r="BT605" s="75"/>
      <c r="BU605" s="75"/>
      <c r="BV605" s="75"/>
      <c r="BW605" s="75"/>
      <c r="BX605" s="75"/>
      <c r="BY605" s="75"/>
      <c r="BZ605" s="75"/>
      <c r="CA605" s="73"/>
      <c r="CB605" s="75"/>
      <c r="CC605" s="75"/>
      <c r="CD605" s="75"/>
      <c r="CE605" s="73"/>
      <c r="CF605" s="75"/>
      <c r="CG605" s="75"/>
      <c r="CH605" s="75"/>
      <c r="CI605" s="73"/>
      <c r="CJ605" s="75"/>
      <c r="CK605" s="75"/>
      <c r="CL605" s="75"/>
      <c r="CM605" s="73"/>
      <c r="CN605" s="75"/>
      <c r="CO605" s="75"/>
      <c r="CP605" s="75"/>
      <c r="CQ605" s="73"/>
      <c r="CR605" s="75"/>
      <c r="CS605" s="75"/>
      <c r="CT605" s="75"/>
      <c r="CU605" s="73"/>
      <c r="CV605" s="75"/>
      <c r="CW605" s="75"/>
      <c r="CX605" s="75"/>
      <c r="CY605" s="73"/>
      <c r="CZ605" s="75"/>
      <c r="DA605" s="75"/>
      <c r="DB605" s="75"/>
      <c r="DC605" s="73"/>
      <c r="DD605" s="75"/>
      <c r="DE605" s="75"/>
      <c r="DF605" s="75"/>
      <c r="DG605" s="73"/>
      <c r="DH605" s="75"/>
      <c r="DI605" s="75"/>
      <c r="DJ605" s="75"/>
      <c r="DK605" s="76"/>
    </row>
    <row r="606" spans="63:115" x14ac:dyDescent="0.25">
      <c r="BK606" s="75"/>
      <c r="BL606" s="75"/>
      <c r="BM606" s="75"/>
      <c r="BN606" s="73"/>
      <c r="BO606" s="75"/>
      <c r="BP606" s="75"/>
      <c r="BQ606" s="75"/>
      <c r="BR606" s="75"/>
      <c r="BS606" s="75"/>
      <c r="BT606" s="75"/>
      <c r="BU606" s="75"/>
      <c r="BV606" s="75"/>
      <c r="BW606" s="75"/>
      <c r="BX606" s="75"/>
      <c r="BY606" s="75"/>
      <c r="BZ606" s="75"/>
      <c r="CA606" s="73"/>
      <c r="CB606" s="75"/>
      <c r="CC606" s="75"/>
      <c r="CD606" s="75"/>
      <c r="CE606" s="73"/>
      <c r="CF606" s="75"/>
      <c r="CG606" s="75"/>
      <c r="CH606" s="75"/>
      <c r="CI606" s="73"/>
      <c r="CJ606" s="75"/>
      <c r="CK606" s="75"/>
      <c r="CL606" s="75"/>
      <c r="CM606" s="73"/>
      <c r="CN606" s="75"/>
      <c r="CO606" s="75"/>
      <c r="CP606" s="75"/>
      <c r="CQ606" s="73"/>
      <c r="CR606" s="75"/>
      <c r="CS606" s="75"/>
      <c r="CT606" s="75"/>
      <c r="CU606" s="73"/>
      <c r="CV606" s="75"/>
      <c r="CW606" s="75"/>
      <c r="CX606" s="75"/>
      <c r="CY606" s="73"/>
      <c r="CZ606" s="75"/>
      <c r="DA606" s="75"/>
      <c r="DB606" s="75"/>
      <c r="DC606" s="73"/>
      <c r="DD606" s="75"/>
      <c r="DE606" s="75"/>
      <c r="DF606" s="75"/>
      <c r="DG606" s="73"/>
      <c r="DH606" s="75"/>
      <c r="DI606" s="75"/>
      <c r="DJ606" s="75"/>
      <c r="DK606" s="76"/>
    </row>
    <row r="607" spans="63:115" x14ac:dyDescent="0.25">
      <c r="BK607" s="75"/>
      <c r="BL607" s="75"/>
      <c r="BM607" s="75"/>
      <c r="BN607" s="73"/>
      <c r="BO607" s="75"/>
      <c r="BP607" s="75"/>
      <c r="BQ607" s="75"/>
      <c r="BR607" s="75"/>
      <c r="BS607" s="75"/>
      <c r="BT607" s="75"/>
      <c r="BU607" s="75"/>
      <c r="BV607" s="75"/>
      <c r="BW607" s="75"/>
      <c r="BX607" s="75"/>
      <c r="BY607" s="75"/>
      <c r="BZ607" s="75"/>
      <c r="CA607" s="73"/>
      <c r="CB607" s="75"/>
      <c r="CC607" s="75"/>
      <c r="CD607" s="75"/>
      <c r="CE607" s="73"/>
      <c r="CF607" s="75"/>
      <c r="CG607" s="75"/>
      <c r="CH607" s="75"/>
      <c r="CI607" s="73"/>
      <c r="CJ607" s="75"/>
      <c r="CK607" s="75"/>
      <c r="CL607" s="75"/>
      <c r="CM607" s="73"/>
      <c r="CN607" s="75"/>
      <c r="CO607" s="75"/>
      <c r="CP607" s="75"/>
      <c r="CQ607" s="73"/>
      <c r="CR607" s="75"/>
      <c r="CS607" s="75"/>
      <c r="CT607" s="75"/>
      <c r="CU607" s="73"/>
      <c r="CV607" s="75"/>
      <c r="CW607" s="75"/>
      <c r="CX607" s="75"/>
      <c r="CY607" s="73"/>
      <c r="CZ607" s="75"/>
      <c r="DA607" s="75"/>
      <c r="DB607" s="75"/>
      <c r="DC607" s="73"/>
      <c r="DD607" s="75"/>
      <c r="DE607" s="75"/>
      <c r="DF607" s="75"/>
      <c r="DG607" s="73"/>
      <c r="DH607" s="75"/>
      <c r="DI607" s="75"/>
      <c r="DJ607" s="75"/>
      <c r="DK607" s="76"/>
    </row>
    <row r="608" spans="63:115" x14ac:dyDescent="0.25">
      <c r="BK608" s="75"/>
      <c r="BL608" s="75"/>
      <c r="BM608" s="75"/>
      <c r="BN608" s="73"/>
      <c r="BO608" s="75"/>
      <c r="BP608" s="75"/>
      <c r="BQ608" s="75"/>
      <c r="BR608" s="75"/>
      <c r="BS608" s="75"/>
      <c r="BT608" s="75"/>
      <c r="BU608" s="75"/>
      <c r="BV608" s="75"/>
      <c r="BW608" s="75"/>
      <c r="BX608" s="75"/>
      <c r="BY608" s="75"/>
      <c r="BZ608" s="75"/>
      <c r="CA608" s="73"/>
      <c r="CB608" s="75"/>
      <c r="CC608" s="75"/>
      <c r="CD608" s="75"/>
      <c r="CE608" s="73"/>
      <c r="CF608" s="75"/>
      <c r="CG608" s="75"/>
      <c r="CH608" s="75"/>
      <c r="CI608" s="73"/>
      <c r="CJ608" s="75"/>
      <c r="CK608" s="75"/>
      <c r="CL608" s="75"/>
      <c r="CM608" s="73"/>
      <c r="CN608" s="75"/>
      <c r="CO608" s="75"/>
      <c r="CP608" s="75"/>
      <c r="CQ608" s="73"/>
      <c r="CR608" s="75"/>
      <c r="CS608" s="75"/>
      <c r="CT608" s="75"/>
      <c r="CU608" s="73"/>
      <c r="CV608" s="75"/>
      <c r="CW608" s="75"/>
      <c r="CX608" s="75"/>
      <c r="CY608" s="73"/>
      <c r="CZ608" s="75"/>
      <c r="DA608" s="75"/>
      <c r="DB608" s="75"/>
      <c r="DC608" s="73"/>
      <c r="DD608" s="75"/>
      <c r="DE608" s="75"/>
      <c r="DF608" s="75"/>
      <c r="DG608" s="73"/>
      <c r="DH608" s="75"/>
      <c r="DI608" s="75"/>
      <c r="DJ608" s="75"/>
      <c r="DK608" s="76"/>
    </row>
    <row r="609" spans="63:115" x14ac:dyDescent="0.25">
      <c r="BK609" s="75"/>
      <c r="BL609" s="75"/>
      <c r="BM609" s="75"/>
      <c r="BN609" s="73"/>
      <c r="BO609" s="75"/>
      <c r="BP609" s="75"/>
      <c r="BQ609" s="75"/>
      <c r="BR609" s="75"/>
      <c r="BS609" s="75"/>
      <c r="BT609" s="75"/>
      <c r="BU609" s="75"/>
      <c r="BV609" s="75"/>
      <c r="BW609" s="75"/>
      <c r="BX609" s="75"/>
      <c r="BY609" s="75"/>
      <c r="BZ609" s="75"/>
      <c r="CA609" s="73"/>
      <c r="CB609" s="75"/>
      <c r="CC609" s="75"/>
      <c r="CD609" s="75"/>
      <c r="CE609" s="73"/>
      <c r="CF609" s="75"/>
      <c r="CG609" s="75"/>
      <c r="CH609" s="75"/>
      <c r="CI609" s="73"/>
      <c r="CJ609" s="75"/>
      <c r="CK609" s="75"/>
      <c r="CL609" s="75"/>
      <c r="CM609" s="73"/>
      <c r="CN609" s="75"/>
      <c r="CO609" s="75"/>
      <c r="CP609" s="75"/>
      <c r="CQ609" s="73"/>
      <c r="CR609" s="75"/>
      <c r="CS609" s="75"/>
      <c r="CT609" s="75"/>
      <c r="CU609" s="73"/>
      <c r="CV609" s="75"/>
      <c r="CW609" s="75"/>
      <c r="CX609" s="75"/>
      <c r="CY609" s="73"/>
      <c r="CZ609" s="75"/>
      <c r="DA609" s="75"/>
      <c r="DB609" s="75"/>
      <c r="DC609" s="73"/>
      <c r="DD609" s="75"/>
      <c r="DE609" s="75"/>
      <c r="DF609" s="75"/>
      <c r="DG609" s="73"/>
      <c r="DH609" s="75"/>
      <c r="DI609" s="75"/>
      <c r="DJ609" s="75"/>
      <c r="DK609" s="76"/>
    </row>
    <row r="610" spans="63:115" x14ac:dyDescent="0.25">
      <c r="BK610" s="75"/>
      <c r="BL610" s="75"/>
      <c r="BM610" s="75"/>
      <c r="BN610" s="73"/>
      <c r="BO610" s="75"/>
      <c r="BP610" s="75"/>
      <c r="BQ610" s="75"/>
      <c r="BR610" s="75"/>
      <c r="BS610" s="75"/>
      <c r="BT610" s="75"/>
      <c r="BU610" s="75"/>
      <c r="BV610" s="75"/>
      <c r="BW610" s="75"/>
      <c r="BX610" s="75"/>
      <c r="BY610" s="75"/>
      <c r="BZ610" s="75"/>
      <c r="CA610" s="73"/>
      <c r="CB610" s="75"/>
      <c r="CC610" s="75"/>
      <c r="CD610" s="75"/>
      <c r="CE610" s="73"/>
      <c r="CF610" s="75"/>
      <c r="CG610" s="75"/>
      <c r="CH610" s="75"/>
      <c r="CI610" s="73"/>
      <c r="CJ610" s="75"/>
      <c r="CK610" s="75"/>
      <c r="CL610" s="75"/>
      <c r="CM610" s="73"/>
      <c r="CN610" s="75"/>
      <c r="CO610" s="75"/>
      <c r="CP610" s="75"/>
      <c r="CQ610" s="73"/>
      <c r="CR610" s="75"/>
      <c r="CS610" s="75"/>
      <c r="CT610" s="75"/>
      <c r="CU610" s="73"/>
      <c r="CV610" s="75"/>
      <c r="CW610" s="75"/>
      <c r="CX610" s="75"/>
      <c r="CY610" s="73"/>
      <c r="CZ610" s="75"/>
      <c r="DA610" s="75"/>
      <c r="DB610" s="75"/>
      <c r="DC610" s="73"/>
      <c r="DD610" s="75"/>
      <c r="DE610" s="75"/>
      <c r="DF610" s="75"/>
      <c r="DG610" s="73"/>
      <c r="DH610" s="75"/>
      <c r="DI610" s="75"/>
      <c r="DJ610" s="75"/>
      <c r="DK610" s="76"/>
    </row>
    <row r="611" spans="63:115" x14ac:dyDescent="0.25">
      <c r="BK611" s="75"/>
      <c r="BL611" s="75"/>
      <c r="BM611" s="75"/>
      <c r="BN611" s="73"/>
      <c r="BO611" s="75"/>
      <c r="BP611" s="75"/>
      <c r="BQ611" s="75"/>
      <c r="BR611" s="75"/>
      <c r="BS611" s="75"/>
      <c r="BT611" s="75"/>
      <c r="BU611" s="75"/>
      <c r="BV611" s="75"/>
      <c r="BW611" s="75"/>
      <c r="BX611" s="75"/>
      <c r="BY611" s="75"/>
      <c r="BZ611" s="75"/>
      <c r="CA611" s="73"/>
      <c r="CB611" s="75"/>
      <c r="CC611" s="75"/>
      <c r="CD611" s="75"/>
      <c r="CE611" s="73"/>
      <c r="CF611" s="75"/>
      <c r="CG611" s="75"/>
      <c r="CH611" s="75"/>
      <c r="CI611" s="73"/>
      <c r="CJ611" s="75"/>
      <c r="CK611" s="75"/>
      <c r="CL611" s="75"/>
      <c r="CM611" s="73"/>
      <c r="CN611" s="75"/>
      <c r="CO611" s="75"/>
      <c r="CP611" s="75"/>
      <c r="CQ611" s="73"/>
      <c r="CR611" s="75"/>
      <c r="CS611" s="75"/>
      <c r="CT611" s="75"/>
      <c r="CU611" s="73"/>
      <c r="CV611" s="75"/>
      <c r="CW611" s="75"/>
      <c r="CX611" s="75"/>
      <c r="CY611" s="73"/>
      <c r="CZ611" s="75"/>
      <c r="DA611" s="75"/>
      <c r="DB611" s="75"/>
      <c r="DC611" s="73"/>
      <c r="DD611" s="75"/>
      <c r="DE611" s="75"/>
      <c r="DF611" s="75"/>
      <c r="DG611" s="73"/>
      <c r="DH611" s="75"/>
      <c r="DI611" s="75"/>
      <c r="DJ611" s="75"/>
      <c r="DK611" s="76"/>
    </row>
    <row r="612" spans="63:115" x14ac:dyDescent="0.25">
      <c r="BK612" s="75"/>
      <c r="BL612" s="75"/>
      <c r="BM612" s="75"/>
      <c r="BN612" s="73"/>
      <c r="BO612" s="75"/>
      <c r="BP612" s="75"/>
      <c r="BQ612" s="75"/>
      <c r="BR612" s="75"/>
      <c r="BS612" s="75"/>
      <c r="BT612" s="75"/>
      <c r="BU612" s="75"/>
      <c r="BV612" s="75"/>
      <c r="BW612" s="75"/>
      <c r="BX612" s="75"/>
      <c r="BY612" s="75"/>
      <c r="BZ612" s="75"/>
      <c r="CA612" s="73"/>
      <c r="CB612" s="75"/>
      <c r="CC612" s="75"/>
      <c r="CD612" s="75"/>
      <c r="CE612" s="73"/>
      <c r="CF612" s="75"/>
      <c r="CG612" s="75"/>
      <c r="CH612" s="75"/>
      <c r="CI612" s="73"/>
      <c r="CJ612" s="75"/>
      <c r="CK612" s="75"/>
      <c r="CL612" s="75"/>
      <c r="CM612" s="73"/>
      <c r="CN612" s="75"/>
      <c r="CO612" s="75"/>
      <c r="CP612" s="75"/>
      <c r="CQ612" s="73"/>
      <c r="CR612" s="75"/>
      <c r="CS612" s="75"/>
      <c r="CT612" s="75"/>
      <c r="CU612" s="73"/>
      <c r="CV612" s="75"/>
      <c r="CW612" s="75"/>
      <c r="CX612" s="75"/>
      <c r="CY612" s="73"/>
      <c r="CZ612" s="75"/>
      <c r="DA612" s="75"/>
      <c r="DB612" s="75"/>
      <c r="DC612" s="73"/>
      <c r="DD612" s="75"/>
      <c r="DE612" s="75"/>
      <c r="DF612" s="75"/>
      <c r="DG612" s="73"/>
      <c r="DH612" s="75"/>
      <c r="DI612" s="75"/>
      <c r="DJ612" s="75"/>
      <c r="DK612" s="76"/>
    </row>
    <row r="613" spans="63:115" x14ac:dyDescent="0.25">
      <c r="BK613" s="75"/>
      <c r="BL613" s="75"/>
      <c r="BM613" s="75"/>
      <c r="BN613" s="73"/>
      <c r="BO613" s="75"/>
      <c r="BP613" s="75"/>
      <c r="BQ613" s="75"/>
      <c r="BR613" s="75"/>
      <c r="BS613" s="75"/>
      <c r="BT613" s="75"/>
      <c r="BU613" s="75"/>
      <c r="BV613" s="75"/>
      <c r="BW613" s="75"/>
      <c r="BX613" s="75"/>
      <c r="BY613" s="75"/>
      <c r="BZ613" s="75"/>
      <c r="CA613" s="73"/>
      <c r="CB613" s="75"/>
      <c r="CC613" s="75"/>
      <c r="CD613" s="75"/>
      <c r="CE613" s="73"/>
      <c r="CF613" s="75"/>
      <c r="CG613" s="75"/>
      <c r="CH613" s="75"/>
      <c r="CI613" s="73"/>
      <c r="CJ613" s="75"/>
      <c r="CK613" s="75"/>
      <c r="CL613" s="75"/>
      <c r="CM613" s="73"/>
      <c r="CN613" s="75"/>
      <c r="CO613" s="75"/>
      <c r="CP613" s="75"/>
      <c r="CQ613" s="73"/>
      <c r="CR613" s="75"/>
      <c r="CS613" s="75"/>
      <c r="CT613" s="75"/>
      <c r="CU613" s="73"/>
      <c r="CV613" s="75"/>
      <c r="CW613" s="75"/>
      <c r="CX613" s="75"/>
      <c r="CY613" s="73"/>
      <c r="CZ613" s="75"/>
      <c r="DA613" s="75"/>
      <c r="DB613" s="75"/>
      <c r="DC613" s="73"/>
      <c r="DD613" s="75"/>
      <c r="DE613" s="75"/>
      <c r="DF613" s="75"/>
      <c r="DG613" s="73"/>
      <c r="DH613" s="75"/>
      <c r="DI613" s="75"/>
      <c r="DJ613" s="75"/>
      <c r="DK613" s="76"/>
    </row>
    <row r="614" spans="63:115" x14ac:dyDescent="0.25">
      <c r="BK614" s="75"/>
      <c r="BL614" s="75"/>
      <c r="BM614" s="75"/>
      <c r="BN614" s="73"/>
      <c r="BO614" s="75"/>
      <c r="BP614" s="75"/>
      <c r="BQ614" s="75"/>
      <c r="BR614" s="75"/>
      <c r="BS614" s="75"/>
      <c r="BT614" s="75"/>
      <c r="BU614" s="75"/>
      <c r="BV614" s="75"/>
      <c r="BW614" s="75"/>
      <c r="BX614" s="75"/>
      <c r="BY614" s="75"/>
      <c r="BZ614" s="75"/>
      <c r="CA614" s="73"/>
      <c r="CB614" s="75"/>
      <c r="CC614" s="75"/>
      <c r="CD614" s="75"/>
      <c r="CE614" s="73"/>
      <c r="CF614" s="75"/>
      <c r="CG614" s="75"/>
      <c r="CH614" s="75"/>
      <c r="CI614" s="73"/>
      <c r="CJ614" s="75"/>
      <c r="CK614" s="75"/>
      <c r="CL614" s="75"/>
      <c r="CM614" s="73"/>
      <c r="CN614" s="75"/>
      <c r="CO614" s="75"/>
      <c r="CP614" s="75"/>
      <c r="CQ614" s="73"/>
      <c r="CR614" s="75"/>
      <c r="CS614" s="75"/>
      <c r="CT614" s="75"/>
      <c r="CU614" s="73"/>
      <c r="CV614" s="75"/>
      <c r="CW614" s="75"/>
      <c r="CX614" s="75"/>
      <c r="CY614" s="73"/>
      <c r="CZ614" s="75"/>
      <c r="DA614" s="75"/>
      <c r="DB614" s="75"/>
      <c r="DC614" s="73"/>
      <c r="DD614" s="75"/>
      <c r="DE614" s="75"/>
      <c r="DF614" s="75"/>
      <c r="DG614" s="73"/>
      <c r="DH614" s="75"/>
      <c r="DI614" s="75"/>
      <c r="DJ614" s="75"/>
      <c r="DK614" s="76"/>
    </row>
    <row r="615" spans="63:115" x14ac:dyDescent="0.25">
      <c r="BK615" s="75"/>
      <c r="BL615" s="75"/>
      <c r="BM615" s="75"/>
      <c r="BN615" s="73"/>
      <c r="BO615" s="75"/>
      <c r="BP615" s="75"/>
      <c r="BQ615" s="75"/>
      <c r="BR615" s="75"/>
      <c r="BS615" s="75"/>
      <c r="BT615" s="75"/>
      <c r="BU615" s="75"/>
      <c r="BV615" s="75"/>
      <c r="BW615" s="75"/>
      <c r="BX615" s="75"/>
      <c r="BY615" s="75"/>
      <c r="BZ615" s="75"/>
      <c r="CA615" s="73"/>
      <c r="CB615" s="75"/>
      <c r="CC615" s="75"/>
      <c r="CD615" s="75"/>
      <c r="CE615" s="73"/>
      <c r="CF615" s="75"/>
      <c r="CG615" s="75"/>
      <c r="CH615" s="75"/>
      <c r="CI615" s="73"/>
      <c r="CJ615" s="75"/>
      <c r="CK615" s="75"/>
      <c r="CL615" s="75"/>
      <c r="CM615" s="73"/>
      <c r="CN615" s="75"/>
      <c r="CO615" s="75"/>
      <c r="CP615" s="75"/>
      <c r="CQ615" s="73"/>
      <c r="CR615" s="75"/>
      <c r="CS615" s="75"/>
      <c r="CT615" s="75"/>
      <c r="CU615" s="73"/>
      <c r="CV615" s="75"/>
      <c r="CW615" s="75"/>
      <c r="CX615" s="75"/>
      <c r="CY615" s="73"/>
      <c r="CZ615" s="75"/>
      <c r="DA615" s="75"/>
      <c r="DB615" s="75"/>
      <c r="DC615" s="73"/>
      <c r="DD615" s="75"/>
      <c r="DE615" s="75"/>
      <c r="DF615" s="75"/>
      <c r="DG615" s="73"/>
      <c r="DH615" s="75"/>
      <c r="DI615" s="75"/>
      <c r="DJ615" s="75"/>
      <c r="DK615" s="76"/>
    </row>
    <row r="616" spans="63:115" x14ac:dyDescent="0.25">
      <c r="BK616" s="75"/>
      <c r="BL616" s="75"/>
      <c r="BM616" s="75"/>
      <c r="BN616" s="73"/>
      <c r="BO616" s="75"/>
      <c r="BP616" s="75"/>
      <c r="BQ616" s="75"/>
      <c r="BR616" s="75"/>
      <c r="BS616" s="75"/>
      <c r="BT616" s="75"/>
      <c r="BU616" s="75"/>
      <c r="BV616" s="75"/>
      <c r="BW616" s="75"/>
      <c r="BX616" s="75"/>
      <c r="BY616" s="75"/>
      <c r="BZ616" s="75"/>
      <c r="CA616" s="73"/>
      <c r="CB616" s="75"/>
      <c r="CC616" s="75"/>
      <c r="CD616" s="75"/>
      <c r="CE616" s="73"/>
      <c r="CF616" s="75"/>
      <c r="CG616" s="75"/>
      <c r="CH616" s="75"/>
      <c r="CI616" s="73"/>
      <c r="CJ616" s="75"/>
      <c r="CK616" s="75"/>
      <c r="CL616" s="75"/>
      <c r="CM616" s="73"/>
      <c r="CN616" s="75"/>
      <c r="CO616" s="75"/>
      <c r="CP616" s="75"/>
      <c r="CQ616" s="73"/>
      <c r="CR616" s="75"/>
      <c r="CS616" s="75"/>
      <c r="CT616" s="75"/>
      <c r="CU616" s="73"/>
      <c r="CV616" s="75"/>
      <c r="CW616" s="75"/>
      <c r="CX616" s="75"/>
      <c r="CY616" s="73"/>
      <c r="CZ616" s="75"/>
      <c r="DA616" s="75"/>
      <c r="DB616" s="75"/>
      <c r="DC616" s="73"/>
      <c r="DD616" s="75"/>
      <c r="DE616" s="75"/>
      <c r="DF616" s="75"/>
      <c r="DG616" s="73"/>
      <c r="DH616" s="75"/>
      <c r="DI616" s="75"/>
      <c r="DJ616" s="75"/>
      <c r="DK616" s="76"/>
    </row>
    <row r="617" spans="63:115" x14ac:dyDescent="0.25">
      <c r="BK617" s="75"/>
      <c r="BL617" s="75"/>
      <c r="BM617" s="75"/>
      <c r="BN617" s="73"/>
      <c r="BO617" s="75"/>
      <c r="BP617" s="75"/>
      <c r="BQ617" s="75"/>
      <c r="BR617" s="75"/>
      <c r="BS617" s="75"/>
      <c r="BT617" s="75"/>
      <c r="BU617" s="75"/>
      <c r="BV617" s="75"/>
      <c r="BW617" s="75"/>
      <c r="BX617" s="75"/>
      <c r="BY617" s="75"/>
      <c r="BZ617" s="75"/>
      <c r="CA617" s="73"/>
      <c r="CB617" s="75"/>
      <c r="CC617" s="75"/>
      <c r="CD617" s="75"/>
      <c r="CE617" s="73"/>
      <c r="CF617" s="75"/>
      <c r="CG617" s="75"/>
      <c r="CH617" s="75"/>
      <c r="CI617" s="73"/>
      <c r="CJ617" s="75"/>
      <c r="CK617" s="75"/>
      <c r="CL617" s="75"/>
      <c r="CM617" s="73"/>
      <c r="CN617" s="75"/>
      <c r="CO617" s="75"/>
      <c r="CP617" s="75"/>
      <c r="CQ617" s="73"/>
      <c r="CR617" s="75"/>
      <c r="CS617" s="75"/>
      <c r="CT617" s="75"/>
      <c r="CU617" s="73"/>
      <c r="CV617" s="75"/>
      <c r="CW617" s="75"/>
      <c r="CX617" s="75"/>
      <c r="CY617" s="73"/>
      <c r="CZ617" s="75"/>
      <c r="DA617" s="75"/>
      <c r="DB617" s="75"/>
      <c r="DC617" s="73"/>
      <c r="DD617" s="75"/>
      <c r="DE617" s="75"/>
      <c r="DF617" s="75"/>
      <c r="DG617" s="73"/>
      <c r="DH617" s="75"/>
      <c r="DI617" s="75"/>
      <c r="DJ617" s="75"/>
      <c r="DK617" s="76"/>
    </row>
    <row r="618" spans="63:115" x14ac:dyDescent="0.25">
      <c r="BK618" s="75"/>
      <c r="BL618" s="75"/>
      <c r="BM618" s="75"/>
      <c r="BN618" s="73"/>
      <c r="BO618" s="75"/>
      <c r="BP618" s="75"/>
      <c r="BQ618" s="75"/>
      <c r="BR618" s="75"/>
      <c r="BS618" s="75"/>
      <c r="BT618" s="75"/>
      <c r="BU618" s="75"/>
      <c r="BV618" s="75"/>
      <c r="BW618" s="75"/>
      <c r="BX618" s="75"/>
      <c r="BY618" s="75"/>
      <c r="BZ618" s="75"/>
      <c r="CA618" s="73"/>
      <c r="CB618" s="75"/>
      <c r="CC618" s="75"/>
      <c r="CD618" s="75"/>
      <c r="CE618" s="73"/>
      <c r="CF618" s="75"/>
      <c r="CG618" s="75"/>
      <c r="CH618" s="75"/>
      <c r="CI618" s="73"/>
      <c r="CJ618" s="75"/>
      <c r="CK618" s="75"/>
      <c r="CL618" s="75"/>
      <c r="CM618" s="73"/>
      <c r="CN618" s="75"/>
      <c r="CO618" s="75"/>
      <c r="CP618" s="75"/>
      <c r="CQ618" s="73"/>
      <c r="CR618" s="75"/>
      <c r="CS618" s="75"/>
      <c r="CT618" s="75"/>
      <c r="CU618" s="73"/>
      <c r="CV618" s="75"/>
      <c r="CW618" s="75"/>
      <c r="CX618" s="75"/>
      <c r="CY618" s="73"/>
      <c r="CZ618" s="75"/>
      <c r="DA618" s="75"/>
      <c r="DB618" s="75"/>
      <c r="DC618" s="73"/>
      <c r="DD618" s="75"/>
      <c r="DE618" s="75"/>
      <c r="DF618" s="75"/>
      <c r="DG618" s="73"/>
      <c r="DH618" s="75"/>
      <c r="DI618" s="75"/>
      <c r="DJ618" s="75"/>
      <c r="DK618" s="76"/>
    </row>
    <row r="619" spans="63:115" x14ac:dyDescent="0.25">
      <c r="BK619" s="75"/>
      <c r="BL619" s="75"/>
      <c r="BM619" s="75"/>
      <c r="BN619" s="73"/>
      <c r="BO619" s="75"/>
      <c r="BP619" s="75"/>
      <c r="BQ619" s="75"/>
      <c r="BR619" s="75"/>
      <c r="BS619" s="75"/>
      <c r="BT619" s="75"/>
      <c r="BU619" s="75"/>
      <c r="BV619" s="75"/>
      <c r="BW619" s="75"/>
      <c r="BX619" s="75"/>
      <c r="BY619" s="75"/>
      <c r="BZ619" s="75"/>
      <c r="CA619" s="73"/>
      <c r="CB619" s="75"/>
      <c r="CC619" s="75"/>
      <c r="CD619" s="75"/>
      <c r="CE619" s="73"/>
      <c r="CF619" s="75"/>
      <c r="CG619" s="75"/>
      <c r="CH619" s="75"/>
      <c r="CI619" s="73"/>
      <c r="CJ619" s="75"/>
      <c r="CK619" s="75"/>
      <c r="CL619" s="75"/>
      <c r="CM619" s="73"/>
      <c r="CN619" s="75"/>
      <c r="CO619" s="75"/>
      <c r="CP619" s="75"/>
      <c r="CQ619" s="73"/>
      <c r="CR619" s="75"/>
      <c r="CS619" s="75"/>
      <c r="CT619" s="75"/>
      <c r="CU619" s="73"/>
      <c r="CV619" s="75"/>
      <c r="CW619" s="75"/>
      <c r="CX619" s="75"/>
      <c r="CY619" s="73"/>
      <c r="CZ619" s="75"/>
      <c r="DA619" s="75"/>
      <c r="DB619" s="75"/>
      <c r="DC619" s="73"/>
      <c r="DD619" s="75"/>
      <c r="DE619" s="75"/>
      <c r="DF619" s="75"/>
      <c r="DG619" s="73"/>
      <c r="DH619" s="75"/>
      <c r="DI619" s="75"/>
      <c r="DJ619" s="75"/>
      <c r="DK619" s="76"/>
    </row>
    <row r="620" spans="63:115" x14ac:dyDescent="0.25">
      <c r="BK620" s="75"/>
      <c r="BL620" s="75"/>
      <c r="BM620" s="75"/>
      <c r="BN620" s="73"/>
      <c r="BO620" s="75"/>
      <c r="BP620" s="75"/>
      <c r="BQ620" s="75"/>
      <c r="BR620" s="75"/>
      <c r="BS620" s="75"/>
      <c r="BT620" s="75"/>
      <c r="BU620" s="75"/>
      <c r="BV620" s="75"/>
      <c r="BW620" s="75"/>
      <c r="BX620" s="75"/>
      <c r="BY620" s="75"/>
      <c r="BZ620" s="75"/>
      <c r="CA620" s="73"/>
      <c r="CB620" s="75"/>
      <c r="CC620" s="75"/>
      <c r="CD620" s="75"/>
      <c r="CE620" s="73"/>
      <c r="CF620" s="75"/>
      <c r="CG620" s="75"/>
      <c r="CH620" s="75"/>
      <c r="CI620" s="73"/>
      <c r="CJ620" s="75"/>
      <c r="CK620" s="75"/>
      <c r="CL620" s="75"/>
      <c r="CM620" s="73"/>
      <c r="CN620" s="75"/>
      <c r="CO620" s="75"/>
      <c r="CP620" s="75"/>
      <c r="CQ620" s="73"/>
      <c r="CR620" s="75"/>
      <c r="CS620" s="75"/>
      <c r="CT620" s="75"/>
      <c r="CU620" s="73"/>
      <c r="CV620" s="75"/>
      <c r="CW620" s="75"/>
      <c r="CX620" s="75"/>
      <c r="CY620" s="73"/>
      <c r="CZ620" s="75"/>
      <c r="DA620" s="75"/>
      <c r="DB620" s="75"/>
      <c r="DC620" s="73"/>
      <c r="DD620" s="75"/>
      <c r="DE620" s="75"/>
      <c r="DF620" s="75"/>
      <c r="DG620" s="73"/>
      <c r="DH620" s="75"/>
      <c r="DI620" s="75"/>
      <c r="DJ620" s="75"/>
      <c r="DK620" s="76"/>
    </row>
    <row r="621" spans="63:115" x14ac:dyDescent="0.25">
      <c r="BK621" s="75"/>
      <c r="BL621" s="75"/>
      <c r="BM621" s="75"/>
      <c r="BN621" s="73"/>
      <c r="BO621" s="75"/>
      <c r="BP621" s="75"/>
      <c r="BQ621" s="75"/>
      <c r="BR621" s="75"/>
      <c r="BS621" s="75"/>
      <c r="BT621" s="75"/>
      <c r="BU621" s="75"/>
      <c r="BV621" s="75"/>
      <c r="BW621" s="75"/>
      <c r="BX621" s="75"/>
      <c r="BY621" s="75"/>
      <c r="BZ621" s="75"/>
      <c r="CA621" s="73"/>
      <c r="CB621" s="75"/>
      <c r="CC621" s="75"/>
      <c r="CD621" s="75"/>
      <c r="CE621" s="73"/>
      <c r="CF621" s="75"/>
      <c r="CG621" s="75"/>
      <c r="CH621" s="75"/>
      <c r="CI621" s="73"/>
      <c r="CJ621" s="75"/>
      <c r="CK621" s="75"/>
      <c r="CL621" s="75"/>
      <c r="CM621" s="73"/>
      <c r="CN621" s="75"/>
      <c r="CO621" s="75"/>
      <c r="CP621" s="75"/>
      <c r="CQ621" s="73"/>
      <c r="CR621" s="75"/>
      <c r="CS621" s="75"/>
      <c r="CT621" s="75"/>
      <c r="CU621" s="73"/>
      <c r="CV621" s="75"/>
      <c r="CW621" s="75"/>
      <c r="CX621" s="75"/>
      <c r="CY621" s="73"/>
      <c r="CZ621" s="75"/>
      <c r="DA621" s="75"/>
      <c r="DB621" s="75"/>
      <c r="DC621" s="73"/>
      <c r="DD621" s="75"/>
      <c r="DE621" s="75"/>
      <c r="DF621" s="75"/>
      <c r="DG621" s="73"/>
      <c r="DH621" s="75"/>
      <c r="DI621" s="75"/>
      <c r="DJ621" s="75"/>
      <c r="DK621" s="76"/>
    </row>
    <row r="622" spans="63:115" x14ac:dyDescent="0.25">
      <c r="BK622" s="75"/>
      <c r="BL622" s="75"/>
      <c r="BM622" s="75"/>
      <c r="BN622" s="73"/>
      <c r="BO622" s="75"/>
      <c r="BP622" s="75"/>
      <c r="BQ622" s="75"/>
      <c r="BR622" s="75"/>
      <c r="BS622" s="75"/>
      <c r="BT622" s="75"/>
      <c r="BU622" s="75"/>
      <c r="BV622" s="75"/>
      <c r="BW622" s="75"/>
      <c r="BX622" s="75"/>
      <c r="BY622" s="75"/>
      <c r="BZ622" s="75"/>
      <c r="CA622" s="73"/>
      <c r="CB622" s="75"/>
      <c r="CC622" s="75"/>
      <c r="CD622" s="75"/>
      <c r="CE622" s="73"/>
      <c r="CF622" s="75"/>
      <c r="CG622" s="75"/>
      <c r="CH622" s="75"/>
      <c r="CI622" s="73"/>
      <c r="CJ622" s="75"/>
      <c r="CK622" s="75"/>
      <c r="CL622" s="75"/>
      <c r="CM622" s="73"/>
      <c r="CN622" s="75"/>
      <c r="CO622" s="75"/>
      <c r="CP622" s="75"/>
      <c r="CQ622" s="73"/>
      <c r="CR622" s="75"/>
      <c r="CS622" s="75"/>
      <c r="CT622" s="75"/>
      <c r="CU622" s="73"/>
      <c r="CV622" s="75"/>
      <c r="CW622" s="75"/>
      <c r="CX622" s="75"/>
      <c r="CY622" s="73"/>
      <c r="CZ622" s="75"/>
      <c r="DA622" s="75"/>
      <c r="DB622" s="75"/>
      <c r="DC622" s="73"/>
      <c r="DD622" s="75"/>
      <c r="DE622" s="75"/>
      <c r="DF622" s="75"/>
      <c r="DG622" s="73"/>
      <c r="DH622" s="75"/>
      <c r="DI622" s="75"/>
      <c r="DJ622" s="75"/>
      <c r="DK622" s="76"/>
    </row>
    <row r="623" spans="63:115" x14ac:dyDescent="0.25">
      <c r="BK623" s="75"/>
      <c r="BL623" s="75"/>
      <c r="BM623" s="75"/>
      <c r="BN623" s="73"/>
      <c r="BO623" s="75"/>
      <c r="BP623" s="75"/>
      <c r="BQ623" s="75"/>
      <c r="BR623" s="75"/>
      <c r="BS623" s="75"/>
      <c r="BT623" s="75"/>
      <c r="BU623" s="75"/>
      <c r="BV623" s="75"/>
      <c r="BW623" s="75"/>
      <c r="BX623" s="75"/>
      <c r="BY623" s="75"/>
      <c r="BZ623" s="75"/>
      <c r="CA623" s="73"/>
      <c r="CB623" s="75"/>
      <c r="CC623" s="75"/>
      <c r="CD623" s="75"/>
      <c r="CE623" s="73"/>
      <c r="CF623" s="75"/>
      <c r="CG623" s="75"/>
      <c r="CH623" s="75"/>
      <c r="CI623" s="73"/>
      <c r="CJ623" s="75"/>
      <c r="CK623" s="75"/>
      <c r="CL623" s="75"/>
      <c r="CM623" s="73"/>
      <c r="CN623" s="75"/>
      <c r="CO623" s="75"/>
      <c r="CP623" s="75"/>
      <c r="CQ623" s="73"/>
      <c r="CR623" s="75"/>
      <c r="CS623" s="75"/>
      <c r="CT623" s="75"/>
      <c r="CU623" s="73"/>
      <c r="CV623" s="75"/>
      <c r="CW623" s="75"/>
      <c r="CX623" s="75"/>
      <c r="CY623" s="73"/>
      <c r="CZ623" s="75"/>
      <c r="DA623" s="75"/>
      <c r="DB623" s="75"/>
      <c r="DC623" s="73"/>
      <c r="DD623" s="75"/>
      <c r="DE623" s="75"/>
      <c r="DF623" s="75"/>
      <c r="DG623" s="73"/>
      <c r="DH623" s="75"/>
      <c r="DI623" s="75"/>
      <c r="DJ623" s="75"/>
      <c r="DK623" s="76"/>
    </row>
    <row r="624" spans="63:115" x14ac:dyDescent="0.25">
      <c r="BK624" s="75"/>
      <c r="BL624" s="75"/>
      <c r="BM624" s="75"/>
      <c r="BN624" s="73"/>
      <c r="BO624" s="75"/>
      <c r="BP624" s="75"/>
      <c r="BQ624" s="75"/>
      <c r="BR624" s="75"/>
      <c r="BS624" s="75"/>
      <c r="BT624" s="75"/>
      <c r="BU624" s="75"/>
      <c r="BV624" s="75"/>
      <c r="BW624" s="75"/>
      <c r="BX624" s="75"/>
      <c r="BY624" s="75"/>
      <c r="BZ624" s="75"/>
      <c r="CA624" s="73"/>
      <c r="CB624" s="75"/>
      <c r="CC624" s="75"/>
      <c r="CD624" s="75"/>
      <c r="CE624" s="73"/>
      <c r="CF624" s="75"/>
      <c r="CG624" s="75"/>
      <c r="CH624" s="75"/>
      <c r="CI624" s="73"/>
      <c r="CJ624" s="75"/>
      <c r="CK624" s="75"/>
      <c r="CL624" s="75"/>
      <c r="CM624" s="73"/>
      <c r="CN624" s="75"/>
      <c r="CO624" s="75"/>
      <c r="CP624" s="75"/>
      <c r="CQ624" s="73"/>
      <c r="CR624" s="75"/>
      <c r="CS624" s="75"/>
      <c r="CT624" s="75"/>
      <c r="CU624" s="73"/>
      <c r="CV624" s="75"/>
      <c r="CW624" s="75"/>
      <c r="CX624" s="75"/>
      <c r="CY624" s="73"/>
      <c r="CZ624" s="75"/>
      <c r="DA624" s="75"/>
      <c r="DB624" s="75"/>
      <c r="DC624" s="73"/>
      <c r="DD624" s="75"/>
      <c r="DE624" s="75"/>
      <c r="DF624" s="75"/>
      <c r="DG624" s="73"/>
      <c r="DH624" s="75"/>
      <c r="DI624" s="75"/>
      <c r="DJ624" s="75"/>
      <c r="DK624" s="76"/>
    </row>
    <row r="625" spans="63:115" x14ac:dyDescent="0.25">
      <c r="BK625" s="75"/>
      <c r="BL625" s="75"/>
      <c r="BM625" s="75"/>
      <c r="BN625" s="73"/>
      <c r="BO625" s="75"/>
      <c r="BP625" s="75"/>
      <c r="BQ625" s="75"/>
      <c r="BR625" s="75"/>
      <c r="BS625" s="75"/>
      <c r="BT625" s="75"/>
      <c r="BU625" s="75"/>
      <c r="BV625" s="75"/>
      <c r="BW625" s="75"/>
      <c r="BX625" s="75"/>
      <c r="BY625" s="75"/>
      <c r="BZ625" s="75"/>
      <c r="CA625" s="73"/>
      <c r="CB625" s="75"/>
      <c r="CC625" s="75"/>
      <c r="CD625" s="75"/>
      <c r="CE625" s="73"/>
      <c r="CF625" s="75"/>
      <c r="CG625" s="75"/>
      <c r="CH625" s="75"/>
      <c r="CI625" s="73"/>
      <c r="CJ625" s="75"/>
      <c r="CK625" s="75"/>
      <c r="CL625" s="75"/>
      <c r="CM625" s="73"/>
      <c r="CN625" s="75"/>
      <c r="CO625" s="75"/>
      <c r="CP625" s="75"/>
      <c r="CQ625" s="73"/>
      <c r="CR625" s="75"/>
      <c r="CS625" s="75"/>
      <c r="CT625" s="75"/>
      <c r="CU625" s="73"/>
      <c r="CV625" s="75"/>
      <c r="CW625" s="75"/>
      <c r="CX625" s="75"/>
      <c r="CY625" s="73"/>
      <c r="CZ625" s="75"/>
      <c r="DA625" s="75"/>
      <c r="DB625" s="75"/>
      <c r="DC625" s="73"/>
      <c r="DD625" s="75"/>
      <c r="DE625" s="75"/>
      <c r="DF625" s="75"/>
      <c r="DG625" s="73"/>
      <c r="DH625" s="75"/>
      <c r="DI625" s="75"/>
      <c r="DJ625" s="75"/>
      <c r="DK625" s="76"/>
    </row>
    <row r="626" spans="63:115" x14ac:dyDescent="0.25">
      <c r="BK626" s="75"/>
      <c r="BL626" s="75"/>
      <c r="BM626" s="75"/>
      <c r="BN626" s="73"/>
      <c r="BO626" s="75"/>
      <c r="BP626" s="75"/>
      <c r="BQ626" s="75"/>
      <c r="BR626" s="75"/>
      <c r="BS626" s="75"/>
      <c r="BT626" s="75"/>
      <c r="BU626" s="75"/>
      <c r="BV626" s="75"/>
      <c r="BW626" s="75"/>
      <c r="BX626" s="75"/>
      <c r="BY626" s="75"/>
      <c r="BZ626" s="75"/>
      <c r="CA626" s="73"/>
      <c r="CB626" s="75"/>
      <c r="CC626" s="75"/>
      <c r="CD626" s="75"/>
      <c r="CE626" s="73"/>
      <c r="CF626" s="75"/>
      <c r="CG626" s="75"/>
      <c r="CH626" s="75"/>
      <c r="CI626" s="73"/>
      <c r="CJ626" s="75"/>
      <c r="CK626" s="75"/>
      <c r="CL626" s="75"/>
      <c r="CM626" s="73"/>
      <c r="CN626" s="75"/>
      <c r="CO626" s="75"/>
      <c r="CP626" s="75"/>
      <c r="CQ626" s="73"/>
      <c r="CR626" s="75"/>
      <c r="CS626" s="75"/>
      <c r="CT626" s="75"/>
      <c r="CU626" s="73"/>
      <c r="CV626" s="75"/>
      <c r="CW626" s="75"/>
      <c r="CX626" s="75"/>
      <c r="CY626" s="73"/>
      <c r="CZ626" s="75"/>
      <c r="DA626" s="75"/>
      <c r="DB626" s="75"/>
      <c r="DC626" s="73"/>
      <c r="DD626" s="75"/>
      <c r="DE626" s="75"/>
      <c r="DF626" s="75"/>
      <c r="DG626" s="73"/>
      <c r="DH626" s="75"/>
      <c r="DI626" s="75"/>
      <c r="DJ626" s="75"/>
      <c r="DK626" s="76"/>
    </row>
    <row r="627" spans="63:115" x14ac:dyDescent="0.25">
      <c r="BK627" s="75"/>
      <c r="BL627" s="75"/>
      <c r="BM627" s="75"/>
      <c r="BN627" s="73"/>
      <c r="BO627" s="75"/>
      <c r="BP627" s="75"/>
      <c r="BQ627" s="75"/>
      <c r="BR627" s="75"/>
      <c r="BS627" s="75"/>
      <c r="BT627" s="75"/>
      <c r="BU627" s="75"/>
      <c r="BV627" s="75"/>
      <c r="BW627" s="75"/>
      <c r="BX627" s="75"/>
      <c r="BY627" s="75"/>
      <c r="BZ627" s="75"/>
      <c r="CA627" s="73"/>
      <c r="CB627" s="75"/>
      <c r="CC627" s="75"/>
      <c r="CD627" s="75"/>
      <c r="CE627" s="73"/>
      <c r="CF627" s="75"/>
      <c r="CG627" s="75"/>
      <c r="CH627" s="75"/>
      <c r="CI627" s="73"/>
      <c r="CJ627" s="75"/>
      <c r="CK627" s="75"/>
      <c r="CL627" s="75"/>
      <c r="CM627" s="73"/>
      <c r="CN627" s="75"/>
      <c r="CO627" s="75"/>
      <c r="CP627" s="75"/>
      <c r="CQ627" s="73"/>
      <c r="CR627" s="75"/>
      <c r="CS627" s="75"/>
      <c r="CT627" s="75"/>
      <c r="CU627" s="73"/>
      <c r="CV627" s="75"/>
      <c r="CW627" s="75"/>
      <c r="CX627" s="75"/>
      <c r="CY627" s="73"/>
      <c r="CZ627" s="75"/>
      <c r="DA627" s="75"/>
      <c r="DB627" s="75"/>
      <c r="DC627" s="73"/>
      <c r="DD627" s="75"/>
      <c r="DE627" s="75"/>
      <c r="DF627" s="75"/>
      <c r="DG627" s="73"/>
      <c r="DH627" s="75"/>
      <c r="DI627" s="75"/>
      <c r="DJ627" s="75"/>
      <c r="DK627" s="76"/>
    </row>
    <row r="628" spans="63:115" x14ac:dyDescent="0.25">
      <c r="BK628" s="75"/>
      <c r="BL628" s="75"/>
      <c r="BM628" s="75"/>
      <c r="BN628" s="73"/>
      <c r="BO628" s="75"/>
      <c r="BP628" s="75"/>
      <c r="BQ628" s="75"/>
      <c r="BR628" s="75"/>
      <c r="BS628" s="75"/>
      <c r="BT628" s="75"/>
      <c r="BU628" s="75"/>
      <c r="BV628" s="75"/>
      <c r="BW628" s="75"/>
      <c r="BX628" s="75"/>
      <c r="BY628" s="75"/>
      <c r="BZ628" s="75"/>
      <c r="CA628" s="73"/>
      <c r="CB628" s="75"/>
      <c r="CC628" s="75"/>
      <c r="CD628" s="75"/>
      <c r="CE628" s="73"/>
      <c r="CF628" s="75"/>
      <c r="CG628" s="75"/>
      <c r="CH628" s="75"/>
      <c r="CI628" s="73"/>
      <c r="CJ628" s="75"/>
      <c r="CK628" s="75"/>
      <c r="CL628" s="75"/>
      <c r="CM628" s="73"/>
      <c r="CN628" s="75"/>
      <c r="CO628" s="75"/>
      <c r="CP628" s="75"/>
      <c r="CQ628" s="73"/>
      <c r="CR628" s="75"/>
      <c r="CS628" s="75"/>
      <c r="CT628" s="75"/>
      <c r="CU628" s="73"/>
      <c r="CV628" s="75"/>
      <c r="CW628" s="75"/>
      <c r="CX628" s="75"/>
      <c r="CY628" s="73"/>
      <c r="CZ628" s="75"/>
      <c r="DA628" s="75"/>
      <c r="DB628" s="75"/>
      <c r="DC628" s="73"/>
      <c r="DD628" s="75"/>
      <c r="DE628" s="75"/>
      <c r="DF628" s="75"/>
      <c r="DG628" s="73"/>
      <c r="DH628" s="75"/>
      <c r="DI628" s="75"/>
      <c r="DJ628" s="75"/>
      <c r="DK628" s="76"/>
    </row>
    <row r="629" spans="63:115" x14ac:dyDescent="0.25">
      <c r="BK629" s="75"/>
      <c r="BL629" s="75"/>
      <c r="BM629" s="75"/>
      <c r="BN629" s="73"/>
      <c r="BO629" s="75"/>
      <c r="BP629" s="75"/>
      <c r="BQ629" s="75"/>
      <c r="BR629" s="75"/>
      <c r="BS629" s="75"/>
      <c r="BT629" s="75"/>
      <c r="BU629" s="75"/>
      <c r="BV629" s="75"/>
      <c r="BW629" s="75"/>
      <c r="BX629" s="75"/>
      <c r="BY629" s="75"/>
      <c r="BZ629" s="75"/>
      <c r="CA629" s="73"/>
      <c r="CB629" s="75"/>
      <c r="CC629" s="75"/>
      <c r="CD629" s="75"/>
      <c r="CE629" s="73"/>
      <c r="CF629" s="75"/>
      <c r="CG629" s="75"/>
      <c r="CH629" s="75"/>
      <c r="CI629" s="73"/>
      <c r="CJ629" s="75"/>
      <c r="CK629" s="75"/>
      <c r="CL629" s="75"/>
      <c r="CM629" s="73"/>
      <c r="CN629" s="75"/>
      <c r="CO629" s="75"/>
      <c r="CP629" s="75"/>
      <c r="CQ629" s="73"/>
      <c r="CR629" s="75"/>
      <c r="CS629" s="75"/>
      <c r="CT629" s="75"/>
      <c r="CU629" s="73"/>
      <c r="CV629" s="75"/>
      <c r="CW629" s="75"/>
      <c r="CX629" s="75"/>
      <c r="CY629" s="73"/>
      <c r="CZ629" s="75"/>
      <c r="DA629" s="75"/>
      <c r="DB629" s="75"/>
      <c r="DC629" s="73"/>
      <c r="DD629" s="75"/>
      <c r="DE629" s="75"/>
      <c r="DF629" s="75"/>
      <c r="DG629" s="73"/>
      <c r="DH629" s="75"/>
      <c r="DI629" s="75"/>
      <c r="DJ629" s="75"/>
      <c r="DK629" s="76"/>
    </row>
    <row r="630" spans="63:115" x14ac:dyDescent="0.25">
      <c r="BK630" s="75"/>
      <c r="BL630" s="75"/>
      <c r="BM630" s="75"/>
      <c r="BN630" s="73"/>
      <c r="BO630" s="75"/>
      <c r="BP630" s="75"/>
      <c r="BQ630" s="75"/>
      <c r="BR630" s="75"/>
      <c r="BS630" s="75"/>
      <c r="BT630" s="75"/>
      <c r="BU630" s="75"/>
      <c r="BV630" s="75"/>
      <c r="BW630" s="75"/>
      <c r="BX630" s="75"/>
      <c r="BY630" s="75"/>
      <c r="BZ630" s="75"/>
      <c r="CA630" s="73"/>
      <c r="CB630" s="75"/>
      <c r="CC630" s="75"/>
      <c r="CD630" s="75"/>
      <c r="CE630" s="73"/>
      <c r="CF630" s="75"/>
      <c r="CG630" s="75"/>
      <c r="CH630" s="75"/>
      <c r="CI630" s="73"/>
      <c r="CJ630" s="75"/>
      <c r="CK630" s="75"/>
      <c r="CL630" s="75"/>
      <c r="CM630" s="73"/>
      <c r="CN630" s="75"/>
      <c r="CO630" s="75"/>
      <c r="CP630" s="75"/>
      <c r="CQ630" s="73"/>
      <c r="CR630" s="75"/>
      <c r="CS630" s="75"/>
      <c r="CT630" s="75"/>
      <c r="CU630" s="73"/>
      <c r="CV630" s="75"/>
      <c r="CW630" s="75"/>
      <c r="CX630" s="75"/>
      <c r="CY630" s="73"/>
      <c r="CZ630" s="75"/>
      <c r="DA630" s="75"/>
      <c r="DB630" s="75"/>
      <c r="DC630" s="73"/>
      <c r="DD630" s="75"/>
      <c r="DE630" s="75"/>
      <c r="DF630" s="75"/>
      <c r="DG630" s="73"/>
      <c r="DH630" s="75"/>
      <c r="DI630" s="75"/>
      <c r="DJ630" s="75"/>
      <c r="DK630" s="76"/>
    </row>
    <row r="631" spans="63:115" x14ac:dyDescent="0.25">
      <c r="BK631" s="75"/>
      <c r="BL631" s="75"/>
      <c r="BM631" s="75"/>
      <c r="BN631" s="73"/>
      <c r="BO631" s="75"/>
      <c r="BP631" s="75"/>
      <c r="BQ631" s="75"/>
      <c r="BR631" s="75"/>
      <c r="BS631" s="75"/>
      <c r="BT631" s="75"/>
      <c r="BU631" s="75"/>
      <c r="BV631" s="75"/>
      <c r="BW631" s="75"/>
      <c r="BX631" s="75"/>
      <c r="BY631" s="75"/>
      <c r="BZ631" s="75"/>
      <c r="CA631" s="73"/>
      <c r="CB631" s="75"/>
      <c r="CC631" s="75"/>
      <c r="CD631" s="75"/>
      <c r="CE631" s="73"/>
      <c r="CF631" s="75"/>
      <c r="CG631" s="75"/>
      <c r="CH631" s="75"/>
      <c r="CI631" s="73"/>
      <c r="CJ631" s="75"/>
      <c r="CK631" s="75"/>
      <c r="CL631" s="75"/>
      <c r="CM631" s="73"/>
      <c r="CN631" s="75"/>
      <c r="CO631" s="75"/>
      <c r="CP631" s="75"/>
      <c r="CQ631" s="73"/>
      <c r="CR631" s="75"/>
      <c r="CS631" s="75"/>
      <c r="CT631" s="75"/>
      <c r="CU631" s="73"/>
      <c r="CV631" s="75"/>
      <c r="CW631" s="75"/>
      <c r="CX631" s="75"/>
      <c r="CY631" s="73"/>
      <c r="CZ631" s="75"/>
      <c r="DA631" s="75"/>
      <c r="DB631" s="75"/>
      <c r="DC631" s="73"/>
      <c r="DD631" s="75"/>
      <c r="DE631" s="75"/>
      <c r="DF631" s="75"/>
      <c r="DG631" s="73"/>
      <c r="DH631" s="75"/>
      <c r="DI631" s="75"/>
      <c r="DJ631" s="75"/>
      <c r="DK631" s="76"/>
    </row>
    <row r="632" spans="63:115" x14ac:dyDescent="0.25">
      <c r="BK632" s="75"/>
      <c r="BL632" s="75"/>
      <c r="BM632" s="75"/>
      <c r="BN632" s="73"/>
      <c r="BO632" s="75"/>
      <c r="BP632" s="75"/>
      <c r="BQ632" s="75"/>
      <c r="BR632" s="75"/>
      <c r="BS632" s="75"/>
      <c r="BT632" s="75"/>
      <c r="BU632" s="75"/>
      <c r="BV632" s="75"/>
      <c r="BW632" s="75"/>
      <c r="BX632" s="75"/>
      <c r="BY632" s="75"/>
      <c r="BZ632" s="75"/>
      <c r="CA632" s="73"/>
      <c r="CB632" s="75"/>
      <c r="CC632" s="75"/>
      <c r="CD632" s="75"/>
      <c r="CE632" s="73"/>
      <c r="CF632" s="75"/>
      <c r="CG632" s="75"/>
      <c r="CH632" s="75"/>
      <c r="CI632" s="73"/>
      <c r="CJ632" s="75"/>
      <c r="CK632" s="75"/>
      <c r="CL632" s="75"/>
      <c r="CM632" s="73"/>
      <c r="CN632" s="75"/>
      <c r="CO632" s="75"/>
      <c r="CP632" s="75"/>
      <c r="CQ632" s="73"/>
      <c r="CR632" s="75"/>
      <c r="CS632" s="75"/>
      <c r="CT632" s="75"/>
      <c r="CU632" s="73"/>
      <c r="CV632" s="75"/>
      <c r="CW632" s="75"/>
      <c r="CX632" s="75"/>
      <c r="CY632" s="73"/>
      <c r="CZ632" s="75"/>
      <c r="DA632" s="75"/>
      <c r="DB632" s="75"/>
      <c r="DC632" s="73"/>
      <c r="DD632" s="75"/>
      <c r="DE632" s="75"/>
      <c r="DF632" s="75"/>
      <c r="DG632" s="73"/>
      <c r="DH632" s="75"/>
      <c r="DI632" s="75"/>
      <c r="DJ632" s="75"/>
      <c r="DK632" s="76"/>
    </row>
    <row r="633" spans="63:115" x14ac:dyDescent="0.25">
      <c r="BK633" s="75"/>
      <c r="BL633" s="75"/>
      <c r="BM633" s="75"/>
      <c r="BN633" s="73"/>
      <c r="BO633" s="75"/>
      <c r="BP633" s="75"/>
      <c r="BQ633" s="75"/>
      <c r="BR633" s="75"/>
      <c r="BS633" s="75"/>
      <c r="BT633" s="75"/>
      <c r="BU633" s="75"/>
      <c r="BV633" s="75"/>
      <c r="BW633" s="75"/>
      <c r="BX633" s="75"/>
      <c r="BY633" s="75"/>
      <c r="BZ633" s="75"/>
      <c r="CA633" s="73"/>
      <c r="CB633" s="75"/>
      <c r="CC633" s="75"/>
      <c r="CD633" s="75"/>
      <c r="CE633" s="73"/>
      <c r="CF633" s="75"/>
      <c r="CG633" s="75"/>
      <c r="CH633" s="75"/>
      <c r="CI633" s="73"/>
      <c r="CJ633" s="75"/>
      <c r="CK633" s="75"/>
      <c r="CL633" s="75"/>
      <c r="CM633" s="73"/>
      <c r="CN633" s="75"/>
      <c r="CO633" s="75"/>
      <c r="CP633" s="75"/>
      <c r="CQ633" s="73"/>
      <c r="CR633" s="75"/>
      <c r="CS633" s="75"/>
      <c r="CT633" s="75"/>
      <c r="CU633" s="73"/>
      <c r="CV633" s="75"/>
      <c r="CW633" s="75"/>
      <c r="CX633" s="75"/>
      <c r="CY633" s="73"/>
      <c r="CZ633" s="75"/>
      <c r="DA633" s="75"/>
      <c r="DB633" s="75"/>
      <c r="DC633" s="73"/>
      <c r="DD633" s="75"/>
      <c r="DE633" s="75"/>
      <c r="DF633" s="75"/>
      <c r="DG633" s="73"/>
      <c r="DH633" s="75"/>
      <c r="DI633" s="75"/>
      <c r="DJ633" s="75"/>
      <c r="DK633" s="76"/>
    </row>
    <row r="634" spans="63:115" x14ac:dyDescent="0.25">
      <c r="BK634" s="75"/>
      <c r="BL634" s="75"/>
      <c r="BM634" s="75"/>
      <c r="BN634" s="73"/>
      <c r="BO634" s="75"/>
      <c r="BP634" s="75"/>
      <c r="BQ634" s="75"/>
      <c r="BR634" s="75"/>
      <c r="BS634" s="75"/>
      <c r="BT634" s="75"/>
      <c r="BU634" s="75"/>
      <c r="BV634" s="75"/>
      <c r="BW634" s="75"/>
      <c r="BX634" s="75"/>
      <c r="BY634" s="75"/>
      <c r="BZ634" s="75"/>
      <c r="CA634" s="73"/>
      <c r="CB634" s="75"/>
      <c r="CC634" s="75"/>
      <c r="CD634" s="75"/>
      <c r="CE634" s="73"/>
      <c r="CF634" s="75"/>
      <c r="CG634" s="75"/>
      <c r="CH634" s="75"/>
      <c r="CI634" s="73"/>
      <c r="CJ634" s="75"/>
      <c r="CK634" s="75"/>
      <c r="CL634" s="75"/>
      <c r="CM634" s="73"/>
      <c r="CN634" s="75"/>
      <c r="CO634" s="75"/>
      <c r="CP634" s="75"/>
      <c r="CQ634" s="73"/>
      <c r="CR634" s="75"/>
      <c r="CS634" s="75"/>
      <c r="CT634" s="75"/>
      <c r="CU634" s="73"/>
      <c r="CV634" s="75"/>
      <c r="CW634" s="75"/>
      <c r="CX634" s="75"/>
      <c r="CY634" s="73"/>
      <c r="CZ634" s="75"/>
      <c r="DA634" s="75"/>
      <c r="DB634" s="75"/>
      <c r="DC634" s="73"/>
      <c r="DD634" s="75"/>
      <c r="DE634" s="75"/>
      <c r="DF634" s="75"/>
      <c r="DG634" s="73"/>
      <c r="DH634" s="75"/>
      <c r="DI634" s="75"/>
      <c r="DJ634" s="75"/>
      <c r="DK634" s="76"/>
    </row>
    <row r="635" spans="63:115" x14ac:dyDescent="0.25">
      <c r="BK635" s="75"/>
      <c r="BL635" s="75"/>
      <c r="BM635" s="75"/>
      <c r="BN635" s="73"/>
      <c r="BO635" s="75"/>
      <c r="BP635" s="75"/>
      <c r="BQ635" s="75"/>
      <c r="BR635" s="75"/>
      <c r="BS635" s="75"/>
      <c r="BT635" s="75"/>
      <c r="BU635" s="75"/>
      <c r="BV635" s="75"/>
      <c r="BW635" s="75"/>
      <c r="BX635" s="75"/>
      <c r="BY635" s="75"/>
      <c r="BZ635" s="75"/>
      <c r="CA635" s="73"/>
      <c r="CB635" s="75"/>
      <c r="CC635" s="75"/>
      <c r="CD635" s="75"/>
      <c r="CE635" s="73"/>
      <c r="CF635" s="75"/>
      <c r="CG635" s="75"/>
      <c r="CH635" s="75"/>
      <c r="CI635" s="73"/>
      <c r="CJ635" s="75"/>
      <c r="CK635" s="75"/>
      <c r="CL635" s="75"/>
      <c r="CM635" s="73"/>
      <c r="CN635" s="75"/>
      <c r="CO635" s="75"/>
      <c r="CP635" s="75"/>
      <c r="CQ635" s="73"/>
      <c r="CR635" s="75"/>
      <c r="CS635" s="75"/>
      <c r="CT635" s="75"/>
      <c r="CU635" s="73"/>
      <c r="CV635" s="75"/>
      <c r="CW635" s="75"/>
      <c r="CX635" s="75"/>
      <c r="CY635" s="73"/>
      <c r="CZ635" s="75"/>
      <c r="DA635" s="75"/>
      <c r="DB635" s="75"/>
      <c r="DC635" s="73"/>
      <c r="DD635" s="75"/>
      <c r="DE635" s="75"/>
      <c r="DF635" s="75"/>
      <c r="DG635" s="73"/>
      <c r="DH635" s="75"/>
      <c r="DI635" s="75"/>
      <c r="DJ635" s="75"/>
      <c r="DK635" s="76"/>
    </row>
    <row r="636" spans="63:115" x14ac:dyDescent="0.25">
      <c r="BK636" s="75"/>
      <c r="BL636" s="75"/>
      <c r="BM636" s="75"/>
      <c r="BN636" s="73"/>
      <c r="BO636" s="75"/>
      <c r="BP636" s="75"/>
      <c r="BQ636" s="75"/>
      <c r="BR636" s="75"/>
      <c r="BS636" s="75"/>
      <c r="BT636" s="75"/>
      <c r="BU636" s="75"/>
      <c r="BV636" s="75"/>
      <c r="BW636" s="75"/>
      <c r="BX636" s="75"/>
      <c r="BY636" s="75"/>
      <c r="BZ636" s="75"/>
      <c r="CA636" s="73"/>
      <c r="CB636" s="75"/>
      <c r="CC636" s="75"/>
      <c r="CD636" s="75"/>
      <c r="CE636" s="73"/>
      <c r="CF636" s="75"/>
      <c r="CG636" s="75"/>
      <c r="CH636" s="75"/>
      <c r="CI636" s="73"/>
      <c r="CJ636" s="75"/>
      <c r="CK636" s="75"/>
      <c r="CL636" s="75"/>
      <c r="CM636" s="73"/>
      <c r="CN636" s="75"/>
      <c r="CO636" s="75"/>
      <c r="CP636" s="75"/>
      <c r="CQ636" s="73"/>
      <c r="CR636" s="75"/>
      <c r="CS636" s="75"/>
      <c r="CT636" s="75"/>
      <c r="CU636" s="73"/>
      <c r="CV636" s="75"/>
      <c r="CW636" s="75"/>
      <c r="CX636" s="75"/>
      <c r="CY636" s="73"/>
      <c r="CZ636" s="75"/>
      <c r="DA636" s="75"/>
      <c r="DB636" s="75"/>
      <c r="DC636" s="73"/>
      <c r="DD636" s="75"/>
      <c r="DE636" s="75"/>
      <c r="DF636" s="75"/>
      <c r="DG636" s="73"/>
      <c r="DH636" s="75"/>
      <c r="DI636" s="75"/>
      <c r="DJ636" s="75"/>
      <c r="DK636" s="76"/>
    </row>
    <row r="637" spans="63:115" x14ac:dyDescent="0.25">
      <c r="BK637" s="75"/>
      <c r="BL637" s="75"/>
      <c r="BM637" s="75"/>
      <c r="BN637" s="73"/>
      <c r="BO637" s="75"/>
      <c r="BP637" s="75"/>
      <c r="BQ637" s="75"/>
      <c r="BR637" s="75"/>
      <c r="BS637" s="75"/>
      <c r="BT637" s="75"/>
      <c r="BU637" s="75"/>
      <c r="BV637" s="75"/>
      <c r="BW637" s="75"/>
      <c r="BX637" s="75"/>
      <c r="BY637" s="75"/>
      <c r="BZ637" s="75"/>
      <c r="CA637" s="73"/>
      <c r="CB637" s="75"/>
      <c r="CC637" s="75"/>
      <c r="CD637" s="75"/>
      <c r="CE637" s="73"/>
      <c r="CF637" s="75"/>
      <c r="CG637" s="75"/>
      <c r="CH637" s="75"/>
      <c r="CI637" s="73"/>
      <c r="CJ637" s="75"/>
      <c r="CK637" s="75"/>
      <c r="CL637" s="75"/>
      <c r="CM637" s="73"/>
      <c r="CN637" s="75"/>
      <c r="CO637" s="75"/>
      <c r="CP637" s="75"/>
      <c r="CQ637" s="73"/>
      <c r="CR637" s="75"/>
      <c r="CS637" s="75"/>
      <c r="CT637" s="75"/>
      <c r="CU637" s="73"/>
      <c r="CV637" s="75"/>
      <c r="CW637" s="75"/>
      <c r="CX637" s="75"/>
      <c r="CY637" s="73"/>
      <c r="CZ637" s="75"/>
      <c r="DA637" s="75"/>
      <c r="DB637" s="75"/>
      <c r="DC637" s="73"/>
      <c r="DD637" s="75"/>
      <c r="DE637" s="75"/>
      <c r="DF637" s="75"/>
      <c r="DG637" s="73"/>
      <c r="DH637" s="75"/>
      <c r="DI637" s="75"/>
      <c r="DJ637" s="75"/>
      <c r="DK637" s="76"/>
    </row>
    <row r="638" spans="63:115" x14ac:dyDescent="0.25">
      <c r="BK638" s="75"/>
      <c r="BL638" s="75"/>
      <c r="BM638" s="75"/>
      <c r="BN638" s="73"/>
      <c r="BO638" s="75"/>
      <c r="BP638" s="75"/>
      <c r="BQ638" s="75"/>
      <c r="BR638" s="75"/>
      <c r="BS638" s="75"/>
      <c r="BT638" s="75"/>
      <c r="BU638" s="75"/>
      <c r="BV638" s="75"/>
      <c r="BW638" s="75"/>
      <c r="BX638" s="75"/>
      <c r="BY638" s="75"/>
      <c r="BZ638" s="75"/>
      <c r="CA638" s="73"/>
      <c r="CB638" s="75"/>
      <c r="CC638" s="75"/>
      <c r="CD638" s="75"/>
      <c r="CE638" s="73"/>
      <c r="CF638" s="75"/>
      <c r="CG638" s="75"/>
      <c r="CH638" s="75"/>
      <c r="CI638" s="73"/>
      <c r="CJ638" s="75"/>
      <c r="CK638" s="75"/>
      <c r="CL638" s="75"/>
      <c r="CM638" s="73"/>
      <c r="CN638" s="75"/>
      <c r="CO638" s="75"/>
      <c r="CP638" s="75"/>
      <c r="CQ638" s="73"/>
      <c r="CR638" s="75"/>
      <c r="CS638" s="75"/>
      <c r="CT638" s="75"/>
      <c r="CU638" s="73"/>
      <c r="CV638" s="75"/>
      <c r="CW638" s="75"/>
      <c r="CX638" s="75"/>
      <c r="CY638" s="73"/>
      <c r="CZ638" s="75"/>
      <c r="DA638" s="75"/>
      <c r="DB638" s="75"/>
      <c r="DC638" s="73"/>
      <c r="DD638" s="75"/>
      <c r="DE638" s="75"/>
      <c r="DF638" s="75"/>
      <c r="DG638" s="73"/>
      <c r="DH638" s="75"/>
      <c r="DI638" s="75"/>
      <c r="DJ638" s="75"/>
      <c r="DK638" s="76"/>
    </row>
    <row r="639" spans="63:115" x14ac:dyDescent="0.25">
      <c r="BK639" s="75"/>
      <c r="BL639" s="75"/>
      <c r="BM639" s="75"/>
      <c r="BN639" s="73"/>
      <c r="BO639" s="75"/>
      <c r="BP639" s="75"/>
      <c r="BQ639" s="75"/>
      <c r="BR639" s="75"/>
      <c r="BS639" s="75"/>
      <c r="BT639" s="75"/>
      <c r="BU639" s="75"/>
      <c r="BV639" s="75"/>
      <c r="BW639" s="75"/>
      <c r="BX639" s="75"/>
      <c r="BY639" s="75"/>
      <c r="BZ639" s="75"/>
      <c r="CA639" s="73"/>
      <c r="CB639" s="75"/>
      <c r="CC639" s="75"/>
      <c r="CD639" s="75"/>
      <c r="CE639" s="73"/>
      <c r="CF639" s="75"/>
      <c r="CG639" s="75"/>
      <c r="CH639" s="75"/>
      <c r="CI639" s="73"/>
      <c r="CJ639" s="75"/>
      <c r="CK639" s="75"/>
      <c r="CL639" s="75"/>
      <c r="CM639" s="73"/>
      <c r="CN639" s="75"/>
      <c r="CO639" s="75"/>
      <c r="CP639" s="75"/>
      <c r="CQ639" s="73"/>
      <c r="CR639" s="75"/>
      <c r="CS639" s="75"/>
      <c r="CT639" s="75"/>
      <c r="CU639" s="73"/>
      <c r="CV639" s="75"/>
      <c r="CW639" s="75"/>
      <c r="CX639" s="75"/>
      <c r="CY639" s="73"/>
      <c r="CZ639" s="75"/>
      <c r="DA639" s="75"/>
      <c r="DB639" s="75"/>
      <c r="DC639" s="73"/>
      <c r="DD639" s="75"/>
      <c r="DE639" s="75"/>
      <c r="DF639" s="75"/>
      <c r="DG639" s="73"/>
      <c r="DH639" s="75"/>
      <c r="DI639" s="75"/>
      <c r="DJ639" s="75"/>
      <c r="DK639" s="76"/>
    </row>
    <row r="640" spans="63:115" x14ac:dyDescent="0.25">
      <c r="BK640" s="75"/>
      <c r="BL640" s="75"/>
      <c r="BM640" s="75"/>
      <c r="BN640" s="73"/>
      <c r="BO640" s="75"/>
      <c r="BP640" s="75"/>
      <c r="BQ640" s="75"/>
      <c r="BR640" s="75"/>
      <c r="BS640" s="75"/>
      <c r="BT640" s="75"/>
      <c r="BU640" s="75"/>
      <c r="BV640" s="75"/>
      <c r="BW640" s="75"/>
      <c r="BX640" s="75"/>
      <c r="BY640" s="75"/>
      <c r="BZ640" s="75"/>
      <c r="CA640" s="73"/>
      <c r="CB640" s="75"/>
      <c r="CC640" s="75"/>
      <c r="CD640" s="75"/>
      <c r="CE640" s="73"/>
      <c r="CF640" s="75"/>
      <c r="CG640" s="75"/>
      <c r="CH640" s="75"/>
      <c r="CI640" s="73"/>
      <c r="CJ640" s="75"/>
      <c r="CK640" s="75"/>
      <c r="CL640" s="75"/>
      <c r="CM640" s="73"/>
      <c r="CN640" s="75"/>
      <c r="CO640" s="75"/>
      <c r="CP640" s="75"/>
      <c r="CQ640" s="73"/>
      <c r="CR640" s="75"/>
      <c r="CS640" s="75"/>
      <c r="CT640" s="75"/>
      <c r="CU640" s="73"/>
      <c r="CV640" s="75"/>
      <c r="CW640" s="75"/>
      <c r="CX640" s="75"/>
      <c r="CY640" s="73"/>
      <c r="CZ640" s="75"/>
      <c r="DA640" s="75"/>
      <c r="DB640" s="75"/>
      <c r="DC640" s="73"/>
      <c r="DD640" s="75"/>
      <c r="DE640" s="75"/>
      <c r="DF640" s="75"/>
      <c r="DG640" s="73"/>
      <c r="DH640" s="75"/>
      <c r="DI640" s="75"/>
      <c r="DJ640" s="75"/>
      <c r="DK640" s="76"/>
    </row>
    <row r="641" spans="63:115" x14ac:dyDescent="0.25">
      <c r="BK641" s="75"/>
      <c r="BL641" s="75"/>
      <c r="BM641" s="75"/>
      <c r="BN641" s="73"/>
      <c r="BO641" s="75"/>
      <c r="BP641" s="75"/>
      <c r="BQ641" s="75"/>
      <c r="BR641" s="75"/>
      <c r="BS641" s="75"/>
      <c r="BT641" s="75"/>
      <c r="BU641" s="75"/>
      <c r="BV641" s="75"/>
      <c r="BW641" s="75"/>
      <c r="BX641" s="75"/>
      <c r="BY641" s="75"/>
      <c r="BZ641" s="75"/>
      <c r="CA641" s="73"/>
      <c r="CB641" s="75"/>
      <c r="CC641" s="75"/>
      <c r="CD641" s="75"/>
      <c r="CE641" s="73"/>
      <c r="CF641" s="75"/>
      <c r="CG641" s="75"/>
      <c r="CH641" s="75"/>
      <c r="CI641" s="73"/>
      <c r="CJ641" s="75"/>
      <c r="CK641" s="75"/>
      <c r="CL641" s="75"/>
      <c r="CM641" s="73"/>
      <c r="CN641" s="75"/>
      <c r="CO641" s="75"/>
      <c r="CP641" s="75"/>
      <c r="CQ641" s="73"/>
      <c r="CR641" s="75"/>
      <c r="CS641" s="75"/>
      <c r="CT641" s="75"/>
      <c r="CU641" s="73"/>
      <c r="CV641" s="75"/>
      <c r="CW641" s="75"/>
      <c r="CX641" s="75"/>
      <c r="CY641" s="73"/>
      <c r="CZ641" s="75"/>
      <c r="DA641" s="75"/>
      <c r="DB641" s="75"/>
      <c r="DC641" s="73"/>
      <c r="DD641" s="75"/>
      <c r="DE641" s="75"/>
      <c r="DF641" s="75"/>
      <c r="DG641" s="73"/>
      <c r="DH641" s="75"/>
      <c r="DI641" s="75"/>
      <c r="DJ641" s="75"/>
      <c r="DK641" s="76"/>
    </row>
    <row r="642" spans="63:115" x14ac:dyDescent="0.25">
      <c r="BK642" s="75"/>
      <c r="BL642" s="75"/>
      <c r="BM642" s="75"/>
      <c r="BN642" s="73"/>
      <c r="BO642" s="75"/>
      <c r="BP642" s="75"/>
      <c r="BQ642" s="75"/>
      <c r="BR642" s="75"/>
      <c r="BS642" s="75"/>
      <c r="BT642" s="75"/>
      <c r="BU642" s="75"/>
      <c r="BV642" s="75"/>
      <c r="BW642" s="75"/>
      <c r="BX642" s="75"/>
      <c r="BY642" s="75"/>
      <c r="BZ642" s="75"/>
      <c r="CA642" s="73"/>
      <c r="CB642" s="75"/>
      <c r="CC642" s="75"/>
      <c r="CD642" s="75"/>
      <c r="CE642" s="73"/>
      <c r="CF642" s="75"/>
      <c r="CG642" s="75"/>
      <c r="CH642" s="75"/>
      <c r="CI642" s="73"/>
      <c r="CJ642" s="75"/>
      <c r="CK642" s="75"/>
      <c r="CL642" s="75"/>
      <c r="CM642" s="73"/>
      <c r="CN642" s="75"/>
      <c r="CO642" s="75"/>
      <c r="CP642" s="75"/>
      <c r="CQ642" s="73"/>
      <c r="CR642" s="75"/>
      <c r="CS642" s="75"/>
      <c r="CT642" s="75"/>
      <c r="CU642" s="73"/>
      <c r="CV642" s="75"/>
      <c r="CW642" s="75"/>
      <c r="CX642" s="75"/>
      <c r="CY642" s="73"/>
      <c r="CZ642" s="75"/>
      <c r="DA642" s="75"/>
      <c r="DB642" s="75"/>
      <c r="DC642" s="73"/>
      <c r="DD642" s="75"/>
      <c r="DE642" s="75"/>
      <c r="DF642" s="75"/>
      <c r="DG642" s="73"/>
      <c r="DH642" s="75"/>
      <c r="DI642" s="75"/>
      <c r="DJ642" s="75"/>
      <c r="DK642" s="76"/>
    </row>
    <row r="643" spans="63:115" x14ac:dyDescent="0.25">
      <c r="BK643" s="75"/>
      <c r="BL643" s="75"/>
      <c r="BM643" s="75"/>
      <c r="BN643" s="73"/>
      <c r="BO643" s="75"/>
      <c r="BP643" s="75"/>
      <c r="BQ643" s="75"/>
      <c r="BR643" s="75"/>
      <c r="BS643" s="75"/>
      <c r="BT643" s="75"/>
      <c r="BU643" s="75"/>
      <c r="BV643" s="75"/>
      <c r="BW643" s="75"/>
      <c r="BX643" s="75"/>
      <c r="BY643" s="75"/>
      <c r="BZ643" s="75"/>
      <c r="CA643" s="73"/>
      <c r="CB643" s="75"/>
      <c r="CC643" s="75"/>
      <c r="CD643" s="75"/>
      <c r="CE643" s="73"/>
      <c r="CF643" s="75"/>
      <c r="CG643" s="75"/>
      <c r="CH643" s="75"/>
      <c r="CI643" s="73"/>
      <c r="CJ643" s="75"/>
      <c r="CK643" s="75"/>
      <c r="CL643" s="75"/>
      <c r="CM643" s="73"/>
      <c r="CN643" s="75"/>
      <c r="CO643" s="75"/>
      <c r="CP643" s="75"/>
      <c r="CQ643" s="73"/>
      <c r="CR643" s="75"/>
      <c r="CS643" s="75"/>
      <c r="CT643" s="75"/>
      <c r="CU643" s="73"/>
      <c r="CV643" s="75"/>
      <c r="CW643" s="75"/>
      <c r="CX643" s="75"/>
      <c r="CY643" s="73"/>
      <c r="CZ643" s="75"/>
      <c r="DA643" s="75"/>
      <c r="DB643" s="75"/>
      <c r="DC643" s="73"/>
      <c r="DD643" s="75"/>
      <c r="DE643" s="75"/>
      <c r="DF643" s="75"/>
      <c r="DG643" s="73"/>
      <c r="DH643" s="75"/>
      <c r="DI643" s="75"/>
      <c r="DJ643" s="75"/>
      <c r="DK643" s="76"/>
    </row>
    <row r="644" spans="63:115" x14ac:dyDescent="0.25">
      <c r="BK644" s="75"/>
      <c r="BL644" s="75"/>
      <c r="BM644" s="75"/>
      <c r="BN644" s="73"/>
      <c r="BO644" s="75"/>
      <c r="BP644" s="75"/>
      <c r="BQ644" s="75"/>
      <c r="BR644" s="75"/>
      <c r="BS644" s="75"/>
      <c r="BT644" s="75"/>
      <c r="BU644" s="75"/>
      <c r="BV644" s="75"/>
      <c r="BW644" s="75"/>
      <c r="BX644" s="75"/>
      <c r="BY644" s="75"/>
      <c r="BZ644" s="75"/>
      <c r="CA644" s="73"/>
      <c r="CB644" s="75"/>
      <c r="CC644" s="75"/>
      <c r="CD644" s="75"/>
      <c r="CE644" s="73"/>
      <c r="CF644" s="75"/>
      <c r="CG644" s="75"/>
      <c r="CH644" s="75"/>
      <c r="CI644" s="73"/>
      <c r="CJ644" s="75"/>
      <c r="CK644" s="75"/>
      <c r="CL644" s="75"/>
      <c r="CM644" s="73"/>
      <c r="CN644" s="75"/>
      <c r="CO644" s="75"/>
      <c r="CP644" s="75"/>
      <c r="CQ644" s="73"/>
      <c r="CR644" s="75"/>
      <c r="CS644" s="75"/>
      <c r="CT644" s="75"/>
      <c r="CU644" s="73"/>
      <c r="CV644" s="75"/>
      <c r="CW644" s="75"/>
      <c r="CX644" s="75"/>
      <c r="CY644" s="73"/>
      <c r="CZ644" s="75"/>
      <c r="DA644" s="75"/>
      <c r="DB644" s="75"/>
      <c r="DC644" s="73"/>
      <c r="DD644" s="75"/>
      <c r="DE644" s="75"/>
      <c r="DF644" s="75"/>
      <c r="DG644" s="73"/>
      <c r="DH644" s="75"/>
      <c r="DI644" s="75"/>
      <c r="DJ644" s="75"/>
      <c r="DK644" s="76"/>
    </row>
    <row r="645" spans="63:115" x14ac:dyDescent="0.25">
      <c r="BK645" s="75"/>
      <c r="BL645" s="75"/>
      <c r="BM645" s="75"/>
      <c r="BN645" s="73"/>
      <c r="BO645" s="75"/>
      <c r="BP645" s="75"/>
      <c r="BQ645" s="75"/>
      <c r="BR645" s="75"/>
      <c r="BS645" s="75"/>
      <c r="BT645" s="75"/>
      <c r="BU645" s="75"/>
      <c r="BV645" s="75"/>
      <c r="BW645" s="75"/>
      <c r="BX645" s="75"/>
      <c r="BY645" s="75"/>
      <c r="BZ645" s="75"/>
      <c r="CA645" s="73"/>
      <c r="CB645" s="75"/>
      <c r="CC645" s="75"/>
      <c r="CD645" s="75"/>
      <c r="CE645" s="73"/>
      <c r="CF645" s="75"/>
      <c r="CG645" s="75"/>
      <c r="CH645" s="75"/>
      <c r="CI645" s="73"/>
      <c r="CJ645" s="75"/>
      <c r="CK645" s="75"/>
      <c r="CL645" s="75"/>
      <c r="CM645" s="73"/>
      <c r="CN645" s="75"/>
      <c r="CO645" s="75"/>
      <c r="CP645" s="75"/>
      <c r="CQ645" s="73"/>
      <c r="CR645" s="75"/>
      <c r="CS645" s="75"/>
      <c r="CT645" s="75"/>
      <c r="CU645" s="73"/>
      <c r="CV645" s="75"/>
      <c r="CW645" s="75"/>
      <c r="CX645" s="75"/>
      <c r="CY645" s="73"/>
      <c r="CZ645" s="75"/>
      <c r="DA645" s="75"/>
      <c r="DB645" s="75"/>
      <c r="DC645" s="73"/>
      <c r="DD645" s="75"/>
      <c r="DE645" s="75"/>
      <c r="DF645" s="75"/>
      <c r="DG645" s="73"/>
      <c r="DH645" s="75"/>
      <c r="DI645" s="75"/>
      <c r="DJ645" s="75"/>
      <c r="DK645" s="76"/>
    </row>
    <row r="646" spans="63:115" x14ac:dyDescent="0.25">
      <c r="BK646" s="75"/>
      <c r="BL646" s="75"/>
      <c r="BM646" s="75"/>
      <c r="BN646" s="73"/>
      <c r="BO646" s="75"/>
      <c r="BP646" s="75"/>
      <c r="BQ646" s="75"/>
      <c r="BR646" s="75"/>
      <c r="BS646" s="75"/>
      <c r="BT646" s="75"/>
      <c r="BU646" s="75"/>
      <c r="BV646" s="75"/>
      <c r="BW646" s="75"/>
      <c r="BX646" s="75"/>
      <c r="BY646" s="75"/>
      <c r="BZ646" s="75"/>
      <c r="CA646" s="73"/>
      <c r="CB646" s="75"/>
      <c r="CC646" s="75"/>
      <c r="CD646" s="75"/>
      <c r="CE646" s="73"/>
      <c r="CF646" s="75"/>
      <c r="CG646" s="75"/>
      <c r="CH646" s="75"/>
      <c r="CI646" s="73"/>
      <c r="CJ646" s="75"/>
      <c r="CK646" s="75"/>
      <c r="CL646" s="75"/>
      <c r="CM646" s="73"/>
      <c r="CN646" s="75"/>
      <c r="CO646" s="75"/>
      <c r="CP646" s="75"/>
      <c r="CQ646" s="73"/>
      <c r="CR646" s="75"/>
      <c r="CS646" s="75"/>
      <c r="CT646" s="75"/>
      <c r="CU646" s="73"/>
      <c r="CV646" s="75"/>
      <c r="CW646" s="75"/>
      <c r="CX646" s="75"/>
      <c r="CY646" s="73"/>
      <c r="CZ646" s="75"/>
      <c r="DA646" s="75"/>
      <c r="DB646" s="75"/>
      <c r="DC646" s="73"/>
      <c r="DD646" s="75"/>
      <c r="DE646" s="75"/>
      <c r="DF646" s="75"/>
      <c r="DG646" s="73"/>
      <c r="DH646" s="75"/>
      <c r="DI646" s="75"/>
      <c r="DJ646" s="75"/>
      <c r="DK646" s="76"/>
    </row>
    <row r="647" spans="63:115" x14ac:dyDescent="0.25">
      <c r="BK647" s="75"/>
      <c r="BL647" s="75"/>
      <c r="BM647" s="75"/>
      <c r="BN647" s="73"/>
      <c r="BO647" s="75"/>
      <c r="BP647" s="75"/>
      <c r="BQ647" s="75"/>
      <c r="BR647" s="75"/>
      <c r="BS647" s="75"/>
      <c r="BT647" s="75"/>
      <c r="BU647" s="75"/>
      <c r="BV647" s="75"/>
      <c r="BW647" s="75"/>
      <c r="BX647" s="75"/>
      <c r="BY647" s="75"/>
      <c r="BZ647" s="75"/>
      <c r="CA647" s="73"/>
      <c r="CB647" s="75"/>
      <c r="CC647" s="75"/>
      <c r="CD647" s="75"/>
      <c r="CE647" s="73"/>
      <c r="CF647" s="75"/>
      <c r="CG647" s="75"/>
      <c r="CH647" s="75"/>
      <c r="CI647" s="73"/>
      <c r="CJ647" s="75"/>
      <c r="CK647" s="75"/>
      <c r="CL647" s="75"/>
      <c r="CM647" s="73"/>
      <c r="CN647" s="75"/>
      <c r="CO647" s="75"/>
      <c r="CP647" s="75"/>
      <c r="CQ647" s="73"/>
      <c r="CR647" s="75"/>
      <c r="CS647" s="75"/>
      <c r="CT647" s="75"/>
      <c r="CU647" s="73"/>
      <c r="CV647" s="75"/>
      <c r="CW647" s="75"/>
      <c r="CX647" s="75"/>
      <c r="CY647" s="73"/>
      <c r="CZ647" s="75"/>
      <c r="DA647" s="75"/>
      <c r="DB647" s="75"/>
      <c r="DC647" s="73"/>
      <c r="DD647" s="75"/>
      <c r="DE647" s="75"/>
      <c r="DF647" s="75"/>
      <c r="DG647" s="73"/>
      <c r="DH647" s="75"/>
      <c r="DI647" s="75"/>
      <c r="DJ647" s="75"/>
      <c r="DK647" s="76"/>
    </row>
    <row r="648" spans="63:115" x14ac:dyDescent="0.25">
      <c r="BK648" s="75"/>
      <c r="BL648" s="75"/>
      <c r="BM648" s="75"/>
      <c r="BN648" s="73"/>
      <c r="BO648" s="75"/>
      <c r="BP648" s="75"/>
      <c r="BQ648" s="75"/>
      <c r="BR648" s="75"/>
      <c r="BS648" s="75"/>
      <c r="BT648" s="75"/>
      <c r="BU648" s="75"/>
      <c r="BV648" s="75"/>
      <c r="BW648" s="75"/>
      <c r="BX648" s="75"/>
      <c r="BY648" s="75"/>
      <c r="BZ648" s="75"/>
      <c r="CA648" s="73"/>
      <c r="CB648" s="75"/>
      <c r="CC648" s="75"/>
      <c r="CD648" s="75"/>
      <c r="CE648" s="73"/>
      <c r="CF648" s="75"/>
      <c r="CG648" s="75"/>
      <c r="CH648" s="75"/>
      <c r="CI648" s="73"/>
      <c r="CJ648" s="75"/>
      <c r="CK648" s="75"/>
      <c r="CL648" s="75"/>
      <c r="CM648" s="73"/>
      <c r="CN648" s="75"/>
      <c r="CO648" s="75"/>
      <c r="CP648" s="75"/>
      <c r="CQ648" s="73"/>
      <c r="CR648" s="75"/>
      <c r="CS648" s="75"/>
      <c r="CT648" s="75"/>
      <c r="CU648" s="73"/>
      <c r="CV648" s="75"/>
      <c r="CW648" s="75"/>
      <c r="CX648" s="75"/>
      <c r="CY648" s="73"/>
      <c r="CZ648" s="75"/>
      <c r="DA648" s="75"/>
      <c r="DB648" s="75"/>
      <c r="DC648" s="73"/>
      <c r="DD648" s="75"/>
      <c r="DE648" s="75"/>
      <c r="DF648" s="75"/>
      <c r="DG648" s="73"/>
      <c r="DH648" s="75"/>
      <c r="DI648" s="75"/>
      <c r="DJ648" s="75"/>
      <c r="DK648" s="76"/>
    </row>
    <row r="649" spans="63:115" x14ac:dyDescent="0.25">
      <c r="BK649" s="75"/>
      <c r="BL649" s="75"/>
      <c r="BM649" s="75"/>
      <c r="BN649" s="73"/>
      <c r="BO649" s="75"/>
      <c r="BP649" s="75"/>
      <c r="BQ649" s="75"/>
      <c r="BR649" s="75"/>
      <c r="BS649" s="75"/>
      <c r="BT649" s="75"/>
      <c r="BU649" s="75"/>
      <c r="BV649" s="75"/>
      <c r="BW649" s="75"/>
      <c r="BX649" s="75"/>
      <c r="BY649" s="75"/>
      <c r="BZ649" s="75"/>
      <c r="CA649" s="73"/>
      <c r="CB649" s="75"/>
      <c r="CC649" s="75"/>
      <c r="CD649" s="75"/>
      <c r="CE649" s="73"/>
      <c r="CF649" s="75"/>
      <c r="CG649" s="75"/>
      <c r="CH649" s="75"/>
      <c r="CI649" s="73"/>
      <c r="CJ649" s="75"/>
      <c r="CK649" s="75"/>
      <c r="CL649" s="75"/>
      <c r="CM649" s="73"/>
      <c r="CN649" s="75"/>
      <c r="CO649" s="75"/>
      <c r="CP649" s="75"/>
      <c r="CQ649" s="73"/>
      <c r="CR649" s="75"/>
      <c r="CS649" s="75"/>
      <c r="CT649" s="75"/>
      <c r="CU649" s="73"/>
      <c r="CV649" s="75"/>
      <c r="CW649" s="75"/>
      <c r="CX649" s="75"/>
      <c r="CY649" s="73"/>
      <c r="CZ649" s="75"/>
      <c r="DA649" s="75"/>
      <c r="DB649" s="75"/>
      <c r="DC649" s="73"/>
      <c r="DD649" s="75"/>
      <c r="DE649" s="75"/>
      <c r="DF649" s="75"/>
      <c r="DG649" s="73"/>
      <c r="DH649" s="75"/>
      <c r="DI649" s="75"/>
      <c r="DJ649" s="75"/>
      <c r="DK649" s="76"/>
    </row>
    <row r="650" spans="63:115" x14ac:dyDescent="0.25">
      <c r="BK650" s="75"/>
      <c r="BL650" s="75"/>
      <c r="BM650" s="75"/>
      <c r="BN650" s="73"/>
      <c r="BO650" s="75"/>
      <c r="BP650" s="75"/>
      <c r="BQ650" s="75"/>
      <c r="BR650" s="75"/>
      <c r="BS650" s="75"/>
      <c r="BT650" s="75"/>
      <c r="BU650" s="75"/>
      <c r="BV650" s="75"/>
      <c r="BW650" s="75"/>
      <c r="BX650" s="75"/>
      <c r="BY650" s="75"/>
      <c r="BZ650" s="75"/>
      <c r="CA650" s="73"/>
      <c r="CB650" s="75"/>
      <c r="CC650" s="75"/>
      <c r="CD650" s="75"/>
      <c r="CE650" s="73"/>
      <c r="CF650" s="75"/>
      <c r="CG650" s="75"/>
      <c r="CH650" s="75"/>
      <c r="CI650" s="73"/>
      <c r="CJ650" s="75"/>
      <c r="CK650" s="75"/>
      <c r="CL650" s="75"/>
      <c r="CM650" s="73"/>
      <c r="CN650" s="75"/>
      <c r="CO650" s="75"/>
      <c r="CP650" s="75"/>
      <c r="CQ650" s="73"/>
      <c r="CR650" s="75"/>
      <c r="CS650" s="75"/>
      <c r="CT650" s="75"/>
      <c r="CU650" s="73"/>
      <c r="CV650" s="75"/>
      <c r="CW650" s="75"/>
      <c r="CX650" s="75"/>
      <c r="CY650" s="73"/>
      <c r="CZ650" s="75"/>
      <c r="DA650" s="75"/>
      <c r="DB650" s="75"/>
      <c r="DC650" s="73"/>
      <c r="DD650" s="75"/>
      <c r="DE650" s="75"/>
      <c r="DF650" s="75"/>
      <c r="DG650" s="73"/>
      <c r="DH650" s="75"/>
      <c r="DI650" s="75"/>
      <c r="DJ650" s="75"/>
      <c r="DK650" s="76"/>
    </row>
    <row r="651" spans="63:115" x14ac:dyDescent="0.25">
      <c r="BK651" s="75"/>
      <c r="BL651" s="75"/>
      <c r="BM651" s="75"/>
      <c r="BN651" s="73"/>
      <c r="BO651" s="75"/>
      <c r="BP651" s="75"/>
      <c r="BQ651" s="75"/>
      <c r="BR651" s="75"/>
      <c r="BS651" s="75"/>
      <c r="BT651" s="75"/>
      <c r="BU651" s="75"/>
      <c r="BV651" s="75"/>
      <c r="BW651" s="75"/>
      <c r="BX651" s="75"/>
      <c r="BY651" s="75"/>
      <c r="BZ651" s="75"/>
      <c r="CA651" s="73"/>
      <c r="CB651" s="75"/>
      <c r="CC651" s="75"/>
      <c r="CD651" s="75"/>
      <c r="CE651" s="73"/>
      <c r="CF651" s="75"/>
      <c r="CG651" s="75"/>
      <c r="CH651" s="75"/>
      <c r="CI651" s="73"/>
      <c r="CJ651" s="75"/>
      <c r="CK651" s="75"/>
      <c r="CL651" s="75"/>
      <c r="CM651" s="73"/>
      <c r="CN651" s="75"/>
      <c r="CO651" s="75"/>
      <c r="CP651" s="75"/>
      <c r="CQ651" s="73"/>
      <c r="CR651" s="75"/>
      <c r="CS651" s="75"/>
      <c r="CT651" s="75"/>
      <c r="CU651" s="73"/>
      <c r="CV651" s="75"/>
      <c r="CW651" s="75"/>
      <c r="CX651" s="75"/>
      <c r="CY651" s="73"/>
      <c r="CZ651" s="75"/>
      <c r="DA651" s="75"/>
      <c r="DB651" s="75"/>
      <c r="DC651" s="73"/>
      <c r="DD651" s="75"/>
      <c r="DE651" s="75"/>
      <c r="DF651" s="75"/>
      <c r="DG651" s="73"/>
      <c r="DH651" s="75"/>
      <c r="DI651" s="75"/>
      <c r="DJ651" s="75"/>
      <c r="DK651" s="76"/>
    </row>
    <row r="652" spans="63:115" x14ac:dyDescent="0.25">
      <c r="BK652" s="75"/>
      <c r="BL652" s="75"/>
      <c r="BM652" s="75"/>
      <c r="BN652" s="73"/>
      <c r="BO652" s="75"/>
      <c r="BP652" s="75"/>
      <c r="BQ652" s="75"/>
      <c r="BR652" s="75"/>
      <c r="BS652" s="75"/>
      <c r="BT652" s="75"/>
      <c r="BU652" s="75"/>
      <c r="BV652" s="75"/>
      <c r="BW652" s="75"/>
      <c r="BX652" s="75"/>
      <c r="BY652" s="75"/>
      <c r="BZ652" s="75"/>
      <c r="CA652" s="73"/>
      <c r="CB652" s="75"/>
      <c r="CC652" s="75"/>
      <c r="CD652" s="75"/>
      <c r="CE652" s="73"/>
      <c r="CF652" s="75"/>
      <c r="CG652" s="75"/>
      <c r="CH652" s="75"/>
      <c r="CI652" s="73"/>
      <c r="CJ652" s="75"/>
      <c r="CK652" s="75"/>
      <c r="CL652" s="75"/>
      <c r="CM652" s="73"/>
      <c r="CN652" s="75"/>
      <c r="CO652" s="75"/>
      <c r="CP652" s="75"/>
      <c r="CQ652" s="73"/>
      <c r="CR652" s="75"/>
      <c r="CS652" s="75"/>
      <c r="CT652" s="75"/>
      <c r="CU652" s="73"/>
      <c r="CV652" s="75"/>
      <c r="CW652" s="75"/>
      <c r="CX652" s="75"/>
      <c r="CY652" s="73"/>
      <c r="CZ652" s="75"/>
      <c r="DA652" s="75"/>
      <c r="DB652" s="75"/>
      <c r="DC652" s="73"/>
      <c r="DD652" s="75"/>
      <c r="DE652" s="75"/>
      <c r="DF652" s="75"/>
      <c r="DG652" s="73"/>
      <c r="DH652" s="75"/>
      <c r="DI652" s="75"/>
      <c r="DJ652" s="75"/>
      <c r="DK652" s="76"/>
    </row>
    <row r="653" spans="63:115" x14ac:dyDescent="0.25">
      <c r="BK653" s="75"/>
      <c r="BL653" s="75"/>
      <c r="BM653" s="75"/>
      <c r="BN653" s="73"/>
      <c r="BO653" s="75"/>
      <c r="BP653" s="75"/>
      <c r="BQ653" s="75"/>
      <c r="BR653" s="75"/>
      <c r="BS653" s="75"/>
      <c r="BT653" s="75"/>
      <c r="BU653" s="75"/>
      <c r="BV653" s="75"/>
      <c r="BW653" s="75"/>
      <c r="BX653" s="75"/>
      <c r="BY653" s="75"/>
      <c r="BZ653" s="75"/>
      <c r="CA653" s="73"/>
      <c r="CB653" s="75"/>
      <c r="CC653" s="75"/>
      <c r="CD653" s="75"/>
      <c r="CE653" s="73"/>
      <c r="CF653" s="75"/>
      <c r="CG653" s="75"/>
      <c r="CH653" s="75"/>
      <c r="CI653" s="73"/>
      <c r="CJ653" s="75"/>
      <c r="CK653" s="75"/>
      <c r="CL653" s="75"/>
      <c r="CM653" s="73"/>
      <c r="CN653" s="75"/>
      <c r="CO653" s="75"/>
      <c r="CP653" s="75"/>
      <c r="CQ653" s="73"/>
      <c r="CR653" s="75"/>
      <c r="CS653" s="75"/>
      <c r="CT653" s="75"/>
      <c r="CU653" s="73"/>
      <c r="CV653" s="75"/>
      <c r="CW653" s="75"/>
      <c r="CX653" s="75"/>
      <c r="CY653" s="73"/>
      <c r="CZ653" s="75"/>
      <c r="DA653" s="75"/>
      <c r="DB653" s="75"/>
      <c r="DC653" s="73"/>
      <c r="DD653" s="75"/>
      <c r="DE653" s="75"/>
      <c r="DF653" s="75"/>
      <c r="DG653" s="73"/>
      <c r="DH653" s="75"/>
      <c r="DI653" s="75"/>
      <c r="DJ653" s="75"/>
      <c r="DK653" s="76"/>
    </row>
    <row r="654" spans="63:115" x14ac:dyDescent="0.25">
      <c r="BK654" s="75"/>
      <c r="BL654" s="75"/>
      <c r="BM654" s="75"/>
      <c r="BN654" s="73"/>
      <c r="BO654" s="75"/>
      <c r="BP654" s="75"/>
      <c r="BQ654" s="75"/>
      <c r="BR654" s="75"/>
      <c r="BS654" s="75"/>
      <c r="BT654" s="75"/>
      <c r="BU654" s="75"/>
      <c r="BV654" s="75"/>
      <c r="BW654" s="75"/>
      <c r="BX654" s="75"/>
      <c r="BY654" s="75"/>
      <c r="BZ654" s="75"/>
      <c r="CA654" s="73"/>
      <c r="CB654" s="75"/>
      <c r="CC654" s="75"/>
      <c r="CD654" s="75"/>
      <c r="CE654" s="73"/>
      <c r="CF654" s="75"/>
      <c r="CG654" s="75"/>
      <c r="CH654" s="75"/>
      <c r="CI654" s="73"/>
      <c r="CJ654" s="75"/>
      <c r="CK654" s="75"/>
      <c r="CL654" s="75"/>
      <c r="CM654" s="73"/>
      <c r="CN654" s="75"/>
      <c r="CO654" s="75"/>
      <c r="CP654" s="75"/>
      <c r="CQ654" s="73"/>
      <c r="CR654" s="75"/>
      <c r="CS654" s="75"/>
      <c r="CT654" s="75"/>
      <c r="CU654" s="73"/>
      <c r="CV654" s="75"/>
      <c r="CW654" s="75"/>
      <c r="CX654" s="75"/>
      <c r="CY654" s="73"/>
      <c r="CZ654" s="75"/>
      <c r="DA654" s="75"/>
      <c r="DB654" s="75"/>
      <c r="DC654" s="73"/>
      <c r="DD654" s="75"/>
      <c r="DE654" s="75"/>
      <c r="DF654" s="75"/>
      <c r="DG654" s="73"/>
      <c r="DH654" s="75"/>
      <c r="DI654" s="75"/>
      <c r="DJ654" s="75"/>
      <c r="DK654" s="76"/>
    </row>
    <row r="655" spans="63:115" x14ac:dyDescent="0.25">
      <c r="BK655" s="75"/>
      <c r="BL655" s="75"/>
      <c r="BM655" s="75"/>
      <c r="BN655" s="73"/>
      <c r="BO655" s="75"/>
      <c r="BP655" s="75"/>
      <c r="BQ655" s="75"/>
      <c r="BR655" s="75"/>
      <c r="BS655" s="75"/>
      <c r="BT655" s="75"/>
      <c r="BU655" s="75"/>
      <c r="BV655" s="75"/>
      <c r="BW655" s="75"/>
      <c r="BX655" s="75"/>
      <c r="BY655" s="75"/>
      <c r="BZ655" s="75"/>
      <c r="CA655" s="73"/>
      <c r="CB655" s="75"/>
      <c r="CC655" s="75"/>
      <c r="CD655" s="75"/>
      <c r="CE655" s="73"/>
      <c r="CF655" s="75"/>
      <c r="CG655" s="75"/>
      <c r="CH655" s="75"/>
      <c r="CI655" s="73"/>
      <c r="CJ655" s="75"/>
      <c r="CK655" s="75"/>
      <c r="CL655" s="75"/>
      <c r="CM655" s="73"/>
      <c r="CN655" s="75"/>
      <c r="CO655" s="75"/>
      <c r="CP655" s="75"/>
      <c r="CQ655" s="73"/>
      <c r="CR655" s="75"/>
      <c r="CS655" s="75"/>
      <c r="CT655" s="75"/>
      <c r="CU655" s="73"/>
      <c r="CV655" s="75"/>
      <c r="CW655" s="75"/>
      <c r="CX655" s="75"/>
      <c r="CY655" s="73"/>
      <c r="CZ655" s="75"/>
      <c r="DA655" s="75"/>
      <c r="DB655" s="75"/>
      <c r="DC655" s="73"/>
      <c r="DD655" s="75"/>
      <c r="DE655" s="75"/>
      <c r="DF655" s="75"/>
      <c r="DG655" s="73"/>
      <c r="DH655" s="75"/>
      <c r="DI655" s="75"/>
      <c r="DJ655" s="75"/>
      <c r="DK655" s="76"/>
    </row>
    <row r="656" spans="63:115" x14ac:dyDescent="0.25">
      <c r="BK656" s="75"/>
      <c r="BL656" s="75"/>
      <c r="BM656" s="75"/>
      <c r="BN656" s="73"/>
      <c r="BO656" s="75"/>
      <c r="BP656" s="75"/>
      <c r="BQ656" s="75"/>
      <c r="BR656" s="75"/>
      <c r="BS656" s="75"/>
      <c r="BT656" s="75"/>
      <c r="BU656" s="75"/>
      <c r="BV656" s="75"/>
      <c r="BW656" s="75"/>
      <c r="BX656" s="75"/>
      <c r="BY656" s="75"/>
      <c r="BZ656" s="75"/>
      <c r="CA656" s="73"/>
      <c r="CB656" s="75"/>
      <c r="CC656" s="75"/>
      <c r="CD656" s="75"/>
      <c r="CE656" s="73"/>
      <c r="CF656" s="75"/>
      <c r="CG656" s="75"/>
      <c r="CH656" s="75"/>
      <c r="CI656" s="73"/>
      <c r="CJ656" s="75"/>
      <c r="CK656" s="75"/>
      <c r="CL656" s="75"/>
      <c r="CM656" s="73"/>
      <c r="CN656" s="75"/>
      <c r="CO656" s="75"/>
      <c r="CP656" s="75"/>
      <c r="CQ656" s="73"/>
      <c r="CR656" s="75"/>
      <c r="CS656" s="75"/>
      <c r="CT656" s="75"/>
      <c r="CU656" s="73"/>
      <c r="CV656" s="75"/>
      <c r="CW656" s="75"/>
      <c r="CX656" s="75"/>
      <c r="CY656" s="73"/>
      <c r="CZ656" s="75"/>
      <c r="DA656" s="75"/>
      <c r="DB656" s="75"/>
      <c r="DC656" s="73"/>
      <c r="DD656" s="75"/>
      <c r="DE656" s="75"/>
      <c r="DF656" s="75"/>
      <c r="DG656" s="73"/>
      <c r="DH656" s="75"/>
      <c r="DI656" s="75"/>
      <c r="DJ656" s="75"/>
      <c r="DK656" s="76"/>
    </row>
    <row r="657" spans="63:115" x14ac:dyDescent="0.25">
      <c r="BK657" s="75"/>
      <c r="BL657" s="75"/>
      <c r="BM657" s="75"/>
      <c r="BN657" s="73"/>
      <c r="BO657" s="75"/>
      <c r="BP657" s="75"/>
      <c r="BQ657" s="75"/>
      <c r="BR657" s="75"/>
      <c r="BS657" s="75"/>
      <c r="BT657" s="75"/>
      <c r="BU657" s="75"/>
      <c r="BV657" s="75"/>
      <c r="BW657" s="75"/>
      <c r="BX657" s="75"/>
      <c r="BY657" s="75"/>
      <c r="BZ657" s="75"/>
      <c r="CA657" s="73"/>
      <c r="CB657" s="75"/>
      <c r="CC657" s="75"/>
      <c r="CD657" s="75"/>
      <c r="CE657" s="73"/>
      <c r="CF657" s="75"/>
      <c r="CG657" s="75"/>
      <c r="CH657" s="75"/>
      <c r="CI657" s="73"/>
      <c r="CJ657" s="75"/>
      <c r="CK657" s="75"/>
      <c r="CL657" s="75"/>
      <c r="CM657" s="73"/>
      <c r="CN657" s="75"/>
      <c r="CO657" s="75"/>
      <c r="CP657" s="75"/>
      <c r="CQ657" s="73"/>
      <c r="CR657" s="75"/>
      <c r="CS657" s="75"/>
      <c r="CT657" s="75"/>
      <c r="CU657" s="73"/>
      <c r="CV657" s="75"/>
      <c r="CW657" s="75"/>
      <c r="CX657" s="75"/>
      <c r="CY657" s="73"/>
      <c r="CZ657" s="75"/>
      <c r="DA657" s="75"/>
      <c r="DB657" s="75"/>
      <c r="DC657" s="73"/>
      <c r="DD657" s="75"/>
      <c r="DE657" s="75"/>
      <c r="DF657" s="75"/>
      <c r="DG657" s="73"/>
      <c r="DH657" s="75"/>
      <c r="DI657" s="75"/>
      <c r="DJ657" s="75"/>
      <c r="DK657" s="76"/>
    </row>
    <row r="658" spans="63:115" x14ac:dyDescent="0.25">
      <c r="BK658" s="75"/>
      <c r="BL658" s="75"/>
      <c r="BM658" s="75"/>
      <c r="BN658" s="73"/>
      <c r="BO658" s="75"/>
      <c r="BP658" s="75"/>
      <c r="BQ658" s="75"/>
      <c r="BR658" s="75"/>
      <c r="BS658" s="75"/>
      <c r="BT658" s="75"/>
      <c r="BU658" s="75"/>
      <c r="BV658" s="75"/>
      <c r="BW658" s="75"/>
      <c r="BX658" s="75"/>
      <c r="BY658" s="75"/>
      <c r="BZ658" s="75"/>
      <c r="CA658" s="73"/>
      <c r="CB658" s="75"/>
      <c r="CC658" s="75"/>
      <c r="CD658" s="75"/>
      <c r="CE658" s="73"/>
      <c r="CF658" s="75"/>
      <c r="CG658" s="75"/>
      <c r="CH658" s="75"/>
      <c r="CI658" s="73"/>
      <c r="CJ658" s="75"/>
      <c r="CK658" s="75"/>
      <c r="CL658" s="75"/>
      <c r="CM658" s="73"/>
      <c r="CN658" s="75"/>
      <c r="CO658" s="75"/>
      <c r="CP658" s="75"/>
      <c r="CQ658" s="73"/>
      <c r="CR658" s="75"/>
      <c r="CS658" s="75"/>
      <c r="CT658" s="75"/>
      <c r="CU658" s="73"/>
      <c r="CV658" s="75"/>
      <c r="CW658" s="75"/>
      <c r="CX658" s="75"/>
      <c r="CY658" s="73"/>
      <c r="CZ658" s="75"/>
      <c r="DA658" s="75"/>
      <c r="DB658" s="75"/>
      <c r="DC658" s="73"/>
      <c r="DD658" s="75"/>
      <c r="DE658" s="75"/>
      <c r="DF658" s="75"/>
      <c r="DG658" s="73"/>
      <c r="DH658" s="75"/>
      <c r="DI658" s="75"/>
      <c r="DJ658" s="75"/>
      <c r="DK658" s="76"/>
    </row>
    <row r="659" spans="63:115" x14ac:dyDescent="0.25">
      <c r="BK659" s="75"/>
      <c r="BL659" s="75"/>
      <c r="BM659" s="75"/>
      <c r="BN659" s="73"/>
      <c r="BO659" s="75"/>
      <c r="BP659" s="75"/>
      <c r="BQ659" s="75"/>
      <c r="BR659" s="75"/>
      <c r="BS659" s="75"/>
      <c r="BT659" s="75"/>
      <c r="BU659" s="75"/>
      <c r="BV659" s="75"/>
      <c r="BW659" s="75"/>
      <c r="BX659" s="75"/>
      <c r="BY659" s="75"/>
      <c r="BZ659" s="75"/>
      <c r="CA659" s="73"/>
      <c r="CB659" s="75"/>
      <c r="CC659" s="75"/>
      <c r="CD659" s="75"/>
      <c r="CE659" s="73"/>
      <c r="CF659" s="75"/>
      <c r="CG659" s="75"/>
      <c r="CH659" s="75"/>
      <c r="CI659" s="73"/>
      <c r="CJ659" s="75"/>
      <c r="CK659" s="75"/>
      <c r="CL659" s="75"/>
      <c r="CM659" s="73"/>
      <c r="CN659" s="75"/>
      <c r="CO659" s="75"/>
      <c r="CP659" s="75"/>
      <c r="CQ659" s="73"/>
      <c r="CR659" s="75"/>
      <c r="CS659" s="75"/>
      <c r="CT659" s="75"/>
      <c r="CU659" s="73"/>
      <c r="CV659" s="75"/>
      <c r="CW659" s="75"/>
      <c r="CX659" s="75"/>
      <c r="CY659" s="73"/>
      <c r="CZ659" s="75"/>
      <c r="DA659" s="75"/>
      <c r="DB659" s="75"/>
      <c r="DC659" s="73"/>
      <c r="DD659" s="75"/>
      <c r="DE659" s="75"/>
      <c r="DF659" s="75"/>
      <c r="DG659" s="73"/>
      <c r="DH659" s="75"/>
      <c r="DI659" s="75"/>
      <c r="DJ659" s="75"/>
      <c r="DK659" s="76"/>
    </row>
    <row r="660" spans="63:115" x14ac:dyDescent="0.25">
      <c r="BK660" s="75"/>
      <c r="BL660" s="75"/>
      <c r="BM660" s="75"/>
      <c r="BN660" s="73"/>
      <c r="BO660" s="75"/>
      <c r="BP660" s="75"/>
      <c r="BQ660" s="75"/>
      <c r="BR660" s="75"/>
      <c r="BS660" s="75"/>
      <c r="BT660" s="75"/>
      <c r="BU660" s="75"/>
      <c r="BV660" s="75"/>
      <c r="BW660" s="75"/>
      <c r="BX660" s="75"/>
      <c r="BY660" s="75"/>
      <c r="BZ660" s="75"/>
      <c r="CA660" s="73"/>
      <c r="CB660" s="75"/>
      <c r="CC660" s="75"/>
      <c r="CD660" s="75"/>
      <c r="CE660" s="73"/>
      <c r="CF660" s="75"/>
      <c r="CG660" s="75"/>
      <c r="CH660" s="75"/>
      <c r="CI660" s="73"/>
      <c r="CJ660" s="75"/>
      <c r="CK660" s="75"/>
      <c r="CL660" s="75"/>
      <c r="CM660" s="73"/>
      <c r="CN660" s="75"/>
      <c r="CO660" s="75"/>
      <c r="CP660" s="75"/>
      <c r="CQ660" s="73"/>
      <c r="CR660" s="75"/>
      <c r="CS660" s="75"/>
      <c r="CT660" s="75"/>
      <c r="CU660" s="73"/>
      <c r="CV660" s="75"/>
      <c r="CW660" s="75"/>
      <c r="CX660" s="75"/>
      <c r="CY660" s="73"/>
      <c r="CZ660" s="75"/>
      <c r="DA660" s="75"/>
      <c r="DB660" s="75"/>
      <c r="DC660" s="73"/>
      <c r="DD660" s="75"/>
      <c r="DE660" s="75"/>
      <c r="DF660" s="75"/>
      <c r="DG660" s="73"/>
      <c r="DH660" s="75"/>
      <c r="DI660" s="75"/>
      <c r="DJ660" s="75"/>
      <c r="DK660" s="76"/>
    </row>
    <row r="661" spans="63:115" x14ac:dyDescent="0.25">
      <c r="BK661" s="75"/>
      <c r="BL661" s="75"/>
      <c r="BM661" s="75"/>
      <c r="BN661" s="73"/>
      <c r="BO661" s="75"/>
      <c r="BP661" s="75"/>
      <c r="BQ661" s="75"/>
      <c r="BR661" s="75"/>
      <c r="BS661" s="75"/>
      <c r="BT661" s="75"/>
      <c r="BU661" s="75"/>
      <c r="BV661" s="75"/>
      <c r="BW661" s="75"/>
      <c r="BX661" s="75"/>
      <c r="BY661" s="75"/>
      <c r="BZ661" s="75"/>
      <c r="CA661" s="73"/>
      <c r="CB661" s="75"/>
      <c r="CC661" s="75"/>
      <c r="CD661" s="75"/>
      <c r="CE661" s="73"/>
      <c r="CF661" s="75"/>
      <c r="CG661" s="75"/>
      <c r="CH661" s="75"/>
      <c r="CI661" s="73"/>
      <c r="CJ661" s="75"/>
      <c r="CK661" s="75"/>
      <c r="CL661" s="75"/>
      <c r="CM661" s="73"/>
      <c r="CN661" s="75"/>
      <c r="CO661" s="75"/>
      <c r="CP661" s="75"/>
      <c r="CQ661" s="73"/>
      <c r="CR661" s="75"/>
      <c r="CS661" s="75"/>
      <c r="CT661" s="75"/>
      <c r="CU661" s="73"/>
      <c r="CV661" s="75"/>
      <c r="CW661" s="75"/>
      <c r="CX661" s="75"/>
      <c r="CY661" s="73"/>
      <c r="CZ661" s="75"/>
      <c r="DA661" s="75"/>
      <c r="DB661" s="75"/>
      <c r="DC661" s="73"/>
      <c r="DD661" s="75"/>
      <c r="DE661" s="75"/>
      <c r="DF661" s="75"/>
      <c r="DG661" s="73"/>
      <c r="DH661" s="75"/>
      <c r="DI661" s="75"/>
      <c r="DJ661" s="75"/>
      <c r="DK661" s="76"/>
    </row>
    <row r="662" spans="63:115" x14ac:dyDescent="0.25">
      <c r="BK662" s="75"/>
      <c r="BL662" s="75"/>
      <c r="BM662" s="75"/>
      <c r="BN662" s="73"/>
      <c r="BO662" s="75"/>
      <c r="BP662" s="75"/>
      <c r="BQ662" s="75"/>
      <c r="BR662" s="75"/>
      <c r="BS662" s="75"/>
      <c r="BT662" s="75"/>
      <c r="BU662" s="75"/>
      <c r="BV662" s="75"/>
      <c r="BW662" s="75"/>
      <c r="BX662" s="75"/>
      <c r="BY662" s="75"/>
      <c r="BZ662" s="75"/>
      <c r="CA662" s="73"/>
      <c r="CB662" s="75"/>
      <c r="CC662" s="75"/>
      <c r="CD662" s="75"/>
      <c r="CE662" s="73"/>
      <c r="CF662" s="75"/>
      <c r="CG662" s="75"/>
      <c r="CH662" s="75"/>
      <c r="CI662" s="73"/>
      <c r="CJ662" s="75"/>
      <c r="CK662" s="75"/>
      <c r="CL662" s="75"/>
      <c r="CM662" s="73"/>
      <c r="CN662" s="75"/>
      <c r="CO662" s="75"/>
      <c r="CP662" s="75"/>
      <c r="CQ662" s="73"/>
      <c r="CR662" s="75"/>
      <c r="CS662" s="75"/>
      <c r="CT662" s="75"/>
      <c r="CU662" s="73"/>
      <c r="CV662" s="75"/>
      <c r="CW662" s="75"/>
      <c r="CX662" s="75"/>
      <c r="CY662" s="73"/>
      <c r="CZ662" s="75"/>
      <c r="DA662" s="75"/>
      <c r="DB662" s="75"/>
      <c r="DC662" s="73"/>
      <c r="DD662" s="75"/>
      <c r="DE662" s="75"/>
      <c r="DF662" s="75"/>
      <c r="DG662" s="73"/>
      <c r="DH662" s="75"/>
      <c r="DI662" s="75"/>
      <c r="DJ662" s="75"/>
      <c r="DK662" s="76"/>
    </row>
    <row r="663" spans="63:115" x14ac:dyDescent="0.25">
      <c r="BK663" s="75"/>
      <c r="BL663" s="75"/>
      <c r="BM663" s="75"/>
      <c r="BN663" s="73"/>
      <c r="BO663" s="75"/>
      <c r="BP663" s="75"/>
      <c r="BQ663" s="75"/>
      <c r="BR663" s="75"/>
      <c r="BS663" s="75"/>
      <c r="BT663" s="75"/>
      <c r="BU663" s="75"/>
      <c r="BV663" s="75"/>
      <c r="BW663" s="75"/>
      <c r="BX663" s="75"/>
      <c r="BY663" s="75"/>
      <c r="BZ663" s="75"/>
      <c r="CA663" s="73"/>
      <c r="CB663" s="75"/>
      <c r="CC663" s="75"/>
      <c r="CD663" s="75"/>
      <c r="CE663" s="73"/>
      <c r="CF663" s="75"/>
      <c r="CG663" s="75"/>
      <c r="CH663" s="75"/>
      <c r="CI663" s="73"/>
      <c r="CJ663" s="75"/>
      <c r="CK663" s="75"/>
      <c r="CL663" s="75"/>
      <c r="CM663" s="73"/>
      <c r="CN663" s="75"/>
      <c r="CO663" s="75"/>
      <c r="CP663" s="75"/>
      <c r="CQ663" s="73"/>
      <c r="CR663" s="75"/>
      <c r="CS663" s="75"/>
      <c r="CT663" s="75"/>
      <c r="CU663" s="73"/>
      <c r="CV663" s="75"/>
      <c r="CW663" s="75"/>
      <c r="CX663" s="75"/>
      <c r="CY663" s="73"/>
      <c r="CZ663" s="75"/>
      <c r="DA663" s="75"/>
      <c r="DB663" s="75"/>
      <c r="DC663" s="73"/>
      <c r="DD663" s="75"/>
      <c r="DE663" s="75"/>
      <c r="DF663" s="75"/>
      <c r="DG663" s="73"/>
      <c r="DH663" s="75"/>
      <c r="DI663" s="75"/>
      <c r="DJ663" s="75"/>
      <c r="DK663" s="76"/>
    </row>
    <row r="664" spans="63:115" x14ac:dyDescent="0.25">
      <c r="BK664" s="75"/>
      <c r="BL664" s="75"/>
      <c r="BM664" s="75"/>
      <c r="BN664" s="73"/>
      <c r="BO664" s="75"/>
      <c r="BP664" s="75"/>
      <c r="BQ664" s="75"/>
      <c r="BR664" s="75"/>
      <c r="BS664" s="75"/>
      <c r="BT664" s="75"/>
      <c r="BU664" s="75"/>
      <c r="BV664" s="75"/>
      <c r="BW664" s="75"/>
      <c r="BX664" s="75"/>
      <c r="BY664" s="75"/>
      <c r="BZ664" s="75"/>
      <c r="CA664" s="73"/>
      <c r="CB664" s="75"/>
      <c r="CC664" s="75"/>
      <c r="CD664" s="75"/>
      <c r="CE664" s="73"/>
      <c r="CF664" s="75"/>
      <c r="CG664" s="75"/>
      <c r="CH664" s="75"/>
      <c r="CI664" s="73"/>
      <c r="CJ664" s="75"/>
      <c r="CK664" s="75"/>
      <c r="CL664" s="75"/>
      <c r="CM664" s="73"/>
      <c r="CN664" s="75"/>
      <c r="CO664" s="75"/>
      <c r="CP664" s="75"/>
      <c r="CQ664" s="73"/>
      <c r="CR664" s="75"/>
      <c r="CS664" s="75"/>
      <c r="CT664" s="75"/>
      <c r="CU664" s="73"/>
      <c r="CV664" s="75"/>
      <c r="CW664" s="75"/>
      <c r="CX664" s="75"/>
      <c r="CY664" s="73"/>
      <c r="CZ664" s="75"/>
      <c r="DA664" s="75"/>
      <c r="DB664" s="75"/>
      <c r="DC664" s="73"/>
      <c r="DD664" s="75"/>
      <c r="DE664" s="75"/>
      <c r="DF664" s="75"/>
      <c r="DG664" s="73"/>
      <c r="DH664" s="75"/>
      <c r="DI664" s="75"/>
      <c r="DJ664" s="75"/>
      <c r="DK664" s="76"/>
    </row>
    <row r="665" spans="63:115" x14ac:dyDescent="0.25">
      <c r="BK665" s="75"/>
      <c r="BL665" s="75"/>
      <c r="BM665" s="75"/>
      <c r="BN665" s="73"/>
      <c r="BO665" s="75"/>
      <c r="BP665" s="75"/>
      <c r="BQ665" s="75"/>
      <c r="BR665" s="75"/>
      <c r="BS665" s="75"/>
      <c r="BT665" s="75"/>
      <c r="BU665" s="75"/>
      <c r="BV665" s="75"/>
      <c r="BW665" s="75"/>
      <c r="BX665" s="75"/>
      <c r="BY665" s="75"/>
      <c r="BZ665" s="75"/>
      <c r="CA665" s="73"/>
      <c r="CB665" s="75"/>
      <c r="CC665" s="75"/>
      <c r="CD665" s="75"/>
      <c r="CE665" s="73"/>
      <c r="CF665" s="75"/>
      <c r="CG665" s="75"/>
      <c r="CH665" s="75"/>
      <c r="CI665" s="73"/>
      <c r="CJ665" s="75"/>
      <c r="CK665" s="75"/>
      <c r="CL665" s="75"/>
      <c r="CM665" s="73"/>
      <c r="CN665" s="75"/>
      <c r="CO665" s="75"/>
      <c r="CP665" s="75"/>
      <c r="CQ665" s="73"/>
      <c r="CR665" s="75"/>
      <c r="CS665" s="75"/>
      <c r="CT665" s="75"/>
      <c r="CU665" s="73"/>
      <c r="CV665" s="75"/>
      <c r="CW665" s="75"/>
      <c r="CX665" s="75"/>
      <c r="CY665" s="73"/>
      <c r="CZ665" s="75"/>
      <c r="DA665" s="75"/>
      <c r="DB665" s="75"/>
      <c r="DC665" s="73"/>
      <c r="DD665" s="75"/>
      <c r="DE665" s="75"/>
      <c r="DF665" s="75"/>
      <c r="DG665" s="73"/>
      <c r="DH665" s="75"/>
      <c r="DI665" s="75"/>
      <c r="DJ665" s="75"/>
      <c r="DK665" s="76"/>
    </row>
    <row r="666" spans="63:115" x14ac:dyDescent="0.25">
      <c r="BK666" s="75"/>
      <c r="BL666" s="75"/>
      <c r="BM666" s="75"/>
      <c r="BN666" s="73"/>
      <c r="BO666" s="75"/>
      <c r="BP666" s="75"/>
      <c r="BQ666" s="75"/>
      <c r="BR666" s="75"/>
      <c r="BS666" s="75"/>
      <c r="BT666" s="75"/>
      <c r="BU666" s="75"/>
      <c r="BV666" s="75"/>
      <c r="BW666" s="75"/>
      <c r="BX666" s="75"/>
      <c r="BY666" s="75"/>
      <c r="BZ666" s="75"/>
      <c r="CA666" s="73"/>
      <c r="CB666" s="75"/>
      <c r="CC666" s="75"/>
      <c r="CD666" s="75"/>
      <c r="CE666" s="73"/>
      <c r="CF666" s="75"/>
      <c r="CG666" s="75"/>
      <c r="CH666" s="75"/>
      <c r="CI666" s="73"/>
      <c r="CJ666" s="75"/>
      <c r="CK666" s="75"/>
      <c r="CL666" s="75"/>
      <c r="CM666" s="73"/>
      <c r="CN666" s="75"/>
      <c r="CO666" s="75"/>
      <c r="CP666" s="75"/>
      <c r="CQ666" s="73"/>
      <c r="CR666" s="75"/>
      <c r="CS666" s="75"/>
      <c r="CT666" s="75"/>
      <c r="CU666" s="73"/>
      <c r="CV666" s="75"/>
      <c r="CW666" s="75"/>
      <c r="CX666" s="75"/>
      <c r="CY666" s="73"/>
      <c r="CZ666" s="75"/>
      <c r="DA666" s="75"/>
      <c r="DB666" s="75"/>
      <c r="DC666" s="73"/>
      <c r="DD666" s="75"/>
      <c r="DE666" s="75"/>
      <c r="DF666" s="75"/>
      <c r="DG666" s="73"/>
      <c r="DH666" s="75"/>
      <c r="DI666" s="75"/>
      <c r="DJ666" s="75"/>
      <c r="DK666" s="76"/>
    </row>
    <row r="667" spans="63:115" x14ac:dyDescent="0.25">
      <c r="BK667" s="75"/>
      <c r="BL667" s="75"/>
      <c r="BM667" s="75"/>
      <c r="BN667" s="73"/>
      <c r="BO667" s="75"/>
      <c r="BP667" s="75"/>
      <c r="BQ667" s="75"/>
      <c r="BR667" s="75"/>
      <c r="BS667" s="75"/>
      <c r="BT667" s="75"/>
      <c r="BU667" s="75"/>
      <c r="BV667" s="75"/>
      <c r="BW667" s="75"/>
      <c r="BX667" s="75"/>
      <c r="BY667" s="75"/>
      <c r="BZ667" s="75"/>
      <c r="CA667" s="73"/>
      <c r="CB667" s="75"/>
      <c r="CC667" s="75"/>
      <c r="CD667" s="75"/>
      <c r="CE667" s="73"/>
      <c r="CF667" s="75"/>
      <c r="CG667" s="75"/>
      <c r="CH667" s="75"/>
      <c r="CI667" s="73"/>
      <c r="CJ667" s="75"/>
      <c r="CK667" s="75"/>
      <c r="CL667" s="75"/>
      <c r="CM667" s="73"/>
      <c r="CN667" s="75"/>
      <c r="CO667" s="75"/>
      <c r="CP667" s="75"/>
      <c r="CQ667" s="73"/>
      <c r="CR667" s="75"/>
      <c r="CS667" s="75"/>
      <c r="CT667" s="75"/>
      <c r="CU667" s="73"/>
      <c r="CV667" s="75"/>
      <c r="CW667" s="75"/>
      <c r="CX667" s="75"/>
      <c r="CY667" s="73"/>
      <c r="CZ667" s="75"/>
      <c r="DA667" s="75"/>
      <c r="DB667" s="75"/>
      <c r="DC667" s="73"/>
      <c r="DD667" s="75"/>
      <c r="DE667" s="75"/>
      <c r="DF667" s="75"/>
      <c r="DG667" s="73"/>
      <c r="DH667" s="75"/>
      <c r="DI667" s="75"/>
      <c r="DJ667" s="75"/>
      <c r="DK667" s="76"/>
    </row>
    <row r="668" spans="63:115" x14ac:dyDescent="0.25">
      <c r="BK668" s="75"/>
      <c r="BL668" s="75"/>
      <c r="BM668" s="75"/>
      <c r="BN668" s="73"/>
      <c r="BO668" s="75"/>
      <c r="BP668" s="75"/>
      <c r="BQ668" s="75"/>
      <c r="BR668" s="75"/>
      <c r="BS668" s="75"/>
      <c r="BT668" s="75"/>
      <c r="BU668" s="75"/>
      <c r="BV668" s="75"/>
      <c r="BW668" s="75"/>
      <c r="BX668" s="75"/>
      <c r="BY668" s="75"/>
      <c r="BZ668" s="75"/>
      <c r="CA668" s="73"/>
      <c r="CB668" s="75"/>
      <c r="CC668" s="75"/>
      <c r="CD668" s="75"/>
      <c r="CE668" s="73"/>
      <c r="CF668" s="75"/>
      <c r="CG668" s="75"/>
      <c r="CH668" s="75"/>
      <c r="CI668" s="73"/>
      <c r="CJ668" s="75"/>
      <c r="CK668" s="75"/>
      <c r="CL668" s="75"/>
      <c r="CM668" s="73"/>
      <c r="CN668" s="75"/>
      <c r="CO668" s="75"/>
      <c r="CP668" s="75"/>
      <c r="CQ668" s="73"/>
      <c r="CR668" s="75"/>
      <c r="CS668" s="75"/>
      <c r="CT668" s="75"/>
      <c r="CU668" s="73"/>
      <c r="CV668" s="75"/>
      <c r="CW668" s="75"/>
      <c r="CX668" s="75"/>
      <c r="CY668" s="73"/>
      <c r="CZ668" s="75"/>
      <c r="DA668" s="75"/>
      <c r="DB668" s="75"/>
      <c r="DC668" s="73"/>
      <c r="DD668" s="75"/>
      <c r="DE668" s="75"/>
      <c r="DF668" s="75"/>
      <c r="DG668" s="73"/>
      <c r="DH668" s="75"/>
      <c r="DI668" s="75"/>
      <c r="DJ668" s="75"/>
      <c r="DK668" s="76"/>
    </row>
    <row r="669" spans="63:115" x14ac:dyDescent="0.25">
      <c r="BK669" s="75"/>
      <c r="BL669" s="75"/>
      <c r="BM669" s="75"/>
      <c r="BN669" s="73"/>
      <c r="BO669" s="75"/>
      <c r="BP669" s="75"/>
      <c r="BQ669" s="75"/>
      <c r="BR669" s="75"/>
      <c r="BS669" s="75"/>
      <c r="BT669" s="75"/>
      <c r="BU669" s="75"/>
      <c r="BV669" s="75"/>
      <c r="BW669" s="75"/>
      <c r="BX669" s="75"/>
      <c r="BY669" s="75"/>
      <c r="BZ669" s="75"/>
      <c r="CA669" s="73"/>
      <c r="CB669" s="75"/>
      <c r="CC669" s="75"/>
      <c r="CD669" s="75"/>
      <c r="CE669" s="73"/>
      <c r="CF669" s="75"/>
      <c r="CG669" s="75"/>
      <c r="CH669" s="75"/>
      <c r="CI669" s="73"/>
      <c r="CJ669" s="75"/>
      <c r="CK669" s="75"/>
      <c r="CL669" s="75"/>
      <c r="CM669" s="73"/>
      <c r="CN669" s="75"/>
      <c r="CO669" s="75"/>
      <c r="CP669" s="75"/>
      <c r="CQ669" s="73"/>
      <c r="CR669" s="75"/>
      <c r="CS669" s="75"/>
      <c r="CT669" s="75"/>
      <c r="CU669" s="73"/>
      <c r="CV669" s="75"/>
      <c r="CW669" s="75"/>
      <c r="CX669" s="75"/>
      <c r="CY669" s="73"/>
      <c r="CZ669" s="75"/>
      <c r="DA669" s="75"/>
      <c r="DB669" s="75"/>
      <c r="DC669" s="73"/>
      <c r="DD669" s="75"/>
      <c r="DE669" s="75"/>
      <c r="DF669" s="75"/>
      <c r="DG669" s="73"/>
      <c r="DH669" s="75"/>
      <c r="DI669" s="75"/>
      <c r="DJ669" s="75"/>
      <c r="DK669" s="76"/>
    </row>
    <row r="670" spans="63:115" x14ac:dyDescent="0.25">
      <c r="BK670" s="75"/>
      <c r="BL670" s="75"/>
      <c r="BM670" s="75"/>
      <c r="BN670" s="73"/>
      <c r="BO670" s="75"/>
      <c r="BP670" s="75"/>
      <c r="BQ670" s="75"/>
      <c r="BR670" s="75"/>
      <c r="BS670" s="75"/>
      <c r="BT670" s="75"/>
      <c r="BU670" s="75"/>
      <c r="BV670" s="75"/>
      <c r="BW670" s="75"/>
      <c r="BX670" s="75"/>
      <c r="BY670" s="75"/>
      <c r="BZ670" s="75"/>
      <c r="CA670" s="73"/>
      <c r="CB670" s="75"/>
      <c r="CC670" s="75"/>
      <c r="CD670" s="75"/>
      <c r="CE670" s="73"/>
      <c r="CF670" s="75"/>
      <c r="CG670" s="75"/>
      <c r="CH670" s="75"/>
      <c r="CI670" s="73"/>
      <c r="CJ670" s="75"/>
      <c r="CK670" s="75"/>
      <c r="CL670" s="75"/>
      <c r="CM670" s="73"/>
      <c r="CN670" s="75"/>
      <c r="CO670" s="75"/>
      <c r="CP670" s="75"/>
      <c r="CQ670" s="73"/>
      <c r="CR670" s="75"/>
      <c r="CS670" s="75"/>
      <c r="CT670" s="75"/>
      <c r="CU670" s="73"/>
      <c r="CV670" s="75"/>
      <c r="CW670" s="75"/>
      <c r="CX670" s="75"/>
      <c r="CY670" s="73"/>
      <c r="CZ670" s="75"/>
      <c r="DA670" s="75"/>
      <c r="DB670" s="75"/>
      <c r="DC670" s="73"/>
      <c r="DD670" s="75"/>
      <c r="DE670" s="75"/>
      <c r="DF670" s="75"/>
      <c r="DG670" s="73"/>
      <c r="DH670" s="75"/>
      <c r="DI670" s="75"/>
      <c r="DJ670" s="75"/>
      <c r="DK670" s="76"/>
    </row>
    <row r="671" spans="63:115" x14ac:dyDescent="0.25">
      <c r="BK671" s="75"/>
      <c r="BL671" s="75"/>
      <c r="BM671" s="75"/>
      <c r="BN671" s="73"/>
      <c r="BO671" s="75"/>
      <c r="BP671" s="75"/>
      <c r="BQ671" s="75"/>
      <c r="BR671" s="75"/>
      <c r="BS671" s="75"/>
      <c r="BT671" s="75"/>
      <c r="BU671" s="75"/>
      <c r="BV671" s="75"/>
      <c r="BW671" s="75"/>
      <c r="BX671" s="75"/>
      <c r="BY671" s="75"/>
      <c r="BZ671" s="75"/>
      <c r="CA671" s="73"/>
      <c r="CB671" s="75"/>
      <c r="CC671" s="75"/>
      <c r="CD671" s="75"/>
      <c r="CE671" s="73"/>
      <c r="CF671" s="75"/>
      <c r="CG671" s="75"/>
      <c r="CH671" s="75"/>
      <c r="CI671" s="73"/>
      <c r="CJ671" s="75"/>
      <c r="CK671" s="75"/>
      <c r="CL671" s="75"/>
      <c r="CM671" s="73"/>
      <c r="CN671" s="75"/>
      <c r="CO671" s="75"/>
      <c r="CP671" s="75"/>
      <c r="CQ671" s="73"/>
      <c r="CR671" s="75"/>
      <c r="CS671" s="75"/>
      <c r="CT671" s="75"/>
      <c r="CU671" s="73"/>
      <c r="CV671" s="75"/>
      <c r="CW671" s="75"/>
      <c r="CX671" s="75"/>
      <c r="CY671" s="73"/>
      <c r="CZ671" s="75"/>
      <c r="DA671" s="75"/>
      <c r="DB671" s="75"/>
      <c r="DC671" s="73"/>
      <c r="DD671" s="75"/>
      <c r="DE671" s="75"/>
      <c r="DF671" s="75"/>
      <c r="DG671" s="73"/>
      <c r="DH671" s="75"/>
      <c r="DI671" s="75"/>
      <c r="DJ671" s="75"/>
      <c r="DK671" s="76"/>
    </row>
    <row r="672" spans="63:115" x14ac:dyDescent="0.25">
      <c r="BK672" s="75"/>
      <c r="BL672" s="75"/>
      <c r="BM672" s="75"/>
      <c r="BN672" s="73"/>
      <c r="BO672" s="75"/>
      <c r="BP672" s="75"/>
      <c r="BQ672" s="75"/>
      <c r="BR672" s="75"/>
      <c r="BS672" s="75"/>
      <c r="BT672" s="75"/>
      <c r="BU672" s="75"/>
      <c r="BV672" s="75"/>
      <c r="BW672" s="75"/>
      <c r="BX672" s="75"/>
      <c r="BY672" s="75"/>
      <c r="BZ672" s="75"/>
      <c r="CA672" s="73"/>
      <c r="CB672" s="75"/>
      <c r="CC672" s="75"/>
      <c r="CD672" s="75"/>
      <c r="CE672" s="73"/>
      <c r="CF672" s="75"/>
      <c r="CG672" s="75"/>
      <c r="CH672" s="75"/>
      <c r="CI672" s="73"/>
      <c r="CJ672" s="75"/>
      <c r="CK672" s="75"/>
      <c r="CL672" s="75"/>
      <c r="CM672" s="73"/>
      <c r="CN672" s="75"/>
      <c r="CO672" s="75"/>
      <c r="CP672" s="75"/>
      <c r="CQ672" s="73"/>
      <c r="CR672" s="75"/>
      <c r="CS672" s="75"/>
      <c r="CT672" s="75"/>
      <c r="CU672" s="73"/>
      <c r="CV672" s="75"/>
      <c r="CW672" s="75"/>
      <c r="CX672" s="75"/>
      <c r="CY672" s="73"/>
      <c r="CZ672" s="75"/>
      <c r="DA672" s="75"/>
      <c r="DB672" s="75"/>
      <c r="DC672" s="73"/>
      <c r="DD672" s="75"/>
      <c r="DE672" s="75"/>
      <c r="DF672" s="75"/>
      <c r="DG672" s="73"/>
      <c r="DH672" s="75"/>
      <c r="DI672" s="75"/>
      <c r="DJ672" s="75"/>
      <c r="DK672" s="76"/>
    </row>
    <row r="673" spans="63:115" x14ac:dyDescent="0.25">
      <c r="BK673" s="75"/>
      <c r="BL673" s="75"/>
      <c r="BM673" s="75"/>
      <c r="BN673" s="73"/>
      <c r="BO673" s="75"/>
      <c r="BP673" s="75"/>
      <c r="BQ673" s="75"/>
      <c r="BR673" s="75"/>
      <c r="BS673" s="75"/>
      <c r="BT673" s="75"/>
      <c r="BU673" s="75"/>
      <c r="BV673" s="75"/>
      <c r="BW673" s="75"/>
      <c r="BX673" s="75"/>
      <c r="BY673" s="75"/>
      <c r="BZ673" s="75"/>
      <c r="CA673" s="73"/>
      <c r="CB673" s="75"/>
      <c r="CC673" s="75"/>
      <c r="CD673" s="75"/>
      <c r="CE673" s="73"/>
      <c r="CF673" s="75"/>
      <c r="CG673" s="75"/>
      <c r="CH673" s="75"/>
      <c r="CI673" s="73"/>
      <c r="CJ673" s="75"/>
      <c r="CK673" s="75"/>
      <c r="CL673" s="75"/>
      <c r="CM673" s="73"/>
      <c r="CN673" s="75"/>
      <c r="CO673" s="75"/>
      <c r="CP673" s="75"/>
      <c r="CQ673" s="73"/>
      <c r="CR673" s="75"/>
      <c r="CS673" s="75"/>
      <c r="CT673" s="75"/>
      <c r="CU673" s="73"/>
      <c r="CV673" s="75"/>
      <c r="CW673" s="75"/>
      <c r="CX673" s="75"/>
      <c r="CY673" s="73"/>
      <c r="CZ673" s="75"/>
      <c r="DA673" s="75"/>
      <c r="DB673" s="75"/>
      <c r="DC673" s="73"/>
      <c r="DD673" s="75"/>
      <c r="DE673" s="75"/>
      <c r="DF673" s="75"/>
      <c r="DG673" s="73"/>
      <c r="DH673" s="75"/>
      <c r="DI673" s="75"/>
      <c r="DJ673" s="75"/>
      <c r="DK673" s="76"/>
    </row>
    <row r="674" spans="63:115" x14ac:dyDescent="0.25">
      <c r="BK674" s="75"/>
      <c r="BL674" s="75"/>
      <c r="BM674" s="75"/>
      <c r="BN674" s="73"/>
      <c r="BO674" s="75"/>
      <c r="BP674" s="75"/>
      <c r="BQ674" s="75"/>
      <c r="BR674" s="75"/>
      <c r="BS674" s="75"/>
      <c r="BT674" s="75"/>
      <c r="BU674" s="75"/>
      <c r="BV674" s="75"/>
      <c r="BW674" s="75"/>
      <c r="BX674" s="75"/>
      <c r="BY674" s="75"/>
      <c r="BZ674" s="75"/>
      <c r="CA674" s="73"/>
      <c r="CB674" s="75"/>
      <c r="CC674" s="75"/>
      <c r="CD674" s="75"/>
      <c r="CE674" s="73"/>
      <c r="CF674" s="75"/>
      <c r="CG674" s="75"/>
      <c r="CH674" s="75"/>
      <c r="CI674" s="73"/>
      <c r="CJ674" s="75"/>
      <c r="CK674" s="75"/>
      <c r="CL674" s="75"/>
      <c r="CM674" s="73"/>
      <c r="CN674" s="75"/>
      <c r="CO674" s="75"/>
      <c r="CP674" s="75"/>
      <c r="CQ674" s="73"/>
      <c r="CR674" s="75"/>
      <c r="CS674" s="75"/>
      <c r="CT674" s="75"/>
      <c r="CU674" s="73"/>
      <c r="CV674" s="75"/>
      <c r="CW674" s="75"/>
      <c r="CX674" s="75"/>
      <c r="CY674" s="73"/>
      <c r="CZ674" s="75"/>
      <c r="DA674" s="75"/>
      <c r="DB674" s="75"/>
      <c r="DC674" s="73"/>
      <c r="DD674" s="75"/>
      <c r="DE674" s="75"/>
      <c r="DF674" s="75"/>
      <c r="DG674" s="73"/>
      <c r="DH674" s="75"/>
      <c r="DI674" s="75"/>
      <c r="DJ674" s="75"/>
      <c r="DK674" s="76"/>
    </row>
    <row r="675" spans="63:115" x14ac:dyDescent="0.25">
      <c r="BK675" s="75"/>
      <c r="BL675" s="75"/>
      <c r="BM675" s="75"/>
      <c r="BN675" s="73"/>
      <c r="BO675" s="75"/>
      <c r="BP675" s="75"/>
      <c r="BQ675" s="75"/>
      <c r="BR675" s="75"/>
      <c r="BS675" s="75"/>
      <c r="BT675" s="75"/>
      <c r="BU675" s="75"/>
      <c r="BV675" s="75"/>
      <c r="BW675" s="75"/>
      <c r="BX675" s="75"/>
      <c r="BY675" s="75"/>
      <c r="BZ675" s="75"/>
      <c r="CA675" s="73"/>
      <c r="CB675" s="75"/>
      <c r="CC675" s="75"/>
      <c r="CD675" s="75"/>
      <c r="CE675" s="73"/>
      <c r="CF675" s="75"/>
      <c r="CG675" s="75"/>
      <c r="CH675" s="75"/>
      <c r="CI675" s="73"/>
      <c r="CJ675" s="75"/>
      <c r="CK675" s="75"/>
      <c r="CL675" s="75"/>
      <c r="CM675" s="73"/>
      <c r="CN675" s="75"/>
      <c r="CO675" s="75"/>
      <c r="CP675" s="75"/>
      <c r="CQ675" s="73"/>
      <c r="CR675" s="75"/>
      <c r="CS675" s="75"/>
      <c r="CT675" s="75"/>
      <c r="CU675" s="73"/>
      <c r="CV675" s="75"/>
      <c r="CW675" s="75"/>
      <c r="CX675" s="75"/>
      <c r="CY675" s="73"/>
      <c r="CZ675" s="75"/>
      <c r="DA675" s="75"/>
      <c r="DB675" s="75"/>
      <c r="DC675" s="73"/>
      <c r="DD675" s="75"/>
      <c r="DE675" s="75"/>
      <c r="DF675" s="75"/>
      <c r="DG675" s="73"/>
      <c r="DH675" s="75"/>
      <c r="DI675" s="75"/>
      <c r="DJ675" s="75"/>
      <c r="DK675" s="76"/>
    </row>
    <row r="676" spans="63:115" x14ac:dyDescent="0.25">
      <c r="BK676" s="75"/>
      <c r="BL676" s="75"/>
      <c r="BM676" s="75"/>
      <c r="BN676" s="73"/>
      <c r="BO676" s="75"/>
      <c r="BP676" s="75"/>
      <c r="BQ676" s="75"/>
      <c r="BR676" s="75"/>
      <c r="BS676" s="75"/>
      <c r="BT676" s="75"/>
      <c r="BU676" s="75"/>
      <c r="BV676" s="75"/>
      <c r="BW676" s="75"/>
      <c r="BX676" s="75"/>
      <c r="BY676" s="75"/>
      <c r="BZ676" s="75"/>
      <c r="CA676" s="73"/>
      <c r="CB676" s="75"/>
      <c r="CC676" s="75"/>
      <c r="CD676" s="75"/>
      <c r="CE676" s="73"/>
      <c r="CF676" s="75"/>
      <c r="CG676" s="75"/>
      <c r="CH676" s="75"/>
      <c r="CI676" s="73"/>
      <c r="CJ676" s="75"/>
      <c r="CK676" s="75"/>
      <c r="CL676" s="75"/>
      <c r="CM676" s="73"/>
      <c r="CN676" s="75"/>
      <c r="CO676" s="75"/>
      <c r="CP676" s="75"/>
      <c r="CQ676" s="73"/>
      <c r="CR676" s="75"/>
      <c r="CS676" s="75"/>
      <c r="CT676" s="75"/>
      <c r="CU676" s="73"/>
      <c r="CV676" s="75"/>
      <c r="CW676" s="75"/>
      <c r="CX676" s="75"/>
      <c r="CY676" s="73"/>
      <c r="CZ676" s="75"/>
      <c r="DA676" s="75"/>
      <c r="DB676" s="75"/>
      <c r="DC676" s="73"/>
      <c r="DD676" s="75"/>
      <c r="DE676" s="75"/>
      <c r="DF676" s="75"/>
      <c r="DG676" s="73"/>
      <c r="DH676" s="75"/>
      <c r="DI676" s="75"/>
      <c r="DJ676" s="75"/>
      <c r="DK676" s="76"/>
    </row>
    <row r="677" spans="63:115" x14ac:dyDescent="0.25">
      <c r="BK677" s="75"/>
      <c r="BL677" s="75"/>
      <c r="BM677" s="75"/>
      <c r="BN677" s="73"/>
      <c r="BO677" s="75"/>
      <c r="BP677" s="75"/>
      <c r="BQ677" s="75"/>
      <c r="BR677" s="75"/>
      <c r="BS677" s="75"/>
      <c r="BT677" s="75"/>
      <c r="BU677" s="75"/>
      <c r="BV677" s="75"/>
      <c r="BW677" s="75"/>
      <c r="BX677" s="75"/>
      <c r="BY677" s="75"/>
      <c r="BZ677" s="75"/>
      <c r="CA677" s="73"/>
      <c r="CB677" s="75"/>
      <c r="CC677" s="75"/>
      <c r="CD677" s="75"/>
      <c r="CE677" s="73"/>
      <c r="CF677" s="75"/>
      <c r="CG677" s="75"/>
      <c r="CH677" s="75"/>
      <c r="CI677" s="73"/>
      <c r="CJ677" s="75"/>
      <c r="CK677" s="75"/>
      <c r="CL677" s="75"/>
      <c r="CM677" s="73"/>
      <c r="CN677" s="75"/>
      <c r="CO677" s="75"/>
      <c r="CP677" s="75"/>
      <c r="CQ677" s="73"/>
      <c r="CR677" s="75"/>
      <c r="CS677" s="75"/>
      <c r="CT677" s="75"/>
      <c r="CU677" s="73"/>
      <c r="CV677" s="75"/>
      <c r="CW677" s="75"/>
      <c r="CX677" s="75"/>
      <c r="CY677" s="73"/>
      <c r="CZ677" s="75"/>
      <c r="DA677" s="75"/>
      <c r="DB677" s="75"/>
      <c r="DC677" s="73"/>
      <c r="DD677" s="75"/>
      <c r="DE677" s="75"/>
      <c r="DF677" s="75"/>
      <c r="DG677" s="73"/>
      <c r="DH677" s="75"/>
      <c r="DI677" s="75"/>
      <c r="DJ677" s="75"/>
      <c r="DK677" s="76"/>
    </row>
    <row r="678" spans="63:115" x14ac:dyDescent="0.25">
      <c r="BK678" s="75"/>
      <c r="BL678" s="75"/>
      <c r="BM678" s="75"/>
      <c r="BN678" s="73"/>
      <c r="BO678" s="75"/>
      <c r="BP678" s="75"/>
      <c r="BQ678" s="75"/>
      <c r="BR678" s="75"/>
      <c r="BS678" s="75"/>
      <c r="BT678" s="75"/>
      <c r="BU678" s="75"/>
      <c r="BV678" s="75"/>
      <c r="BW678" s="75"/>
      <c r="BX678" s="75"/>
      <c r="BY678" s="75"/>
      <c r="BZ678" s="75"/>
      <c r="CA678" s="73"/>
      <c r="CB678" s="75"/>
      <c r="CC678" s="75"/>
      <c r="CD678" s="75"/>
      <c r="CE678" s="73"/>
      <c r="CF678" s="75"/>
      <c r="CG678" s="75"/>
      <c r="CH678" s="75"/>
      <c r="CI678" s="73"/>
      <c r="CJ678" s="75"/>
      <c r="CK678" s="75"/>
      <c r="CL678" s="75"/>
      <c r="CM678" s="73"/>
      <c r="CN678" s="75"/>
      <c r="CO678" s="75"/>
      <c r="CP678" s="75"/>
      <c r="CQ678" s="73"/>
      <c r="CR678" s="75"/>
      <c r="CS678" s="75"/>
      <c r="CT678" s="75"/>
      <c r="CU678" s="73"/>
      <c r="CV678" s="75"/>
      <c r="CW678" s="75"/>
      <c r="CX678" s="75"/>
      <c r="CY678" s="73"/>
      <c r="CZ678" s="75"/>
      <c r="DA678" s="75"/>
      <c r="DB678" s="75"/>
      <c r="DC678" s="73"/>
      <c r="DD678" s="75"/>
      <c r="DE678" s="75"/>
      <c r="DF678" s="75"/>
      <c r="DG678" s="73"/>
      <c r="DH678" s="75"/>
      <c r="DI678" s="75"/>
      <c r="DJ678" s="75"/>
      <c r="DK678" s="76"/>
    </row>
    <row r="679" spans="63:115" x14ac:dyDescent="0.25">
      <c r="BK679" s="75"/>
      <c r="BL679" s="75"/>
      <c r="BM679" s="75"/>
      <c r="BN679" s="73"/>
      <c r="BO679" s="75"/>
      <c r="BP679" s="75"/>
      <c r="BQ679" s="75"/>
      <c r="BR679" s="75"/>
      <c r="BS679" s="75"/>
      <c r="BT679" s="75"/>
      <c r="BU679" s="75"/>
      <c r="BV679" s="75"/>
      <c r="BW679" s="75"/>
      <c r="BX679" s="75"/>
      <c r="BY679" s="75"/>
      <c r="BZ679" s="75"/>
      <c r="CA679" s="73"/>
      <c r="CB679" s="75"/>
      <c r="CC679" s="75"/>
      <c r="CD679" s="75"/>
      <c r="CE679" s="73"/>
      <c r="CF679" s="75"/>
      <c r="CG679" s="75"/>
      <c r="CH679" s="75"/>
      <c r="CI679" s="73"/>
      <c r="CJ679" s="75"/>
      <c r="CK679" s="75"/>
      <c r="CL679" s="75"/>
      <c r="CM679" s="73"/>
      <c r="CN679" s="75"/>
      <c r="CO679" s="75"/>
      <c r="CP679" s="75"/>
      <c r="CQ679" s="73"/>
      <c r="CR679" s="75"/>
      <c r="CS679" s="75"/>
      <c r="CT679" s="75"/>
      <c r="CU679" s="73"/>
      <c r="CV679" s="75"/>
      <c r="CW679" s="75"/>
      <c r="CX679" s="75"/>
      <c r="CY679" s="73"/>
      <c r="CZ679" s="75"/>
      <c r="DA679" s="75"/>
      <c r="DB679" s="75"/>
      <c r="DC679" s="73"/>
      <c r="DD679" s="75"/>
      <c r="DE679" s="75"/>
      <c r="DF679" s="75"/>
      <c r="DG679" s="73"/>
      <c r="DH679" s="75"/>
      <c r="DI679" s="75"/>
      <c r="DJ679" s="75"/>
      <c r="DK679" s="76"/>
    </row>
    <row r="680" spans="63:115" x14ac:dyDescent="0.25">
      <c r="BK680" s="75"/>
      <c r="BL680" s="75"/>
      <c r="BM680" s="75"/>
      <c r="BN680" s="73"/>
      <c r="BO680" s="75"/>
      <c r="BP680" s="75"/>
      <c r="BQ680" s="75"/>
      <c r="BR680" s="75"/>
      <c r="BS680" s="75"/>
      <c r="BT680" s="75"/>
      <c r="BU680" s="75"/>
      <c r="BV680" s="75"/>
      <c r="BW680" s="75"/>
      <c r="BX680" s="75"/>
      <c r="BY680" s="75"/>
      <c r="BZ680" s="75"/>
      <c r="CA680" s="73"/>
      <c r="CB680" s="75"/>
      <c r="CC680" s="75"/>
      <c r="CD680" s="75"/>
      <c r="CE680" s="73"/>
      <c r="CF680" s="75"/>
      <c r="CG680" s="75"/>
      <c r="CH680" s="75"/>
      <c r="CI680" s="73"/>
      <c r="CJ680" s="75"/>
      <c r="CK680" s="75"/>
      <c r="CL680" s="75"/>
      <c r="CM680" s="73"/>
      <c r="CN680" s="75"/>
      <c r="CO680" s="75"/>
      <c r="CP680" s="75"/>
      <c r="CQ680" s="73"/>
      <c r="CR680" s="75"/>
      <c r="CS680" s="75"/>
      <c r="CT680" s="75"/>
      <c r="CU680" s="73"/>
      <c r="CV680" s="75"/>
      <c r="CW680" s="75"/>
      <c r="CX680" s="75"/>
      <c r="CY680" s="73"/>
      <c r="CZ680" s="75"/>
      <c r="DA680" s="75"/>
      <c r="DB680" s="75"/>
      <c r="DC680" s="73"/>
      <c r="DD680" s="75"/>
      <c r="DE680" s="75"/>
      <c r="DF680" s="75"/>
      <c r="DG680" s="73"/>
      <c r="DH680" s="75"/>
      <c r="DI680" s="75"/>
      <c r="DJ680" s="75"/>
      <c r="DK680" s="76"/>
    </row>
    <row r="681" spans="63:115" x14ac:dyDescent="0.25">
      <c r="BK681" s="75"/>
      <c r="BL681" s="75"/>
      <c r="BM681" s="75"/>
      <c r="BN681" s="73"/>
      <c r="BO681" s="75"/>
      <c r="BP681" s="75"/>
      <c r="BQ681" s="75"/>
      <c r="BR681" s="75"/>
      <c r="BS681" s="75"/>
      <c r="BT681" s="75"/>
      <c r="BU681" s="75"/>
      <c r="BV681" s="75"/>
      <c r="BW681" s="75"/>
      <c r="BX681" s="75"/>
      <c r="BY681" s="75"/>
      <c r="BZ681" s="75"/>
      <c r="CA681" s="73"/>
      <c r="CB681" s="75"/>
      <c r="CC681" s="75"/>
      <c r="CD681" s="75"/>
      <c r="CE681" s="73"/>
      <c r="CF681" s="75"/>
      <c r="CG681" s="75"/>
      <c r="CH681" s="75"/>
      <c r="CI681" s="73"/>
      <c r="CJ681" s="75"/>
      <c r="CK681" s="75"/>
      <c r="CL681" s="75"/>
      <c r="CM681" s="73"/>
      <c r="CN681" s="75"/>
      <c r="CO681" s="75"/>
      <c r="CP681" s="75"/>
      <c r="CQ681" s="73"/>
      <c r="CR681" s="75"/>
      <c r="CS681" s="75"/>
      <c r="CT681" s="75"/>
      <c r="CU681" s="73"/>
      <c r="CV681" s="75"/>
      <c r="CW681" s="75"/>
      <c r="CX681" s="75"/>
      <c r="CY681" s="73"/>
      <c r="CZ681" s="75"/>
      <c r="DA681" s="75"/>
      <c r="DB681" s="75"/>
      <c r="DC681" s="73"/>
      <c r="DD681" s="75"/>
      <c r="DE681" s="75"/>
      <c r="DF681" s="75"/>
      <c r="DG681" s="73"/>
      <c r="DH681" s="75"/>
      <c r="DI681" s="75"/>
      <c r="DJ681" s="75"/>
      <c r="DK681" s="76"/>
    </row>
    <row r="682" spans="63:115" x14ac:dyDescent="0.25">
      <c r="BK682" s="75"/>
      <c r="BL682" s="75"/>
      <c r="BM682" s="75"/>
      <c r="BN682" s="73"/>
      <c r="BO682" s="75"/>
      <c r="BP682" s="75"/>
      <c r="BQ682" s="75"/>
      <c r="BR682" s="75"/>
      <c r="BS682" s="75"/>
      <c r="BT682" s="75"/>
      <c r="BU682" s="75"/>
      <c r="BV682" s="75"/>
      <c r="BW682" s="75"/>
      <c r="BX682" s="75"/>
      <c r="BY682" s="75"/>
      <c r="BZ682" s="75"/>
      <c r="CA682" s="73"/>
      <c r="CB682" s="75"/>
      <c r="CC682" s="75"/>
      <c r="CD682" s="75"/>
      <c r="CE682" s="73"/>
      <c r="CF682" s="75"/>
      <c r="CG682" s="75"/>
      <c r="CH682" s="75"/>
      <c r="CI682" s="73"/>
      <c r="CJ682" s="75"/>
      <c r="CK682" s="75"/>
      <c r="CL682" s="75"/>
      <c r="CM682" s="73"/>
      <c r="CN682" s="75"/>
      <c r="CO682" s="75"/>
      <c r="CP682" s="75"/>
      <c r="CQ682" s="73"/>
      <c r="CR682" s="75"/>
      <c r="CS682" s="75"/>
      <c r="CT682" s="75"/>
      <c r="CU682" s="73"/>
      <c r="CV682" s="75"/>
      <c r="CW682" s="75"/>
      <c r="CX682" s="75"/>
      <c r="CY682" s="73"/>
      <c r="CZ682" s="75"/>
      <c r="DA682" s="75"/>
      <c r="DB682" s="75"/>
      <c r="DC682" s="73"/>
      <c r="DD682" s="75"/>
      <c r="DE682" s="75"/>
      <c r="DF682" s="75"/>
      <c r="DG682" s="73"/>
      <c r="DH682" s="75"/>
      <c r="DI682" s="75"/>
      <c r="DJ682" s="75"/>
      <c r="DK682" s="76"/>
    </row>
    <row r="683" spans="63:115" x14ac:dyDescent="0.25">
      <c r="BK683" s="75"/>
      <c r="BL683" s="75"/>
      <c r="BM683" s="75"/>
      <c r="BN683" s="73"/>
      <c r="BO683" s="75"/>
      <c r="BP683" s="75"/>
      <c r="BQ683" s="75"/>
      <c r="BR683" s="75"/>
      <c r="BS683" s="75"/>
      <c r="BT683" s="75"/>
      <c r="BU683" s="75"/>
      <c r="BV683" s="75"/>
      <c r="BW683" s="75"/>
      <c r="BX683" s="75"/>
      <c r="BY683" s="75"/>
      <c r="BZ683" s="75"/>
      <c r="CA683" s="73"/>
      <c r="CB683" s="75"/>
      <c r="CC683" s="75"/>
      <c r="CD683" s="75"/>
      <c r="CE683" s="73"/>
      <c r="CF683" s="75"/>
      <c r="CG683" s="75"/>
      <c r="CH683" s="75"/>
      <c r="CI683" s="73"/>
      <c r="CJ683" s="75"/>
      <c r="CK683" s="75"/>
      <c r="CL683" s="75"/>
      <c r="CM683" s="73"/>
      <c r="CN683" s="75"/>
      <c r="CO683" s="75"/>
      <c r="CP683" s="75"/>
      <c r="CQ683" s="73"/>
      <c r="CR683" s="75"/>
      <c r="CS683" s="75"/>
      <c r="CT683" s="75"/>
      <c r="CU683" s="73"/>
      <c r="CV683" s="75"/>
      <c r="CW683" s="75"/>
      <c r="CX683" s="75"/>
      <c r="CY683" s="73"/>
      <c r="CZ683" s="75"/>
      <c r="DA683" s="75"/>
      <c r="DB683" s="75"/>
      <c r="DC683" s="73"/>
      <c r="DD683" s="75"/>
      <c r="DE683" s="75"/>
      <c r="DF683" s="75"/>
      <c r="DG683" s="73"/>
      <c r="DH683" s="75"/>
      <c r="DI683" s="75"/>
      <c r="DJ683" s="75"/>
      <c r="DK683" s="76"/>
    </row>
    <row r="684" spans="63:115" x14ac:dyDescent="0.25">
      <c r="BK684" s="75"/>
      <c r="BL684" s="75"/>
      <c r="BM684" s="75"/>
      <c r="BN684" s="73"/>
      <c r="BO684" s="75"/>
      <c r="BP684" s="75"/>
      <c r="BQ684" s="75"/>
      <c r="BR684" s="75"/>
      <c r="BS684" s="75"/>
      <c r="BT684" s="75"/>
      <c r="BU684" s="75"/>
      <c r="BV684" s="75"/>
      <c r="BW684" s="75"/>
      <c r="BX684" s="75"/>
      <c r="BY684" s="75"/>
      <c r="BZ684" s="75"/>
      <c r="CA684" s="73"/>
      <c r="CB684" s="75"/>
      <c r="CC684" s="75"/>
      <c r="CD684" s="75"/>
      <c r="CE684" s="73"/>
      <c r="CF684" s="75"/>
      <c r="CG684" s="75"/>
      <c r="CH684" s="75"/>
      <c r="CI684" s="73"/>
      <c r="CJ684" s="75"/>
      <c r="CK684" s="75"/>
      <c r="CL684" s="75"/>
      <c r="CM684" s="73"/>
      <c r="CN684" s="75"/>
      <c r="CO684" s="75"/>
      <c r="CP684" s="75"/>
      <c r="CQ684" s="73"/>
      <c r="CR684" s="75"/>
      <c r="CS684" s="75"/>
      <c r="CT684" s="75"/>
      <c r="CU684" s="73"/>
      <c r="CV684" s="75"/>
      <c r="CW684" s="75"/>
      <c r="CX684" s="75"/>
      <c r="CY684" s="73"/>
      <c r="CZ684" s="75"/>
      <c r="DA684" s="75"/>
      <c r="DB684" s="75"/>
      <c r="DC684" s="73"/>
      <c r="DD684" s="75"/>
      <c r="DE684" s="75"/>
      <c r="DF684" s="75"/>
      <c r="DG684" s="73"/>
      <c r="DH684" s="75"/>
      <c r="DI684" s="75"/>
      <c r="DJ684" s="75"/>
      <c r="DK684" s="76"/>
    </row>
    <row r="685" spans="63:115" x14ac:dyDescent="0.25">
      <c r="BK685" s="75"/>
      <c r="BL685" s="75"/>
      <c r="BM685" s="75"/>
      <c r="BN685" s="73"/>
      <c r="BO685" s="75"/>
      <c r="BP685" s="75"/>
      <c r="BQ685" s="75"/>
      <c r="BR685" s="75"/>
      <c r="BS685" s="75"/>
      <c r="BT685" s="75"/>
      <c r="BU685" s="75"/>
      <c r="BV685" s="75"/>
      <c r="BW685" s="75"/>
      <c r="BX685" s="75"/>
      <c r="BY685" s="75"/>
      <c r="BZ685" s="75"/>
      <c r="CA685" s="73"/>
      <c r="CB685" s="75"/>
      <c r="CC685" s="75"/>
      <c r="CD685" s="75"/>
      <c r="CE685" s="73"/>
      <c r="CF685" s="75"/>
      <c r="CG685" s="75"/>
      <c r="CH685" s="75"/>
      <c r="CI685" s="73"/>
      <c r="CJ685" s="75"/>
      <c r="CK685" s="75"/>
      <c r="CL685" s="75"/>
      <c r="CM685" s="73"/>
      <c r="CN685" s="75"/>
      <c r="CO685" s="75"/>
      <c r="CP685" s="75"/>
      <c r="CQ685" s="73"/>
      <c r="CR685" s="75"/>
      <c r="CS685" s="75"/>
      <c r="CT685" s="75"/>
      <c r="CU685" s="73"/>
      <c r="CV685" s="75"/>
      <c r="CW685" s="75"/>
      <c r="CX685" s="75"/>
      <c r="CY685" s="73"/>
      <c r="CZ685" s="75"/>
      <c r="DA685" s="75"/>
      <c r="DB685" s="75"/>
      <c r="DC685" s="73"/>
      <c r="DD685" s="75"/>
      <c r="DE685" s="75"/>
      <c r="DF685" s="75"/>
      <c r="DG685" s="73"/>
      <c r="DH685" s="75"/>
      <c r="DI685" s="75"/>
      <c r="DJ685" s="75"/>
      <c r="DK685" s="76"/>
    </row>
    <row r="686" spans="63:115" x14ac:dyDescent="0.25">
      <c r="BK686" s="75"/>
      <c r="BL686" s="75"/>
      <c r="BM686" s="75"/>
      <c r="BN686" s="73"/>
      <c r="BO686" s="75"/>
      <c r="BP686" s="75"/>
      <c r="BQ686" s="75"/>
      <c r="BR686" s="75"/>
      <c r="BS686" s="75"/>
      <c r="BT686" s="75"/>
      <c r="BU686" s="75"/>
      <c r="BV686" s="75"/>
      <c r="BW686" s="75"/>
      <c r="BX686" s="75"/>
      <c r="BY686" s="75"/>
      <c r="BZ686" s="75"/>
      <c r="CA686" s="73"/>
      <c r="CB686" s="75"/>
      <c r="CC686" s="75"/>
      <c r="CD686" s="75"/>
      <c r="CE686" s="73"/>
      <c r="CF686" s="75"/>
      <c r="CG686" s="75"/>
      <c r="CH686" s="75"/>
      <c r="CI686" s="73"/>
      <c r="CJ686" s="75"/>
      <c r="CK686" s="75"/>
      <c r="CL686" s="75"/>
      <c r="CM686" s="73"/>
      <c r="CN686" s="75"/>
      <c r="CO686" s="75"/>
      <c r="CP686" s="75"/>
      <c r="CQ686" s="73"/>
      <c r="CR686" s="75"/>
      <c r="CS686" s="75"/>
      <c r="CT686" s="75"/>
      <c r="CU686" s="73"/>
      <c r="CV686" s="75"/>
      <c r="CW686" s="75"/>
      <c r="CX686" s="75"/>
      <c r="CY686" s="73"/>
      <c r="CZ686" s="75"/>
      <c r="DA686" s="75"/>
      <c r="DB686" s="75"/>
      <c r="DC686" s="73"/>
      <c r="DD686" s="75"/>
      <c r="DE686" s="75"/>
      <c r="DF686" s="75"/>
      <c r="DG686" s="73"/>
      <c r="DH686" s="75"/>
      <c r="DI686" s="75"/>
      <c r="DJ686" s="75"/>
      <c r="DK686" s="76"/>
    </row>
    <row r="687" spans="63:115" x14ac:dyDescent="0.25">
      <c r="BK687" s="75"/>
      <c r="BL687" s="75"/>
      <c r="BM687" s="75"/>
      <c r="BN687" s="73"/>
      <c r="BO687" s="75"/>
      <c r="BP687" s="75"/>
      <c r="BQ687" s="75"/>
      <c r="BR687" s="75"/>
      <c r="BS687" s="75"/>
      <c r="BT687" s="75"/>
      <c r="BU687" s="75"/>
      <c r="BV687" s="75"/>
      <c r="BW687" s="75"/>
      <c r="BX687" s="75"/>
      <c r="BY687" s="75"/>
      <c r="BZ687" s="75"/>
      <c r="CA687" s="73"/>
      <c r="CB687" s="75"/>
      <c r="CC687" s="75"/>
      <c r="CD687" s="75"/>
      <c r="CE687" s="73"/>
      <c r="CF687" s="75"/>
      <c r="CG687" s="75"/>
      <c r="CH687" s="75"/>
      <c r="CI687" s="73"/>
      <c r="CJ687" s="75"/>
      <c r="CK687" s="75"/>
      <c r="CL687" s="75"/>
      <c r="CM687" s="73"/>
      <c r="CN687" s="75"/>
      <c r="CO687" s="75"/>
      <c r="CP687" s="75"/>
      <c r="CQ687" s="73"/>
      <c r="CR687" s="75"/>
      <c r="CS687" s="75"/>
      <c r="CT687" s="75"/>
      <c r="CU687" s="73"/>
      <c r="CV687" s="75"/>
      <c r="CW687" s="75"/>
      <c r="CX687" s="75"/>
      <c r="CY687" s="73"/>
      <c r="CZ687" s="75"/>
      <c r="DA687" s="75"/>
      <c r="DB687" s="75"/>
      <c r="DC687" s="73"/>
      <c r="DD687" s="75"/>
      <c r="DE687" s="75"/>
      <c r="DF687" s="75"/>
      <c r="DG687" s="73"/>
      <c r="DH687" s="75"/>
      <c r="DI687" s="75"/>
      <c r="DJ687" s="75"/>
      <c r="DK687" s="76"/>
    </row>
    <row r="688" spans="63:115" x14ac:dyDescent="0.25">
      <c r="BK688" s="75"/>
      <c r="BL688" s="75"/>
      <c r="BM688" s="75"/>
      <c r="BN688" s="73"/>
      <c r="BO688" s="75"/>
      <c r="BP688" s="75"/>
      <c r="BQ688" s="75"/>
      <c r="BR688" s="75"/>
      <c r="BS688" s="75"/>
      <c r="BT688" s="75"/>
      <c r="BU688" s="75"/>
      <c r="BV688" s="75"/>
      <c r="BW688" s="75"/>
      <c r="BX688" s="75"/>
      <c r="BY688" s="75"/>
      <c r="BZ688" s="75"/>
      <c r="CA688" s="73"/>
      <c r="CB688" s="75"/>
      <c r="CC688" s="75"/>
      <c r="CD688" s="75"/>
      <c r="CE688" s="73"/>
      <c r="CF688" s="75"/>
      <c r="CG688" s="75"/>
      <c r="CH688" s="75"/>
      <c r="CI688" s="73"/>
      <c r="CJ688" s="75"/>
      <c r="CK688" s="75"/>
      <c r="CL688" s="75"/>
      <c r="CM688" s="73"/>
      <c r="CN688" s="75"/>
      <c r="CO688" s="75"/>
      <c r="CP688" s="75"/>
      <c r="CQ688" s="73"/>
      <c r="CR688" s="75"/>
      <c r="CS688" s="75"/>
      <c r="CT688" s="75"/>
      <c r="CU688" s="73"/>
      <c r="CV688" s="75"/>
      <c r="CW688" s="75"/>
      <c r="CX688" s="75"/>
      <c r="CY688" s="73"/>
      <c r="CZ688" s="75"/>
      <c r="DA688" s="75"/>
      <c r="DB688" s="75"/>
      <c r="DC688" s="73"/>
      <c r="DD688" s="75"/>
      <c r="DE688" s="75"/>
      <c r="DF688" s="75"/>
      <c r="DG688" s="73"/>
      <c r="DH688" s="75"/>
      <c r="DI688" s="75"/>
      <c r="DJ688" s="75"/>
      <c r="DK688" s="76"/>
    </row>
    <row r="689" spans="63:115" x14ac:dyDescent="0.25">
      <c r="BK689" s="75"/>
      <c r="BL689" s="75"/>
      <c r="BM689" s="75"/>
      <c r="BN689" s="73"/>
      <c r="BO689" s="75"/>
      <c r="BP689" s="75"/>
      <c r="BQ689" s="75"/>
      <c r="BR689" s="75"/>
      <c r="BS689" s="75"/>
      <c r="BT689" s="75"/>
      <c r="BU689" s="75"/>
      <c r="BV689" s="75"/>
      <c r="BW689" s="75"/>
      <c r="BX689" s="75"/>
      <c r="BY689" s="75"/>
      <c r="BZ689" s="75"/>
      <c r="CA689" s="73"/>
      <c r="CB689" s="75"/>
      <c r="CC689" s="75"/>
      <c r="CD689" s="75"/>
      <c r="CE689" s="73"/>
      <c r="CF689" s="75"/>
      <c r="CG689" s="75"/>
      <c r="CH689" s="75"/>
      <c r="CI689" s="73"/>
      <c r="CJ689" s="75"/>
      <c r="CK689" s="75"/>
      <c r="CL689" s="75"/>
      <c r="CM689" s="73"/>
      <c r="CN689" s="75"/>
      <c r="CO689" s="75"/>
      <c r="CP689" s="75"/>
      <c r="CQ689" s="73"/>
      <c r="CR689" s="75"/>
      <c r="CS689" s="75"/>
      <c r="CT689" s="75"/>
      <c r="CU689" s="73"/>
      <c r="CV689" s="75"/>
      <c r="CW689" s="75"/>
      <c r="CX689" s="75"/>
      <c r="CY689" s="73"/>
      <c r="CZ689" s="75"/>
      <c r="DA689" s="75"/>
      <c r="DB689" s="75"/>
      <c r="DC689" s="73"/>
      <c r="DD689" s="75"/>
      <c r="DE689" s="75"/>
      <c r="DF689" s="75"/>
      <c r="DG689" s="73"/>
      <c r="DH689" s="75"/>
      <c r="DI689" s="75"/>
      <c r="DJ689" s="75"/>
      <c r="DK689" s="76"/>
    </row>
    <row r="690" spans="63:115" x14ac:dyDescent="0.25">
      <c r="BK690" s="75"/>
      <c r="BL690" s="75"/>
      <c r="BM690" s="75"/>
      <c r="BN690" s="73"/>
      <c r="BO690" s="75"/>
      <c r="BP690" s="75"/>
      <c r="BQ690" s="75"/>
      <c r="BR690" s="75"/>
      <c r="BS690" s="75"/>
      <c r="BT690" s="75"/>
      <c r="BU690" s="75"/>
      <c r="BV690" s="75"/>
      <c r="BW690" s="75"/>
      <c r="BX690" s="75"/>
      <c r="BY690" s="75"/>
      <c r="BZ690" s="75"/>
      <c r="CA690" s="73"/>
      <c r="CB690" s="75"/>
      <c r="CC690" s="75"/>
      <c r="CD690" s="75"/>
      <c r="CE690" s="73"/>
      <c r="CF690" s="75"/>
      <c r="CG690" s="75"/>
      <c r="CH690" s="75"/>
      <c r="CI690" s="73"/>
      <c r="CJ690" s="75"/>
      <c r="CK690" s="75"/>
      <c r="CL690" s="75"/>
      <c r="CM690" s="73"/>
      <c r="CN690" s="75"/>
      <c r="CO690" s="75"/>
      <c r="CP690" s="75"/>
      <c r="CQ690" s="73"/>
      <c r="CR690" s="75"/>
      <c r="CS690" s="75"/>
      <c r="CT690" s="75"/>
      <c r="CU690" s="73"/>
      <c r="CV690" s="75"/>
      <c r="CW690" s="75"/>
      <c r="CX690" s="75"/>
      <c r="CY690" s="73"/>
      <c r="CZ690" s="75"/>
      <c r="DA690" s="75"/>
      <c r="DB690" s="75"/>
      <c r="DC690" s="73"/>
      <c r="DD690" s="75"/>
      <c r="DE690" s="75"/>
      <c r="DF690" s="75"/>
      <c r="DG690" s="73"/>
      <c r="DH690" s="75"/>
      <c r="DI690" s="75"/>
      <c r="DJ690" s="75"/>
      <c r="DK690" s="76"/>
    </row>
    <row r="691" spans="63:115" x14ac:dyDescent="0.25">
      <c r="BK691" s="75"/>
      <c r="BL691" s="75"/>
      <c r="BM691" s="75"/>
      <c r="BN691" s="73"/>
      <c r="BO691" s="75"/>
      <c r="BP691" s="75"/>
      <c r="BQ691" s="75"/>
      <c r="BR691" s="75"/>
      <c r="BS691" s="75"/>
      <c r="BT691" s="75"/>
      <c r="BU691" s="75"/>
      <c r="BV691" s="75"/>
      <c r="BW691" s="75"/>
      <c r="BX691" s="75"/>
      <c r="BY691" s="75"/>
      <c r="BZ691" s="75"/>
      <c r="CA691" s="73"/>
      <c r="CB691" s="75"/>
      <c r="CC691" s="75"/>
      <c r="CD691" s="75"/>
      <c r="CE691" s="73"/>
      <c r="CF691" s="75"/>
      <c r="CG691" s="75"/>
      <c r="CH691" s="75"/>
      <c r="CI691" s="73"/>
      <c r="CJ691" s="75"/>
      <c r="CK691" s="75"/>
      <c r="CL691" s="75"/>
      <c r="CM691" s="73"/>
      <c r="CN691" s="75"/>
      <c r="CO691" s="75"/>
      <c r="CP691" s="75"/>
      <c r="CQ691" s="73"/>
      <c r="CR691" s="75"/>
      <c r="CS691" s="75"/>
      <c r="CT691" s="75"/>
      <c r="CU691" s="73"/>
      <c r="CV691" s="75"/>
      <c r="CW691" s="75"/>
      <c r="CX691" s="75"/>
      <c r="CY691" s="73"/>
      <c r="CZ691" s="75"/>
      <c r="DA691" s="75"/>
      <c r="DB691" s="75"/>
      <c r="DC691" s="73"/>
      <c r="DD691" s="75"/>
      <c r="DE691" s="75"/>
      <c r="DF691" s="75"/>
      <c r="DG691" s="73"/>
      <c r="DH691" s="75"/>
      <c r="DI691" s="75"/>
      <c r="DJ691" s="75"/>
      <c r="DK691" s="76"/>
    </row>
    <row r="692" spans="63:115" x14ac:dyDescent="0.25">
      <c r="BK692" s="75"/>
      <c r="BL692" s="75"/>
      <c r="BM692" s="75"/>
      <c r="BN692" s="73"/>
      <c r="BO692" s="75"/>
      <c r="BP692" s="75"/>
      <c r="BQ692" s="75"/>
      <c r="BR692" s="75"/>
      <c r="BS692" s="75"/>
      <c r="BT692" s="75"/>
      <c r="BU692" s="75"/>
      <c r="BV692" s="75"/>
      <c r="BW692" s="75"/>
      <c r="BX692" s="75"/>
      <c r="BY692" s="75"/>
      <c r="BZ692" s="75"/>
      <c r="CA692" s="73"/>
      <c r="CB692" s="75"/>
      <c r="CC692" s="75"/>
      <c r="CD692" s="75"/>
      <c r="CE692" s="73"/>
      <c r="CF692" s="75"/>
      <c r="CG692" s="75"/>
      <c r="CH692" s="75"/>
      <c r="CI692" s="73"/>
      <c r="CJ692" s="75"/>
      <c r="CK692" s="75"/>
      <c r="CL692" s="75"/>
      <c r="CM692" s="73"/>
      <c r="CN692" s="75"/>
      <c r="CO692" s="75"/>
      <c r="CP692" s="75"/>
      <c r="CQ692" s="73"/>
      <c r="CR692" s="75"/>
      <c r="CS692" s="75"/>
      <c r="CT692" s="75"/>
      <c r="CU692" s="73"/>
      <c r="CV692" s="75"/>
      <c r="CW692" s="75"/>
      <c r="CX692" s="75"/>
      <c r="CY692" s="73"/>
      <c r="CZ692" s="75"/>
      <c r="DA692" s="75"/>
      <c r="DB692" s="75"/>
      <c r="DC692" s="73"/>
      <c r="DD692" s="75"/>
      <c r="DE692" s="75"/>
      <c r="DF692" s="75"/>
      <c r="DG692" s="73"/>
      <c r="DH692" s="75"/>
      <c r="DI692" s="75"/>
      <c r="DJ692" s="75"/>
      <c r="DK692" s="76"/>
    </row>
    <row r="693" spans="63:115" x14ac:dyDescent="0.25">
      <c r="BK693" s="75"/>
      <c r="BL693" s="75"/>
      <c r="BM693" s="75"/>
      <c r="BN693" s="73"/>
      <c r="BO693" s="75"/>
      <c r="BP693" s="75"/>
      <c r="BQ693" s="75"/>
      <c r="BR693" s="75"/>
      <c r="BS693" s="75"/>
      <c r="BT693" s="75"/>
      <c r="BU693" s="75"/>
      <c r="BV693" s="75"/>
      <c r="BW693" s="75"/>
      <c r="BX693" s="75"/>
      <c r="BY693" s="75"/>
      <c r="BZ693" s="75"/>
      <c r="CA693" s="73"/>
      <c r="CB693" s="75"/>
      <c r="CC693" s="75"/>
      <c r="CD693" s="75"/>
      <c r="CE693" s="73"/>
      <c r="CF693" s="75"/>
      <c r="CG693" s="75"/>
      <c r="CH693" s="75"/>
      <c r="CI693" s="73"/>
      <c r="CJ693" s="75"/>
      <c r="CK693" s="75"/>
      <c r="CL693" s="75"/>
      <c r="CM693" s="73"/>
      <c r="CN693" s="75"/>
      <c r="CO693" s="75"/>
      <c r="CP693" s="75"/>
      <c r="CQ693" s="73"/>
      <c r="CR693" s="75"/>
      <c r="CS693" s="75"/>
      <c r="CT693" s="75"/>
      <c r="CU693" s="73"/>
      <c r="CV693" s="75"/>
      <c r="CW693" s="75"/>
      <c r="CX693" s="75"/>
      <c r="CY693" s="73"/>
      <c r="CZ693" s="75"/>
      <c r="DA693" s="75"/>
      <c r="DB693" s="75"/>
      <c r="DC693" s="73"/>
      <c r="DD693" s="75"/>
      <c r="DE693" s="75"/>
      <c r="DF693" s="75"/>
      <c r="DG693" s="73"/>
      <c r="DH693" s="75"/>
      <c r="DI693" s="75"/>
      <c r="DJ693" s="75"/>
      <c r="DK693" s="76"/>
    </row>
    <row r="694" spans="63:115" x14ac:dyDescent="0.25">
      <c r="BK694" s="75"/>
      <c r="BL694" s="75"/>
      <c r="BM694" s="75"/>
      <c r="BN694" s="73"/>
      <c r="BO694" s="75"/>
      <c r="BP694" s="75"/>
      <c r="BQ694" s="75"/>
      <c r="BR694" s="75"/>
      <c r="BS694" s="75"/>
      <c r="BT694" s="75"/>
      <c r="BU694" s="75"/>
      <c r="BV694" s="75"/>
      <c r="BW694" s="75"/>
      <c r="BX694" s="75"/>
      <c r="BY694" s="75"/>
      <c r="BZ694" s="75"/>
      <c r="CA694" s="73"/>
      <c r="CB694" s="75"/>
      <c r="CC694" s="75"/>
      <c r="CD694" s="75"/>
      <c r="CE694" s="73"/>
      <c r="CF694" s="75"/>
      <c r="CG694" s="75"/>
      <c r="CH694" s="75"/>
      <c r="CI694" s="73"/>
      <c r="CJ694" s="75"/>
      <c r="CK694" s="75"/>
      <c r="CL694" s="75"/>
      <c r="CM694" s="73"/>
      <c r="CN694" s="75"/>
      <c r="CO694" s="75"/>
      <c r="CP694" s="75"/>
      <c r="CQ694" s="73"/>
      <c r="CR694" s="75"/>
      <c r="CS694" s="75"/>
      <c r="CT694" s="75"/>
      <c r="CU694" s="73"/>
      <c r="CV694" s="75"/>
      <c r="CW694" s="75"/>
      <c r="CX694" s="75"/>
      <c r="CY694" s="73"/>
      <c r="CZ694" s="75"/>
      <c r="DA694" s="75"/>
      <c r="DB694" s="75"/>
      <c r="DC694" s="73"/>
      <c r="DD694" s="75"/>
      <c r="DE694" s="75"/>
      <c r="DF694" s="75"/>
      <c r="DG694" s="73"/>
      <c r="DH694" s="75"/>
      <c r="DI694" s="75"/>
      <c r="DJ694" s="75"/>
      <c r="DK694" s="76"/>
    </row>
    <row r="695" spans="63:115" x14ac:dyDescent="0.25">
      <c r="BK695" s="75"/>
      <c r="BL695" s="75"/>
      <c r="BM695" s="75"/>
      <c r="BN695" s="73"/>
      <c r="BO695" s="75"/>
      <c r="BP695" s="75"/>
      <c r="BQ695" s="75"/>
      <c r="BR695" s="75"/>
      <c r="BS695" s="75"/>
      <c r="BT695" s="75"/>
      <c r="BU695" s="75"/>
      <c r="BV695" s="75"/>
      <c r="BW695" s="75"/>
      <c r="BX695" s="75"/>
      <c r="BY695" s="75"/>
      <c r="BZ695" s="75"/>
      <c r="CA695" s="73"/>
      <c r="CB695" s="75"/>
      <c r="CC695" s="75"/>
      <c r="CD695" s="75"/>
      <c r="CE695" s="73"/>
      <c r="CF695" s="75"/>
      <c r="CG695" s="75"/>
      <c r="CH695" s="75"/>
      <c r="CI695" s="73"/>
      <c r="CJ695" s="75"/>
      <c r="CK695" s="75"/>
      <c r="CL695" s="75"/>
      <c r="CM695" s="73"/>
      <c r="CN695" s="75"/>
      <c r="CO695" s="75"/>
      <c r="CP695" s="75"/>
      <c r="CQ695" s="73"/>
      <c r="CR695" s="75"/>
      <c r="CS695" s="75"/>
      <c r="CT695" s="75"/>
      <c r="CU695" s="73"/>
      <c r="CV695" s="75"/>
      <c r="CW695" s="75"/>
      <c r="CX695" s="75"/>
      <c r="CY695" s="73"/>
      <c r="CZ695" s="75"/>
      <c r="DA695" s="75"/>
      <c r="DB695" s="75"/>
      <c r="DC695" s="73"/>
      <c r="DD695" s="75"/>
      <c r="DE695" s="75"/>
      <c r="DF695" s="75"/>
      <c r="DG695" s="73"/>
      <c r="DH695" s="75"/>
      <c r="DI695" s="75"/>
      <c r="DJ695" s="75"/>
      <c r="DK695" s="76"/>
    </row>
    <row r="696" spans="63:115" x14ac:dyDescent="0.25">
      <c r="BK696" s="75"/>
      <c r="BL696" s="75"/>
      <c r="BM696" s="75"/>
      <c r="BN696" s="73"/>
      <c r="BO696" s="75"/>
      <c r="BP696" s="75"/>
      <c r="BQ696" s="75"/>
      <c r="BR696" s="75"/>
      <c r="BS696" s="75"/>
      <c r="BT696" s="75"/>
      <c r="BU696" s="75"/>
      <c r="BV696" s="75"/>
      <c r="BW696" s="75"/>
      <c r="BX696" s="75"/>
      <c r="BY696" s="75"/>
      <c r="BZ696" s="75"/>
      <c r="CA696" s="73"/>
      <c r="CB696" s="75"/>
      <c r="CC696" s="75"/>
      <c r="CD696" s="75"/>
      <c r="CE696" s="73"/>
      <c r="CF696" s="75"/>
      <c r="CG696" s="75"/>
      <c r="CH696" s="75"/>
      <c r="CI696" s="73"/>
      <c r="CJ696" s="75"/>
      <c r="CK696" s="75"/>
      <c r="CL696" s="75"/>
      <c r="CM696" s="73"/>
      <c r="CN696" s="75"/>
      <c r="CO696" s="75"/>
      <c r="CP696" s="75"/>
      <c r="CQ696" s="73"/>
      <c r="CR696" s="75"/>
      <c r="CS696" s="75"/>
      <c r="CT696" s="75"/>
      <c r="CU696" s="73"/>
      <c r="CV696" s="75"/>
      <c r="CW696" s="75"/>
      <c r="CX696" s="75"/>
      <c r="CY696" s="73"/>
      <c r="CZ696" s="75"/>
      <c r="DA696" s="75"/>
      <c r="DB696" s="75"/>
      <c r="DC696" s="73"/>
      <c r="DD696" s="75"/>
      <c r="DE696" s="75"/>
      <c r="DF696" s="75"/>
      <c r="DG696" s="73"/>
      <c r="DH696" s="75"/>
      <c r="DI696" s="75"/>
      <c r="DJ696" s="75"/>
      <c r="DK696" s="76"/>
    </row>
    <row r="697" spans="63:115" x14ac:dyDescent="0.25">
      <c r="BK697" s="75"/>
      <c r="BL697" s="75"/>
      <c r="BM697" s="75"/>
      <c r="BN697" s="73"/>
      <c r="BO697" s="75"/>
      <c r="BP697" s="75"/>
      <c r="BQ697" s="75"/>
      <c r="BR697" s="75"/>
      <c r="BS697" s="75"/>
      <c r="BT697" s="75"/>
      <c r="BU697" s="75"/>
      <c r="BV697" s="75"/>
      <c r="BW697" s="75"/>
      <c r="BX697" s="75"/>
      <c r="BY697" s="75"/>
      <c r="BZ697" s="75"/>
      <c r="CA697" s="73"/>
      <c r="CB697" s="75"/>
      <c r="CC697" s="75"/>
      <c r="CD697" s="75"/>
      <c r="CE697" s="73"/>
      <c r="CF697" s="75"/>
      <c r="CG697" s="75"/>
      <c r="CH697" s="75"/>
      <c r="CI697" s="73"/>
      <c r="CJ697" s="75"/>
      <c r="CK697" s="75"/>
      <c r="CL697" s="75"/>
      <c r="CM697" s="73"/>
      <c r="CN697" s="75"/>
      <c r="CO697" s="75"/>
      <c r="CP697" s="75"/>
      <c r="CQ697" s="73"/>
      <c r="CR697" s="75"/>
      <c r="CS697" s="75"/>
      <c r="CT697" s="75"/>
      <c r="CU697" s="73"/>
      <c r="CV697" s="75"/>
      <c r="CW697" s="75"/>
      <c r="CX697" s="75"/>
      <c r="CY697" s="73"/>
      <c r="CZ697" s="75"/>
      <c r="DA697" s="75"/>
      <c r="DB697" s="75"/>
      <c r="DC697" s="73"/>
      <c r="DD697" s="75"/>
      <c r="DE697" s="75"/>
      <c r="DF697" s="75"/>
      <c r="DG697" s="73"/>
      <c r="DH697" s="75"/>
      <c r="DI697" s="75"/>
      <c r="DJ697" s="75"/>
      <c r="DK697" s="76"/>
    </row>
    <row r="698" spans="63:115" x14ac:dyDescent="0.25">
      <c r="BK698" s="75"/>
      <c r="BL698" s="75"/>
      <c r="BM698" s="75"/>
      <c r="BN698" s="73"/>
      <c r="BO698" s="75"/>
      <c r="BP698" s="75"/>
      <c r="BQ698" s="75"/>
      <c r="BR698" s="75"/>
      <c r="BS698" s="75"/>
      <c r="BT698" s="75"/>
      <c r="BU698" s="75"/>
      <c r="BV698" s="75"/>
      <c r="BW698" s="75"/>
      <c r="BX698" s="75"/>
      <c r="BY698" s="75"/>
      <c r="BZ698" s="75"/>
      <c r="CA698" s="73"/>
      <c r="CB698" s="75"/>
      <c r="CC698" s="75"/>
      <c r="CD698" s="75"/>
      <c r="CE698" s="73"/>
      <c r="CF698" s="75"/>
      <c r="CG698" s="75"/>
      <c r="CH698" s="75"/>
      <c r="CI698" s="73"/>
      <c r="CJ698" s="75"/>
      <c r="CK698" s="75"/>
      <c r="CL698" s="75"/>
      <c r="CM698" s="73"/>
      <c r="CN698" s="75"/>
      <c r="CO698" s="75"/>
      <c r="CP698" s="75"/>
      <c r="CQ698" s="73"/>
      <c r="CR698" s="75"/>
      <c r="CS698" s="75"/>
      <c r="CT698" s="75"/>
      <c r="CU698" s="73"/>
      <c r="CV698" s="75"/>
      <c r="CW698" s="75"/>
      <c r="CX698" s="75"/>
      <c r="CY698" s="73"/>
      <c r="CZ698" s="75"/>
      <c r="DA698" s="75"/>
      <c r="DB698" s="75"/>
      <c r="DC698" s="73"/>
      <c r="DD698" s="75"/>
      <c r="DE698" s="75"/>
      <c r="DF698" s="75"/>
      <c r="DG698" s="73"/>
      <c r="DH698" s="75"/>
      <c r="DI698" s="75"/>
      <c r="DJ698" s="75"/>
      <c r="DK698" s="76"/>
    </row>
    <row r="699" spans="63:115" x14ac:dyDescent="0.25">
      <c r="BK699" s="75"/>
      <c r="BL699" s="75"/>
      <c r="BM699" s="75"/>
      <c r="BN699" s="73"/>
      <c r="BO699" s="75"/>
      <c r="BP699" s="75"/>
      <c r="BQ699" s="75"/>
      <c r="BR699" s="75"/>
      <c r="BS699" s="75"/>
      <c r="BT699" s="75"/>
      <c r="BU699" s="75"/>
      <c r="BV699" s="75"/>
      <c r="BW699" s="75"/>
      <c r="BX699" s="75"/>
      <c r="BY699" s="75"/>
      <c r="BZ699" s="75"/>
      <c r="CA699" s="73"/>
      <c r="CB699" s="75"/>
      <c r="CC699" s="75"/>
      <c r="CD699" s="75"/>
      <c r="CE699" s="73"/>
      <c r="CF699" s="75"/>
      <c r="CG699" s="75"/>
      <c r="CH699" s="75"/>
      <c r="CI699" s="73"/>
      <c r="CJ699" s="75"/>
      <c r="CK699" s="75"/>
      <c r="CL699" s="75"/>
      <c r="CM699" s="73"/>
      <c r="CN699" s="75"/>
      <c r="CO699" s="75"/>
      <c r="CP699" s="75"/>
      <c r="CQ699" s="73"/>
      <c r="CR699" s="75"/>
      <c r="CS699" s="75"/>
      <c r="CT699" s="75"/>
      <c r="CU699" s="73"/>
      <c r="CV699" s="75"/>
      <c r="CW699" s="75"/>
      <c r="CX699" s="75"/>
      <c r="CY699" s="73"/>
      <c r="CZ699" s="75"/>
      <c r="DA699" s="75"/>
      <c r="DB699" s="75"/>
      <c r="DC699" s="73"/>
      <c r="DD699" s="75"/>
      <c r="DE699" s="75"/>
      <c r="DF699" s="75"/>
      <c r="DG699" s="73"/>
      <c r="DH699" s="75"/>
      <c r="DI699" s="75"/>
      <c r="DJ699" s="75"/>
      <c r="DK699" s="76"/>
    </row>
    <row r="700" spans="63:115" x14ac:dyDescent="0.25">
      <c r="BK700" s="75"/>
      <c r="BL700" s="75"/>
      <c r="BM700" s="75"/>
      <c r="BN700" s="73"/>
      <c r="BO700" s="75"/>
      <c r="BP700" s="75"/>
      <c r="BQ700" s="75"/>
      <c r="BR700" s="75"/>
      <c r="BS700" s="75"/>
      <c r="BT700" s="75"/>
      <c r="BU700" s="75"/>
      <c r="BV700" s="75"/>
      <c r="BW700" s="75"/>
      <c r="BX700" s="75"/>
      <c r="BY700" s="75"/>
      <c r="BZ700" s="75"/>
      <c r="CA700" s="73"/>
      <c r="CB700" s="75"/>
      <c r="CC700" s="75"/>
      <c r="CD700" s="75"/>
      <c r="CE700" s="73"/>
      <c r="CF700" s="75"/>
      <c r="CG700" s="75"/>
      <c r="CH700" s="75"/>
      <c r="CI700" s="73"/>
      <c r="CJ700" s="75"/>
      <c r="CK700" s="75"/>
      <c r="CL700" s="75"/>
      <c r="CM700" s="73"/>
      <c r="CN700" s="75"/>
      <c r="CO700" s="75"/>
      <c r="CP700" s="75"/>
      <c r="CQ700" s="73"/>
      <c r="CR700" s="75"/>
      <c r="CS700" s="75"/>
      <c r="CT700" s="75"/>
      <c r="CU700" s="73"/>
      <c r="CV700" s="75"/>
      <c r="CW700" s="75"/>
      <c r="CX700" s="75"/>
      <c r="CY700" s="73"/>
      <c r="CZ700" s="75"/>
      <c r="DA700" s="75"/>
      <c r="DB700" s="75"/>
      <c r="DC700" s="73"/>
      <c r="DD700" s="75"/>
      <c r="DE700" s="75"/>
      <c r="DF700" s="75"/>
      <c r="DG700" s="73"/>
      <c r="DH700" s="75"/>
      <c r="DI700" s="75"/>
      <c r="DJ700" s="75"/>
      <c r="DK700" s="76"/>
    </row>
    <row r="701" spans="63:115" x14ac:dyDescent="0.25">
      <c r="BK701" s="75"/>
      <c r="BL701" s="75"/>
      <c r="BM701" s="75"/>
      <c r="BN701" s="73"/>
      <c r="BO701" s="75"/>
      <c r="BP701" s="75"/>
      <c r="BQ701" s="75"/>
      <c r="BR701" s="75"/>
      <c r="BS701" s="75"/>
      <c r="BT701" s="75"/>
      <c r="BU701" s="75"/>
      <c r="BV701" s="75"/>
      <c r="BW701" s="75"/>
      <c r="BX701" s="75"/>
      <c r="BY701" s="75"/>
      <c r="BZ701" s="75"/>
      <c r="CA701" s="73"/>
      <c r="CB701" s="75"/>
      <c r="CC701" s="75"/>
      <c r="CD701" s="75"/>
      <c r="CE701" s="73"/>
      <c r="CF701" s="75"/>
      <c r="CG701" s="75"/>
      <c r="CH701" s="75"/>
      <c r="CI701" s="73"/>
      <c r="CJ701" s="75"/>
      <c r="CK701" s="75"/>
      <c r="CL701" s="75"/>
      <c r="CM701" s="73"/>
      <c r="CN701" s="75"/>
      <c r="CO701" s="75"/>
      <c r="CP701" s="75"/>
      <c r="CQ701" s="73"/>
      <c r="CR701" s="75"/>
      <c r="CS701" s="75"/>
      <c r="CT701" s="75"/>
      <c r="CU701" s="73"/>
      <c r="CV701" s="75"/>
      <c r="CW701" s="75"/>
      <c r="CX701" s="75"/>
      <c r="CY701" s="73"/>
      <c r="CZ701" s="75"/>
      <c r="DA701" s="75"/>
      <c r="DB701" s="75"/>
      <c r="DC701" s="73"/>
      <c r="DD701" s="75"/>
      <c r="DE701" s="75"/>
      <c r="DF701" s="75"/>
      <c r="DG701" s="73"/>
      <c r="DH701" s="75"/>
      <c r="DI701" s="75"/>
      <c r="DJ701" s="75"/>
      <c r="DK701" s="76"/>
    </row>
    <row r="702" spans="63:115" x14ac:dyDescent="0.25">
      <c r="BK702" s="75"/>
      <c r="BL702" s="75"/>
      <c r="BM702" s="75"/>
      <c r="BN702" s="73"/>
      <c r="BO702" s="75"/>
      <c r="BP702" s="75"/>
      <c r="BQ702" s="75"/>
      <c r="BR702" s="75"/>
      <c r="BS702" s="75"/>
      <c r="BT702" s="75"/>
      <c r="BU702" s="75"/>
      <c r="BV702" s="75"/>
      <c r="BW702" s="75"/>
      <c r="BX702" s="75"/>
      <c r="BY702" s="75"/>
      <c r="BZ702" s="75"/>
      <c r="CA702" s="73"/>
      <c r="CB702" s="75"/>
      <c r="CC702" s="75"/>
      <c r="CD702" s="75"/>
      <c r="CE702" s="73"/>
      <c r="CF702" s="75"/>
      <c r="CG702" s="75"/>
      <c r="CH702" s="75"/>
      <c r="CI702" s="73"/>
      <c r="CJ702" s="75"/>
      <c r="CK702" s="75"/>
      <c r="CL702" s="75"/>
      <c r="CM702" s="73"/>
      <c r="CN702" s="75"/>
      <c r="CO702" s="75"/>
      <c r="CP702" s="75"/>
      <c r="CQ702" s="73"/>
      <c r="CR702" s="75"/>
      <c r="CS702" s="75"/>
      <c r="CT702" s="75"/>
      <c r="CU702" s="73"/>
      <c r="CV702" s="75"/>
      <c r="CW702" s="75"/>
      <c r="CX702" s="75"/>
      <c r="CY702" s="73"/>
      <c r="CZ702" s="75"/>
      <c r="DA702" s="75"/>
      <c r="DB702" s="75"/>
      <c r="DC702" s="73"/>
      <c r="DD702" s="75"/>
      <c r="DE702" s="75"/>
      <c r="DF702" s="75"/>
      <c r="DG702" s="73"/>
      <c r="DH702" s="75"/>
      <c r="DI702" s="75"/>
      <c r="DJ702" s="75"/>
      <c r="DK702" s="76"/>
    </row>
    <row r="703" spans="63:115" x14ac:dyDescent="0.25">
      <c r="BK703" s="75"/>
      <c r="BL703" s="75"/>
      <c r="BM703" s="75"/>
      <c r="BN703" s="73"/>
      <c r="BO703" s="75"/>
      <c r="BP703" s="75"/>
      <c r="BQ703" s="75"/>
      <c r="BR703" s="75"/>
      <c r="BS703" s="75"/>
      <c r="BT703" s="75"/>
      <c r="BU703" s="75"/>
      <c r="BV703" s="75"/>
      <c r="BW703" s="75"/>
      <c r="BX703" s="75"/>
      <c r="BY703" s="75"/>
      <c r="BZ703" s="75"/>
      <c r="CA703" s="73"/>
      <c r="CB703" s="75"/>
      <c r="CC703" s="75"/>
      <c r="CD703" s="75"/>
      <c r="CE703" s="73"/>
      <c r="CF703" s="75"/>
      <c r="CG703" s="75"/>
      <c r="CH703" s="75"/>
      <c r="CI703" s="73"/>
      <c r="CJ703" s="75"/>
      <c r="CK703" s="75"/>
      <c r="CL703" s="75"/>
      <c r="CM703" s="73"/>
      <c r="CN703" s="75"/>
      <c r="CO703" s="75"/>
      <c r="CP703" s="75"/>
      <c r="CQ703" s="73"/>
      <c r="CR703" s="75"/>
      <c r="CS703" s="75"/>
      <c r="CT703" s="75"/>
      <c r="CU703" s="73"/>
      <c r="CV703" s="75"/>
      <c r="CW703" s="75"/>
      <c r="CX703" s="75"/>
      <c r="CY703" s="73"/>
      <c r="CZ703" s="75"/>
      <c r="DA703" s="75"/>
      <c r="DB703" s="75"/>
      <c r="DC703" s="73"/>
      <c r="DD703" s="75"/>
      <c r="DE703" s="75"/>
      <c r="DF703" s="75"/>
      <c r="DG703" s="73"/>
      <c r="DH703" s="75"/>
      <c r="DI703" s="75"/>
      <c r="DJ703" s="75"/>
      <c r="DK703" s="76"/>
    </row>
    <row r="704" spans="63:115" x14ac:dyDescent="0.25">
      <c r="BK704" s="75"/>
      <c r="BL704" s="75"/>
      <c r="BM704" s="75"/>
      <c r="BN704" s="73"/>
      <c r="BO704" s="75"/>
      <c r="BP704" s="75"/>
      <c r="BQ704" s="75"/>
      <c r="BR704" s="75"/>
      <c r="BS704" s="75"/>
      <c r="BT704" s="75"/>
      <c r="BU704" s="75"/>
      <c r="BV704" s="75"/>
      <c r="BW704" s="75"/>
      <c r="BX704" s="75"/>
      <c r="BY704" s="75"/>
      <c r="BZ704" s="75"/>
      <c r="CA704" s="73"/>
      <c r="CB704" s="75"/>
      <c r="CC704" s="75"/>
      <c r="CD704" s="75"/>
      <c r="CE704" s="73"/>
      <c r="CF704" s="75"/>
      <c r="CG704" s="75"/>
      <c r="CH704" s="75"/>
      <c r="CI704" s="73"/>
      <c r="CJ704" s="75"/>
      <c r="CK704" s="75"/>
      <c r="CL704" s="75"/>
      <c r="CM704" s="73"/>
      <c r="CN704" s="75"/>
      <c r="CO704" s="75"/>
      <c r="CP704" s="75"/>
      <c r="CQ704" s="73"/>
      <c r="CR704" s="75"/>
      <c r="CS704" s="75"/>
      <c r="CT704" s="75"/>
      <c r="CU704" s="73"/>
      <c r="CV704" s="75"/>
      <c r="CW704" s="75"/>
      <c r="CX704" s="75"/>
      <c r="CY704" s="73"/>
      <c r="CZ704" s="75"/>
      <c r="DA704" s="75"/>
      <c r="DB704" s="75"/>
      <c r="DC704" s="73"/>
      <c r="DD704" s="75"/>
      <c r="DE704" s="75"/>
      <c r="DF704" s="75"/>
      <c r="DG704" s="73"/>
      <c r="DH704" s="75"/>
      <c r="DI704" s="75"/>
      <c r="DJ704" s="75"/>
      <c r="DK704" s="76"/>
    </row>
    <row r="705" spans="63:115" x14ac:dyDescent="0.25">
      <c r="BK705" s="75"/>
      <c r="BL705" s="75"/>
      <c r="BM705" s="75"/>
      <c r="BN705" s="73"/>
      <c r="BO705" s="75"/>
      <c r="BP705" s="75"/>
      <c r="BQ705" s="75"/>
      <c r="BR705" s="75"/>
      <c r="BS705" s="75"/>
      <c r="BT705" s="75"/>
      <c r="BU705" s="75"/>
      <c r="BV705" s="75"/>
      <c r="BW705" s="75"/>
      <c r="BX705" s="75"/>
      <c r="BY705" s="75"/>
      <c r="BZ705" s="75"/>
      <c r="CA705" s="73"/>
      <c r="CB705" s="75"/>
      <c r="CC705" s="75"/>
      <c r="CD705" s="75"/>
      <c r="CE705" s="73"/>
      <c r="CF705" s="75"/>
      <c r="CG705" s="75"/>
      <c r="CH705" s="75"/>
      <c r="CI705" s="73"/>
      <c r="CJ705" s="75"/>
      <c r="CK705" s="75"/>
      <c r="CL705" s="75"/>
      <c r="CM705" s="73"/>
      <c r="CN705" s="75"/>
      <c r="CO705" s="75"/>
      <c r="CP705" s="75"/>
      <c r="CQ705" s="73"/>
      <c r="CR705" s="75"/>
      <c r="CS705" s="75"/>
      <c r="CT705" s="75"/>
      <c r="CU705" s="73"/>
      <c r="CV705" s="75"/>
      <c r="CW705" s="75"/>
      <c r="CX705" s="75"/>
      <c r="CY705" s="73"/>
      <c r="CZ705" s="75"/>
      <c r="DA705" s="75"/>
      <c r="DB705" s="75"/>
      <c r="DC705" s="73"/>
      <c r="DD705" s="75"/>
      <c r="DE705" s="75"/>
      <c r="DF705" s="75"/>
      <c r="DG705" s="73"/>
      <c r="DH705" s="75"/>
      <c r="DI705" s="75"/>
      <c r="DJ705" s="75"/>
      <c r="DK705" s="76"/>
    </row>
    <row r="706" spans="63:115" x14ac:dyDescent="0.25">
      <c r="BK706" s="75"/>
      <c r="BL706" s="75"/>
      <c r="BM706" s="75"/>
      <c r="BN706" s="73"/>
      <c r="BO706" s="75"/>
      <c r="BP706" s="75"/>
      <c r="BQ706" s="75"/>
      <c r="BR706" s="75"/>
      <c r="BS706" s="75"/>
      <c r="BT706" s="75"/>
      <c r="BU706" s="75"/>
      <c r="BV706" s="75"/>
      <c r="BW706" s="75"/>
      <c r="BX706" s="75"/>
      <c r="BY706" s="75"/>
      <c r="BZ706" s="75"/>
      <c r="CA706" s="73"/>
      <c r="CB706" s="75"/>
      <c r="CC706" s="75"/>
      <c r="CD706" s="75"/>
      <c r="CE706" s="73"/>
      <c r="CF706" s="75"/>
      <c r="CG706" s="75"/>
      <c r="CH706" s="75"/>
      <c r="CI706" s="73"/>
      <c r="CJ706" s="75"/>
      <c r="CK706" s="75"/>
      <c r="CL706" s="75"/>
      <c r="CM706" s="73"/>
      <c r="CN706" s="75"/>
      <c r="CO706" s="75"/>
      <c r="CP706" s="75"/>
      <c r="CQ706" s="73"/>
      <c r="CR706" s="75"/>
      <c r="CS706" s="75"/>
      <c r="CT706" s="75"/>
      <c r="CU706" s="73"/>
      <c r="CV706" s="75"/>
      <c r="CW706" s="75"/>
      <c r="CX706" s="75"/>
      <c r="CY706" s="73"/>
      <c r="CZ706" s="75"/>
      <c r="DA706" s="75"/>
      <c r="DB706" s="75"/>
      <c r="DC706" s="73"/>
      <c r="DD706" s="75"/>
      <c r="DE706" s="75"/>
      <c r="DF706" s="75"/>
      <c r="DG706" s="73"/>
      <c r="DH706" s="75"/>
      <c r="DI706" s="75"/>
      <c r="DJ706" s="75"/>
      <c r="DK706" s="76"/>
    </row>
    <row r="707" spans="63:115" x14ac:dyDescent="0.25">
      <c r="BK707" s="75"/>
      <c r="BL707" s="75"/>
      <c r="BM707" s="75"/>
      <c r="BN707" s="73"/>
      <c r="BO707" s="75"/>
      <c r="BP707" s="75"/>
      <c r="BQ707" s="75"/>
      <c r="BR707" s="75"/>
      <c r="BS707" s="75"/>
      <c r="BT707" s="75"/>
      <c r="BU707" s="75"/>
      <c r="BV707" s="75"/>
      <c r="BW707" s="75"/>
      <c r="BX707" s="75"/>
      <c r="BY707" s="75"/>
      <c r="BZ707" s="75"/>
      <c r="CA707" s="73"/>
      <c r="CB707" s="75"/>
      <c r="CC707" s="75"/>
      <c r="CD707" s="75"/>
      <c r="CE707" s="73"/>
      <c r="CF707" s="75"/>
      <c r="CG707" s="75"/>
      <c r="CH707" s="75"/>
      <c r="CI707" s="73"/>
      <c r="CJ707" s="75"/>
      <c r="CK707" s="75"/>
      <c r="CL707" s="75"/>
      <c r="CM707" s="73"/>
      <c r="CN707" s="75"/>
      <c r="CO707" s="75"/>
      <c r="CP707" s="75"/>
      <c r="CQ707" s="73"/>
      <c r="CR707" s="75"/>
      <c r="CS707" s="75"/>
      <c r="CT707" s="75"/>
      <c r="CU707" s="73"/>
      <c r="CV707" s="75"/>
      <c r="CW707" s="75"/>
      <c r="CX707" s="75"/>
      <c r="CY707" s="73"/>
      <c r="CZ707" s="75"/>
      <c r="DA707" s="75"/>
      <c r="DB707" s="75"/>
      <c r="DC707" s="73"/>
      <c r="DD707" s="75"/>
      <c r="DE707" s="75"/>
      <c r="DF707" s="75"/>
      <c r="DG707" s="73"/>
      <c r="DH707" s="75"/>
      <c r="DI707" s="75"/>
      <c r="DJ707" s="75"/>
      <c r="DK707" s="76"/>
    </row>
    <row r="708" spans="63:115" x14ac:dyDescent="0.25">
      <c r="BK708" s="75"/>
      <c r="BL708" s="75"/>
      <c r="BM708" s="75"/>
      <c r="BN708" s="73"/>
      <c r="BO708" s="75"/>
      <c r="BP708" s="75"/>
      <c r="BQ708" s="75"/>
      <c r="BR708" s="75"/>
      <c r="BS708" s="75"/>
      <c r="BT708" s="75"/>
      <c r="BU708" s="75"/>
      <c r="BV708" s="75"/>
      <c r="BW708" s="75"/>
      <c r="BX708" s="75"/>
      <c r="BY708" s="75"/>
      <c r="BZ708" s="75"/>
      <c r="CA708" s="73"/>
      <c r="CB708" s="75"/>
      <c r="CC708" s="75"/>
      <c r="CD708" s="75"/>
      <c r="CE708" s="73"/>
      <c r="CF708" s="75"/>
      <c r="CG708" s="75"/>
      <c r="CH708" s="75"/>
      <c r="CI708" s="73"/>
      <c r="CJ708" s="75"/>
      <c r="CK708" s="75"/>
      <c r="CL708" s="75"/>
      <c r="CM708" s="73"/>
      <c r="CN708" s="75"/>
      <c r="CO708" s="75"/>
      <c r="CP708" s="75"/>
      <c r="CQ708" s="73"/>
      <c r="CR708" s="75"/>
      <c r="CS708" s="75"/>
      <c r="CT708" s="75"/>
      <c r="CU708" s="73"/>
      <c r="CV708" s="75"/>
      <c r="CW708" s="75"/>
      <c r="CX708" s="75"/>
      <c r="CY708" s="73"/>
      <c r="CZ708" s="75"/>
      <c r="DA708" s="75"/>
      <c r="DB708" s="75"/>
      <c r="DC708" s="73"/>
      <c r="DD708" s="75"/>
      <c r="DE708" s="75"/>
      <c r="DF708" s="75"/>
      <c r="DG708" s="73"/>
      <c r="DH708" s="75"/>
      <c r="DI708" s="75"/>
      <c r="DJ708" s="75"/>
      <c r="DK708" s="76"/>
    </row>
    <row r="709" spans="63:115" x14ac:dyDescent="0.25">
      <c r="BK709" s="75"/>
      <c r="BL709" s="75"/>
      <c r="BM709" s="75"/>
      <c r="BN709" s="73"/>
      <c r="BO709" s="75"/>
      <c r="BP709" s="75"/>
      <c r="BQ709" s="75"/>
      <c r="BR709" s="75"/>
      <c r="BS709" s="75"/>
      <c r="BT709" s="75"/>
      <c r="BU709" s="75"/>
      <c r="BV709" s="75"/>
      <c r="BW709" s="75"/>
      <c r="BX709" s="75"/>
      <c r="BY709" s="75"/>
      <c r="BZ709" s="75"/>
      <c r="CA709" s="73"/>
      <c r="CB709" s="75"/>
      <c r="CC709" s="75"/>
      <c r="CD709" s="75"/>
      <c r="CE709" s="73"/>
      <c r="CF709" s="75"/>
      <c r="CG709" s="75"/>
      <c r="CH709" s="75"/>
      <c r="CI709" s="73"/>
      <c r="CJ709" s="75"/>
      <c r="CK709" s="75"/>
      <c r="CL709" s="75"/>
      <c r="CM709" s="73"/>
      <c r="CN709" s="75"/>
      <c r="CO709" s="75"/>
      <c r="CP709" s="75"/>
      <c r="CQ709" s="73"/>
      <c r="CR709" s="75"/>
      <c r="CS709" s="75"/>
      <c r="CT709" s="75"/>
      <c r="CU709" s="73"/>
      <c r="CV709" s="75"/>
      <c r="CW709" s="75"/>
      <c r="CX709" s="75"/>
      <c r="CY709" s="73"/>
      <c r="CZ709" s="75"/>
      <c r="DA709" s="75"/>
      <c r="DB709" s="75"/>
      <c r="DC709" s="73"/>
      <c r="DD709" s="75"/>
      <c r="DE709" s="75"/>
      <c r="DF709" s="75"/>
      <c r="DG709" s="73"/>
      <c r="DH709" s="75"/>
      <c r="DI709" s="75"/>
      <c r="DJ709" s="75"/>
      <c r="DK709" s="76"/>
    </row>
    <row r="710" spans="63:115" x14ac:dyDescent="0.25">
      <c r="BK710" s="75"/>
      <c r="BL710" s="75"/>
      <c r="BM710" s="75"/>
      <c r="BN710" s="73"/>
      <c r="BO710" s="75"/>
      <c r="BP710" s="75"/>
      <c r="BQ710" s="75"/>
      <c r="BR710" s="75"/>
      <c r="BS710" s="75"/>
      <c r="BT710" s="75"/>
      <c r="BU710" s="75"/>
      <c r="BV710" s="75"/>
      <c r="BW710" s="75"/>
      <c r="BX710" s="75"/>
      <c r="BY710" s="75"/>
      <c r="BZ710" s="75"/>
      <c r="CA710" s="73"/>
      <c r="CB710" s="75"/>
      <c r="CC710" s="75"/>
      <c r="CD710" s="75"/>
      <c r="CE710" s="73"/>
      <c r="CF710" s="75"/>
      <c r="CG710" s="75"/>
      <c r="CH710" s="75"/>
      <c r="CI710" s="73"/>
      <c r="CJ710" s="75"/>
      <c r="CK710" s="75"/>
      <c r="CL710" s="75"/>
      <c r="CM710" s="73"/>
      <c r="CN710" s="75"/>
      <c r="CO710" s="75"/>
      <c r="CP710" s="75"/>
      <c r="CQ710" s="73"/>
      <c r="CR710" s="75"/>
      <c r="CS710" s="75"/>
      <c r="CT710" s="75"/>
      <c r="CU710" s="73"/>
      <c r="CV710" s="75"/>
      <c r="CW710" s="75"/>
      <c r="CX710" s="75"/>
      <c r="CY710" s="73"/>
      <c r="CZ710" s="75"/>
      <c r="DA710" s="75"/>
      <c r="DB710" s="75"/>
      <c r="DC710" s="73"/>
      <c r="DD710" s="75"/>
      <c r="DE710" s="75"/>
      <c r="DF710" s="75"/>
      <c r="DG710" s="73"/>
      <c r="DH710" s="75"/>
      <c r="DI710" s="75"/>
      <c r="DJ710" s="75"/>
      <c r="DK710" s="76"/>
    </row>
    <row r="711" spans="63:115" x14ac:dyDescent="0.25">
      <c r="BK711" s="75"/>
      <c r="BL711" s="75"/>
      <c r="BM711" s="75"/>
      <c r="BN711" s="73"/>
      <c r="BO711" s="75"/>
      <c r="BP711" s="75"/>
      <c r="BQ711" s="75"/>
      <c r="BR711" s="75"/>
      <c r="BS711" s="75"/>
      <c r="BT711" s="75"/>
      <c r="BU711" s="75"/>
      <c r="BV711" s="75"/>
      <c r="BW711" s="75"/>
      <c r="BX711" s="75"/>
      <c r="BY711" s="75"/>
      <c r="BZ711" s="75"/>
      <c r="CA711" s="73"/>
      <c r="CB711" s="75"/>
      <c r="CC711" s="75"/>
      <c r="CD711" s="75"/>
      <c r="CE711" s="73"/>
      <c r="CF711" s="75"/>
      <c r="CG711" s="75"/>
      <c r="CH711" s="75"/>
      <c r="CI711" s="73"/>
      <c r="CJ711" s="75"/>
      <c r="CK711" s="75"/>
      <c r="CL711" s="75"/>
      <c r="CM711" s="73"/>
      <c r="CN711" s="75"/>
      <c r="CO711" s="75"/>
      <c r="CP711" s="75"/>
      <c r="CQ711" s="73"/>
      <c r="CR711" s="75"/>
      <c r="CS711" s="75"/>
      <c r="CT711" s="75"/>
      <c r="CU711" s="73"/>
      <c r="CV711" s="75"/>
      <c r="CW711" s="75"/>
      <c r="CX711" s="75"/>
      <c r="CY711" s="73"/>
      <c r="CZ711" s="75"/>
      <c r="DA711" s="75"/>
      <c r="DB711" s="75"/>
      <c r="DC711" s="73"/>
      <c r="DD711" s="75"/>
      <c r="DE711" s="75"/>
      <c r="DF711" s="75"/>
      <c r="DG711" s="73"/>
      <c r="DH711" s="75"/>
      <c r="DI711" s="75"/>
      <c r="DJ711" s="75"/>
      <c r="DK711" s="76"/>
    </row>
    <row r="712" spans="63:115" x14ac:dyDescent="0.25">
      <c r="BK712" s="75"/>
      <c r="BL712" s="75"/>
      <c r="BM712" s="75"/>
      <c r="BN712" s="73"/>
      <c r="BO712" s="75"/>
      <c r="BP712" s="75"/>
      <c r="BQ712" s="75"/>
      <c r="BR712" s="75"/>
      <c r="BS712" s="75"/>
      <c r="BT712" s="75"/>
      <c r="BU712" s="75"/>
      <c r="BV712" s="75"/>
      <c r="BW712" s="75"/>
      <c r="BX712" s="75"/>
      <c r="BY712" s="75"/>
      <c r="BZ712" s="75"/>
      <c r="CA712" s="73"/>
      <c r="CB712" s="75"/>
      <c r="CC712" s="75"/>
      <c r="CD712" s="75"/>
      <c r="CE712" s="73"/>
      <c r="CF712" s="75"/>
      <c r="CG712" s="75"/>
      <c r="CH712" s="75"/>
      <c r="CI712" s="73"/>
      <c r="CJ712" s="75"/>
      <c r="CK712" s="75"/>
      <c r="CL712" s="75"/>
      <c r="CM712" s="73"/>
      <c r="CN712" s="75"/>
      <c r="CO712" s="75"/>
      <c r="CP712" s="75"/>
      <c r="CQ712" s="73"/>
      <c r="CR712" s="75"/>
      <c r="CS712" s="75"/>
      <c r="CT712" s="75"/>
      <c r="CU712" s="73"/>
      <c r="CV712" s="75"/>
      <c r="CW712" s="75"/>
      <c r="CX712" s="75"/>
      <c r="CY712" s="73"/>
      <c r="CZ712" s="75"/>
      <c r="DA712" s="75"/>
      <c r="DB712" s="75"/>
      <c r="DC712" s="73"/>
      <c r="DD712" s="75"/>
      <c r="DE712" s="75"/>
      <c r="DF712" s="75"/>
      <c r="DG712" s="73"/>
      <c r="DH712" s="75"/>
      <c r="DI712" s="75"/>
      <c r="DJ712" s="75"/>
      <c r="DK712" s="76"/>
    </row>
    <row r="713" spans="63:115" x14ac:dyDescent="0.25">
      <c r="BK713" s="75"/>
      <c r="BL713" s="75"/>
      <c r="BM713" s="75"/>
      <c r="BN713" s="73"/>
      <c r="BO713" s="75"/>
      <c r="BP713" s="75"/>
      <c r="BQ713" s="75"/>
      <c r="BR713" s="75"/>
      <c r="BS713" s="75"/>
      <c r="BT713" s="75"/>
      <c r="BU713" s="75"/>
      <c r="BV713" s="75"/>
      <c r="BW713" s="75"/>
      <c r="BX713" s="75"/>
      <c r="BY713" s="75"/>
      <c r="BZ713" s="75"/>
      <c r="CA713" s="73"/>
      <c r="CB713" s="75"/>
      <c r="CC713" s="75"/>
      <c r="CD713" s="75"/>
      <c r="CE713" s="73"/>
      <c r="CF713" s="75"/>
      <c r="CG713" s="75"/>
      <c r="CH713" s="75"/>
      <c r="CI713" s="73"/>
      <c r="CJ713" s="75"/>
      <c r="CK713" s="75"/>
      <c r="CL713" s="75"/>
      <c r="CM713" s="73"/>
      <c r="CN713" s="75"/>
      <c r="CO713" s="75"/>
      <c r="CP713" s="75"/>
      <c r="CQ713" s="73"/>
      <c r="CR713" s="75"/>
      <c r="CS713" s="75"/>
      <c r="CT713" s="75"/>
      <c r="CU713" s="73"/>
      <c r="CV713" s="75"/>
      <c r="CW713" s="75"/>
      <c r="CX713" s="75"/>
      <c r="CY713" s="73"/>
      <c r="CZ713" s="75"/>
      <c r="DA713" s="75"/>
      <c r="DB713" s="75"/>
      <c r="DC713" s="73"/>
      <c r="DD713" s="75"/>
      <c r="DE713" s="75"/>
      <c r="DF713" s="75"/>
      <c r="DG713" s="73"/>
      <c r="DH713" s="75"/>
      <c r="DI713" s="75"/>
      <c r="DJ713" s="75"/>
      <c r="DK713" s="76"/>
    </row>
    <row r="714" spans="63:115" x14ac:dyDescent="0.25">
      <c r="BK714" s="75"/>
      <c r="BL714" s="75"/>
      <c r="BM714" s="75"/>
      <c r="BN714" s="73"/>
      <c r="BO714" s="75"/>
      <c r="BP714" s="75"/>
      <c r="BQ714" s="75"/>
      <c r="BR714" s="75"/>
      <c r="BS714" s="75"/>
      <c r="BT714" s="75"/>
      <c r="BU714" s="75"/>
      <c r="BV714" s="75"/>
      <c r="BW714" s="75"/>
      <c r="BX714" s="75"/>
      <c r="BY714" s="75"/>
      <c r="BZ714" s="75"/>
      <c r="CA714" s="73"/>
      <c r="CB714" s="75"/>
      <c r="CC714" s="75"/>
      <c r="CD714" s="75"/>
      <c r="CE714" s="73"/>
      <c r="CF714" s="75"/>
      <c r="CG714" s="75"/>
      <c r="CH714" s="75"/>
      <c r="CI714" s="73"/>
      <c r="CJ714" s="75"/>
      <c r="CK714" s="75"/>
      <c r="CL714" s="75"/>
      <c r="CM714" s="73"/>
      <c r="CN714" s="75"/>
      <c r="CO714" s="75"/>
      <c r="CP714" s="75"/>
      <c r="CQ714" s="73"/>
      <c r="CR714" s="75"/>
      <c r="CS714" s="75"/>
      <c r="CT714" s="75"/>
      <c r="CU714" s="73"/>
      <c r="CV714" s="75"/>
      <c r="CW714" s="75"/>
      <c r="CX714" s="75"/>
      <c r="CY714" s="73"/>
      <c r="CZ714" s="75"/>
      <c r="DA714" s="75"/>
      <c r="DB714" s="75"/>
      <c r="DC714" s="73"/>
      <c r="DD714" s="75"/>
      <c r="DE714" s="75"/>
      <c r="DF714" s="75"/>
      <c r="DG714" s="73"/>
      <c r="DH714" s="75"/>
      <c r="DI714" s="75"/>
      <c r="DJ714" s="75"/>
      <c r="DK714" s="76"/>
    </row>
    <row r="715" spans="63:115" x14ac:dyDescent="0.25">
      <c r="BK715" s="75"/>
      <c r="BL715" s="75"/>
      <c r="BM715" s="75"/>
      <c r="BN715" s="73"/>
      <c r="BO715" s="75"/>
      <c r="BP715" s="75"/>
      <c r="BQ715" s="75"/>
      <c r="BR715" s="75"/>
      <c r="BS715" s="75"/>
      <c r="BT715" s="75"/>
      <c r="BU715" s="75"/>
      <c r="BV715" s="75"/>
      <c r="BW715" s="75"/>
      <c r="BX715" s="75"/>
      <c r="BY715" s="75"/>
      <c r="BZ715" s="75"/>
      <c r="CA715" s="73"/>
      <c r="CB715" s="75"/>
      <c r="CC715" s="75"/>
      <c r="CD715" s="75"/>
      <c r="CE715" s="73"/>
      <c r="CF715" s="75"/>
      <c r="CG715" s="75"/>
      <c r="CH715" s="75"/>
      <c r="CI715" s="73"/>
      <c r="CJ715" s="75"/>
      <c r="CK715" s="75"/>
      <c r="CL715" s="75"/>
      <c r="CM715" s="73"/>
      <c r="CN715" s="75"/>
      <c r="CO715" s="75"/>
      <c r="CP715" s="75"/>
      <c r="CQ715" s="73"/>
      <c r="CR715" s="75"/>
      <c r="CS715" s="75"/>
      <c r="CT715" s="75"/>
      <c r="CU715" s="73"/>
      <c r="CV715" s="75"/>
      <c r="CW715" s="75"/>
      <c r="CX715" s="75"/>
      <c r="CY715" s="73"/>
      <c r="CZ715" s="75"/>
      <c r="DA715" s="75"/>
      <c r="DB715" s="75"/>
      <c r="DC715" s="73"/>
      <c r="DD715" s="75"/>
      <c r="DE715" s="75"/>
      <c r="DF715" s="75"/>
      <c r="DG715" s="73"/>
      <c r="DH715" s="75"/>
      <c r="DI715" s="75"/>
      <c r="DJ715" s="75"/>
      <c r="DK715" s="76"/>
    </row>
    <row r="716" spans="63:115" x14ac:dyDescent="0.25">
      <c r="BK716" s="75"/>
      <c r="BL716" s="75"/>
      <c r="BM716" s="75"/>
      <c r="BN716" s="73"/>
      <c r="BO716" s="75"/>
      <c r="BP716" s="75"/>
      <c r="BQ716" s="75"/>
      <c r="BR716" s="75"/>
      <c r="BS716" s="75"/>
      <c r="BT716" s="75"/>
      <c r="BU716" s="75"/>
      <c r="BV716" s="75"/>
      <c r="BW716" s="75"/>
      <c r="BX716" s="75"/>
      <c r="BY716" s="75"/>
      <c r="BZ716" s="75"/>
      <c r="CA716" s="73"/>
      <c r="CB716" s="75"/>
      <c r="CC716" s="75"/>
      <c r="CD716" s="75"/>
      <c r="CE716" s="73"/>
      <c r="CF716" s="75"/>
      <c r="CG716" s="75"/>
      <c r="CH716" s="75"/>
      <c r="CI716" s="73"/>
      <c r="CJ716" s="75"/>
      <c r="CK716" s="75"/>
      <c r="CL716" s="75"/>
      <c r="CM716" s="73"/>
      <c r="CN716" s="75"/>
      <c r="CO716" s="75"/>
      <c r="CP716" s="75"/>
      <c r="CQ716" s="73"/>
      <c r="CR716" s="75"/>
      <c r="CS716" s="75"/>
      <c r="CT716" s="75"/>
      <c r="CU716" s="73"/>
      <c r="CV716" s="75"/>
      <c r="CW716" s="75"/>
      <c r="CX716" s="75"/>
      <c r="CY716" s="73"/>
      <c r="CZ716" s="75"/>
      <c r="DA716" s="75"/>
      <c r="DB716" s="75"/>
      <c r="DC716" s="73"/>
      <c r="DD716" s="75"/>
      <c r="DE716" s="75"/>
      <c r="DF716" s="75"/>
      <c r="DG716" s="73"/>
      <c r="DH716" s="75"/>
      <c r="DI716" s="75"/>
      <c r="DJ716" s="75"/>
      <c r="DK716" s="76"/>
    </row>
    <row r="717" spans="63:115" x14ac:dyDescent="0.25">
      <c r="BK717" s="75"/>
      <c r="BL717" s="75"/>
      <c r="BM717" s="75"/>
      <c r="BN717" s="73"/>
      <c r="BO717" s="75"/>
      <c r="BP717" s="75"/>
      <c r="BQ717" s="75"/>
      <c r="BR717" s="75"/>
      <c r="BS717" s="75"/>
      <c r="BT717" s="75"/>
      <c r="BU717" s="75"/>
      <c r="BV717" s="75"/>
      <c r="BW717" s="75"/>
      <c r="BX717" s="75"/>
      <c r="BY717" s="75"/>
      <c r="BZ717" s="75"/>
      <c r="CA717" s="73"/>
      <c r="CB717" s="75"/>
      <c r="CC717" s="75"/>
      <c r="CD717" s="75"/>
      <c r="CE717" s="73"/>
      <c r="CF717" s="75"/>
      <c r="CG717" s="75"/>
      <c r="CH717" s="75"/>
      <c r="CI717" s="73"/>
      <c r="CJ717" s="75"/>
      <c r="CK717" s="75"/>
      <c r="CL717" s="75"/>
      <c r="CM717" s="73"/>
      <c r="CN717" s="75"/>
      <c r="CO717" s="75"/>
      <c r="CP717" s="75"/>
      <c r="CQ717" s="73"/>
      <c r="CR717" s="75"/>
      <c r="CS717" s="75"/>
      <c r="CT717" s="75"/>
      <c r="CU717" s="73"/>
      <c r="CV717" s="75"/>
      <c r="CW717" s="75"/>
      <c r="CX717" s="75"/>
      <c r="CY717" s="73"/>
      <c r="CZ717" s="75"/>
      <c r="DA717" s="75"/>
      <c r="DB717" s="75"/>
      <c r="DC717" s="73"/>
      <c r="DD717" s="75"/>
      <c r="DE717" s="75"/>
      <c r="DF717" s="75"/>
      <c r="DG717" s="73"/>
      <c r="DH717" s="75"/>
      <c r="DI717" s="75"/>
      <c r="DJ717" s="75"/>
      <c r="DK717" s="76"/>
    </row>
    <row r="718" spans="63:115" x14ac:dyDescent="0.25">
      <c r="BK718" s="75"/>
      <c r="BL718" s="75"/>
      <c r="BM718" s="75"/>
      <c r="BN718" s="73"/>
      <c r="BO718" s="75"/>
      <c r="BP718" s="75"/>
      <c r="BQ718" s="75"/>
      <c r="BR718" s="75"/>
      <c r="BS718" s="75"/>
      <c r="BT718" s="75"/>
      <c r="BU718" s="75"/>
      <c r="BV718" s="75"/>
      <c r="BW718" s="75"/>
      <c r="BX718" s="75"/>
      <c r="BY718" s="75"/>
      <c r="BZ718" s="75"/>
      <c r="CA718" s="73"/>
      <c r="CB718" s="75"/>
      <c r="CC718" s="75"/>
      <c r="CD718" s="75"/>
      <c r="CE718" s="73"/>
      <c r="CF718" s="75"/>
      <c r="CG718" s="75"/>
      <c r="CH718" s="75"/>
      <c r="CI718" s="73"/>
      <c r="CJ718" s="75"/>
      <c r="CK718" s="75"/>
      <c r="CL718" s="75"/>
      <c r="CM718" s="73"/>
      <c r="CN718" s="75"/>
      <c r="CO718" s="75"/>
      <c r="CP718" s="75"/>
      <c r="CQ718" s="73"/>
      <c r="CR718" s="75"/>
      <c r="CS718" s="75"/>
      <c r="CT718" s="75"/>
      <c r="CU718" s="73"/>
      <c r="CV718" s="75"/>
      <c r="CW718" s="75"/>
      <c r="CX718" s="75"/>
      <c r="CY718" s="73"/>
      <c r="CZ718" s="75"/>
      <c r="DA718" s="75"/>
      <c r="DB718" s="75"/>
      <c r="DC718" s="73"/>
      <c r="DD718" s="75"/>
      <c r="DE718" s="75"/>
      <c r="DF718" s="75"/>
      <c r="DG718" s="73"/>
      <c r="DH718" s="75"/>
      <c r="DI718" s="75"/>
      <c r="DJ718" s="75"/>
      <c r="DK718" s="76"/>
    </row>
    <row r="719" spans="63:115" x14ac:dyDescent="0.25">
      <c r="BK719" s="75"/>
      <c r="BL719" s="75"/>
      <c r="BM719" s="75"/>
      <c r="BN719" s="73"/>
      <c r="BO719" s="75"/>
      <c r="BP719" s="75"/>
      <c r="BQ719" s="75"/>
      <c r="BR719" s="75"/>
      <c r="BS719" s="75"/>
      <c r="BT719" s="75"/>
      <c r="BU719" s="75"/>
      <c r="BV719" s="75"/>
      <c r="BW719" s="75"/>
      <c r="BX719" s="75"/>
      <c r="BY719" s="75"/>
      <c r="BZ719" s="75"/>
      <c r="CA719" s="73"/>
      <c r="CB719" s="75"/>
      <c r="CC719" s="75"/>
      <c r="CD719" s="75"/>
      <c r="CE719" s="73"/>
      <c r="CF719" s="75"/>
      <c r="CG719" s="75"/>
      <c r="CH719" s="75"/>
      <c r="CI719" s="73"/>
      <c r="CJ719" s="75"/>
      <c r="CK719" s="75"/>
      <c r="CL719" s="75"/>
      <c r="CM719" s="73"/>
      <c r="CN719" s="75"/>
      <c r="CO719" s="75"/>
      <c r="CP719" s="75"/>
      <c r="CQ719" s="73"/>
      <c r="CR719" s="75"/>
      <c r="CS719" s="75"/>
      <c r="CT719" s="75"/>
      <c r="CU719" s="73"/>
      <c r="CV719" s="75"/>
      <c r="CW719" s="75"/>
      <c r="CX719" s="75"/>
      <c r="CY719" s="73"/>
      <c r="CZ719" s="75"/>
      <c r="DA719" s="75"/>
      <c r="DB719" s="75"/>
      <c r="DC719" s="73"/>
      <c r="DD719" s="75"/>
      <c r="DE719" s="75"/>
      <c r="DF719" s="75"/>
      <c r="DG719" s="73"/>
      <c r="DH719" s="75"/>
      <c r="DI719" s="75"/>
      <c r="DJ719" s="75"/>
      <c r="DK719" s="76"/>
    </row>
    <row r="720" spans="63:115" x14ac:dyDescent="0.25">
      <c r="BK720" s="75"/>
      <c r="BL720" s="75"/>
      <c r="BM720" s="75"/>
      <c r="BN720" s="73"/>
      <c r="BO720" s="75"/>
      <c r="BP720" s="75"/>
      <c r="BQ720" s="75"/>
      <c r="BR720" s="75"/>
      <c r="BS720" s="75"/>
      <c r="BT720" s="75"/>
      <c r="BU720" s="75"/>
      <c r="BV720" s="75"/>
      <c r="BW720" s="75"/>
      <c r="BX720" s="75"/>
      <c r="BY720" s="75"/>
      <c r="BZ720" s="75"/>
      <c r="CA720" s="73"/>
      <c r="CB720" s="75"/>
      <c r="CC720" s="75"/>
      <c r="CD720" s="75"/>
      <c r="CE720" s="73"/>
      <c r="CF720" s="75"/>
      <c r="CG720" s="75"/>
      <c r="CH720" s="75"/>
      <c r="CI720" s="73"/>
      <c r="CJ720" s="75"/>
      <c r="CK720" s="75"/>
      <c r="CL720" s="75"/>
      <c r="CM720" s="73"/>
      <c r="CN720" s="75"/>
      <c r="CO720" s="75"/>
      <c r="CP720" s="75"/>
      <c r="CQ720" s="73"/>
      <c r="CR720" s="75"/>
      <c r="CS720" s="75"/>
      <c r="CT720" s="75"/>
      <c r="CU720" s="73"/>
      <c r="CV720" s="75"/>
      <c r="CW720" s="75"/>
      <c r="CX720" s="75"/>
      <c r="CY720" s="73"/>
      <c r="CZ720" s="75"/>
      <c r="DA720" s="75"/>
      <c r="DB720" s="75"/>
      <c r="DC720" s="73"/>
      <c r="DD720" s="75"/>
      <c r="DE720" s="75"/>
      <c r="DF720" s="75"/>
      <c r="DG720" s="73"/>
      <c r="DH720" s="75"/>
      <c r="DI720" s="75"/>
      <c r="DJ720" s="75"/>
      <c r="DK720" s="76"/>
    </row>
    <row r="721" spans="63:115" x14ac:dyDescent="0.25">
      <c r="BK721" s="75"/>
      <c r="BL721" s="75"/>
      <c r="BM721" s="75"/>
      <c r="BN721" s="73"/>
      <c r="BO721" s="75"/>
      <c r="BP721" s="75"/>
      <c r="BQ721" s="75"/>
      <c r="BR721" s="75"/>
      <c r="BS721" s="75"/>
      <c r="BT721" s="75"/>
      <c r="BU721" s="75"/>
      <c r="BV721" s="75"/>
      <c r="BW721" s="75"/>
      <c r="BX721" s="75"/>
      <c r="BY721" s="75"/>
      <c r="BZ721" s="75"/>
      <c r="CA721" s="73"/>
      <c r="CB721" s="75"/>
      <c r="CC721" s="75"/>
      <c r="CD721" s="75"/>
      <c r="CE721" s="73"/>
      <c r="CF721" s="75"/>
      <c r="CG721" s="75"/>
      <c r="CH721" s="75"/>
      <c r="CI721" s="73"/>
      <c r="CJ721" s="75"/>
      <c r="CK721" s="75"/>
      <c r="CL721" s="75"/>
      <c r="CM721" s="73"/>
      <c r="CN721" s="75"/>
      <c r="CO721" s="75"/>
      <c r="CP721" s="75"/>
      <c r="CQ721" s="73"/>
      <c r="CR721" s="75"/>
      <c r="CS721" s="75"/>
      <c r="CT721" s="75"/>
      <c r="CU721" s="73"/>
      <c r="CV721" s="75"/>
      <c r="CW721" s="75"/>
      <c r="CX721" s="75"/>
      <c r="CY721" s="73"/>
      <c r="CZ721" s="75"/>
      <c r="DA721" s="75"/>
      <c r="DB721" s="75"/>
      <c r="DC721" s="73"/>
      <c r="DD721" s="75"/>
      <c r="DE721" s="75"/>
      <c r="DF721" s="75"/>
      <c r="DG721" s="73"/>
      <c r="DH721" s="75"/>
      <c r="DI721" s="75"/>
      <c r="DJ721" s="75"/>
      <c r="DK721" s="76"/>
    </row>
    <row r="722" spans="63:115" x14ac:dyDescent="0.25">
      <c r="BK722" s="75"/>
      <c r="BL722" s="75"/>
      <c r="BM722" s="75"/>
      <c r="BN722" s="73"/>
      <c r="BO722" s="75"/>
      <c r="BP722" s="75"/>
      <c r="BQ722" s="75"/>
      <c r="BR722" s="75"/>
      <c r="BS722" s="75"/>
      <c r="BT722" s="75"/>
      <c r="BU722" s="75"/>
      <c r="BV722" s="75"/>
      <c r="BW722" s="75"/>
      <c r="BX722" s="75"/>
      <c r="BY722" s="75"/>
      <c r="BZ722" s="75"/>
      <c r="CA722" s="73"/>
      <c r="CB722" s="75"/>
      <c r="CC722" s="75"/>
      <c r="CD722" s="75"/>
      <c r="CE722" s="73"/>
      <c r="CF722" s="75"/>
      <c r="CG722" s="75"/>
      <c r="CH722" s="75"/>
      <c r="CI722" s="73"/>
      <c r="CJ722" s="75"/>
      <c r="CK722" s="75"/>
      <c r="CL722" s="75"/>
      <c r="CM722" s="73"/>
      <c r="CN722" s="75"/>
      <c r="CO722" s="75"/>
      <c r="CP722" s="75"/>
      <c r="CQ722" s="73"/>
      <c r="CR722" s="75"/>
      <c r="CS722" s="75"/>
      <c r="CT722" s="75"/>
      <c r="CU722" s="73"/>
      <c r="CV722" s="75"/>
      <c r="CW722" s="75"/>
      <c r="CX722" s="75"/>
      <c r="CY722" s="73"/>
      <c r="CZ722" s="75"/>
      <c r="DA722" s="75"/>
      <c r="DB722" s="75"/>
      <c r="DC722" s="73"/>
      <c r="DD722" s="75"/>
      <c r="DE722" s="75"/>
      <c r="DF722" s="75"/>
      <c r="DG722" s="73"/>
      <c r="DH722" s="75"/>
      <c r="DI722" s="75"/>
      <c r="DJ722" s="75"/>
      <c r="DK722" s="76"/>
    </row>
    <row r="723" spans="63:115" x14ac:dyDescent="0.25">
      <c r="BK723" s="75"/>
      <c r="BL723" s="75"/>
      <c r="BM723" s="75"/>
      <c r="BN723" s="73"/>
      <c r="BO723" s="75"/>
      <c r="BP723" s="75"/>
      <c r="BQ723" s="75"/>
      <c r="BR723" s="75"/>
      <c r="BS723" s="75"/>
      <c r="BT723" s="75"/>
      <c r="BU723" s="75"/>
      <c r="BV723" s="75"/>
      <c r="BW723" s="75"/>
      <c r="BX723" s="75"/>
      <c r="BY723" s="75"/>
      <c r="BZ723" s="75"/>
      <c r="CA723" s="73"/>
      <c r="CB723" s="75"/>
      <c r="CC723" s="75"/>
      <c r="CD723" s="75"/>
      <c r="CE723" s="73"/>
      <c r="CF723" s="75"/>
      <c r="CG723" s="75"/>
      <c r="CH723" s="75"/>
      <c r="CI723" s="73"/>
      <c r="CJ723" s="75"/>
      <c r="CK723" s="75"/>
      <c r="CL723" s="75"/>
      <c r="CM723" s="73"/>
      <c r="CN723" s="75"/>
      <c r="CO723" s="75"/>
      <c r="CP723" s="75"/>
      <c r="CQ723" s="73"/>
      <c r="CR723" s="75"/>
      <c r="CS723" s="75"/>
      <c r="CT723" s="75"/>
      <c r="CU723" s="73"/>
      <c r="CV723" s="75"/>
      <c r="CW723" s="75"/>
      <c r="CX723" s="75"/>
      <c r="CY723" s="73"/>
      <c r="CZ723" s="75"/>
      <c r="DA723" s="75"/>
      <c r="DB723" s="75"/>
      <c r="DC723" s="73"/>
      <c r="DD723" s="75"/>
      <c r="DE723" s="75"/>
      <c r="DF723" s="75"/>
      <c r="DG723" s="73"/>
      <c r="DH723" s="75"/>
      <c r="DI723" s="75"/>
      <c r="DJ723" s="75"/>
      <c r="DK723" s="76"/>
    </row>
    <row r="724" spans="63:115" x14ac:dyDescent="0.25">
      <c r="BK724" s="75"/>
      <c r="BL724" s="75"/>
      <c r="BM724" s="75"/>
      <c r="BN724" s="73"/>
      <c r="BO724" s="75"/>
      <c r="BP724" s="75"/>
      <c r="BQ724" s="75"/>
      <c r="BR724" s="75"/>
      <c r="BS724" s="75"/>
      <c r="BT724" s="75"/>
      <c r="BU724" s="75"/>
      <c r="BV724" s="75"/>
      <c r="BW724" s="75"/>
      <c r="BX724" s="75"/>
      <c r="BY724" s="75"/>
      <c r="BZ724" s="75"/>
      <c r="CA724" s="73"/>
      <c r="CB724" s="75"/>
      <c r="CC724" s="75"/>
      <c r="CD724" s="75"/>
      <c r="CE724" s="73"/>
      <c r="CF724" s="75"/>
      <c r="CG724" s="75"/>
      <c r="CH724" s="75"/>
      <c r="CI724" s="73"/>
      <c r="CJ724" s="75"/>
      <c r="CK724" s="75"/>
      <c r="CL724" s="75"/>
      <c r="CM724" s="73"/>
      <c r="CN724" s="75"/>
      <c r="CO724" s="75"/>
      <c r="CP724" s="75"/>
      <c r="CQ724" s="73"/>
      <c r="CR724" s="75"/>
      <c r="CS724" s="75"/>
      <c r="CT724" s="75"/>
      <c r="CU724" s="73"/>
      <c r="CV724" s="75"/>
      <c r="CW724" s="75"/>
      <c r="CX724" s="75"/>
      <c r="CY724" s="73"/>
      <c r="CZ724" s="75"/>
      <c r="DA724" s="75"/>
      <c r="DB724" s="75"/>
      <c r="DC724" s="73"/>
      <c r="DD724" s="75"/>
      <c r="DE724" s="75"/>
      <c r="DF724" s="75"/>
      <c r="DG724" s="73"/>
      <c r="DH724" s="75"/>
      <c r="DI724" s="75"/>
      <c r="DJ724" s="75"/>
      <c r="DK724" s="76"/>
    </row>
    <row r="725" spans="63:115" x14ac:dyDescent="0.25">
      <c r="BK725" s="75"/>
      <c r="BL725" s="75"/>
      <c r="BM725" s="75"/>
      <c r="BN725" s="73"/>
      <c r="BO725" s="75"/>
      <c r="BP725" s="75"/>
      <c r="BQ725" s="75"/>
      <c r="BR725" s="75"/>
      <c r="BS725" s="75"/>
      <c r="BT725" s="75"/>
      <c r="BU725" s="75"/>
      <c r="BV725" s="75"/>
      <c r="BW725" s="75"/>
      <c r="BX725" s="75"/>
      <c r="BY725" s="75"/>
      <c r="BZ725" s="75"/>
      <c r="CA725" s="73"/>
      <c r="CB725" s="75"/>
      <c r="CC725" s="75"/>
      <c r="CD725" s="75"/>
      <c r="CE725" s="73"/>
      <c r="CF725" s="75"/>
      <c r="CG725" s="75"/>
      <c r="CH725" s="75"/>
      <c r="CI725" s="73"/>
      <c r="CJ725" s="75"/>
      <c r="CK725" s="75"/>
      <c r="CL725" s="75"/>
      <c r="CM725" s="73"/>
      <c r="CN725" s="75"/>
      <c r="CO725" s="75"/>
      <c r="CP725" s="75"/>
      <c r="CQ725" s="73"/>
      <c r="CR725" s="75"/>
      <c r="CS725" s="75"/>
      <c r="CT725" s="75"/>
      <c r="CU725" s="73"/>
      <c r="CV725" s="75"/>
      <c r="CW725" s="75"/>
      <c r="CX725" s="75"/>
      <c r="CY725" s="73"/>
      <c r="CZ725" s="75"/>
      <c r="DA725" s="75"/>
      <c r="DB725" s="75"/>
      <c r="DC725" s="73"/>
      <c r="DD725" s="75"/>
      <c r="DE725" s="75"/>
      <c r="DF725" s="75"/>
      <c r="DG725" s="73"/>
      <c r="DH725" s="75"/>
      <c r="DI725" s="75"/>
      <c r="DJ725" s="75"/>
      <c r="DK725" s="76"/>
    </row>
    <row r="726" spans="63:115" x14ac:dyDescent="0.25">
      <c r="BK726" s="75"/>
      <c r="BL726" s="75"/>
      <c r="BM726" s="75"/>
      <c r="BN726" s="73"/>
      <c r="BO726" s="75"/>
      <c r="BP726" s="75"/>
      <c r="BQ726" s="75"/>
      <c r="BR726" s="75"/>
      <c r="BS726" s="75"/>
      <c r="BT726" s="75"/>
      <c r="BU726" s="75"/>
      <c r="BV726" s="75"/>
      <c r="BW726" s="75"/>
      <c r="BX726" s="75"/>
      <c r="BY726" s="75"/>
      <c r="BZ726" s="75"/>
      <c r="CA726" s="73"/>
      <c r="CB726" s="75"/>
      <c r="CC726" s="75"/>
      <c r="CD726" s="75"/>
      <c r="CE726" s="73"/>
      <c r="CF726" s="75"/>
      <c r="CG726" s="75"/>
      <c r="CH726" s="75"/>
      <c r="CI726" s="73"/>
      <c r="CJ726" s="75"/>
      <c r="CK726" s="75"/>
      <c r="CL726" s="75"/>
      <c r="CM726" s="73"/>
      <c r="CN726" s="75"/>
      <c r="CO726" s="75"/>
      <c r="CP726" s="75"/>
      <c r="CQ726" s="73"/>
      <c r="CR726" s="75"/>
      <c r="CS726" s="75"/>
      <c r="CT726" s="75"/>
      <c r="CU726" s="73"/>
      <c r="CV726" s="75"/>
      <c r="CW726" s="75"/>
      <c r="CX726" s="75"/>
      <c r="CY726" s="73"/>
      <c r="CZ726" s="75"/>
      <c r="DA726" s="75"/>
      <c r="DB726" s="75"/>
      <c r="DC726" s="73"/>
      <c r="DD726" s="75"/>
      <c r="DE726" s="75"/>
      <c r="DF726" s="75"/>
      <c r="DG726" s="73"/>
      <c r="DH726" s="75"/>
      <c r="DI726" s="75"/>
      <c r="DJ726" s="75"/>
      <c r="DK726" s="76"/>
    </row>
    <row r="727" spans="63:115" x14ac:dyDescent="0.25">
      <c r="BK727" s="75"/>
      <c r="BL727" s="75"/>
      <c r="BM727" s="75"/>
      <c r="BN727" s="73"/>
      <c r="BO727" s="75"/>
      <c r="BP727" s="75"/>
      <c r="BQ727" s="75"/>
      <c r="BR727" s="75"/>
      <c r="BS727" s="75"/>
      <c r="BT727" s="75"/>
      <c r="BU727" s="75"/>
      <c r="BV727" s="75"/>
      <c r="BW727" s="75"/>
      <c r="BX727" s="75"/>
      <c r="BY727" s="75"/>
      <c r="BZ727" s="75"/>
      <c r="CA727" s="73"/>
      <c r="CB727" s="75"/>
      <c r="CC727" s="75"/>
      <c r="CD727" s="75"/>
      <c r="CE727" s="73"/>
      <c r="CF727" s="75"/>
      <c r="CG727" s="75"/>
      <c r="CH727" s="75"/>
      <c r="CI727" s="73"/>
      <c r="CJ727" s="75"/>
      <c r="CK727" s="75"/>
      <c r="CL727" s="75"/>
      <c r="CM727" s="73"/>
      <c r="CN727" s="75"/>
      <c r="CO727" s="75"/>
      <c r="CP727" s="75"/>
      <c r="CQ727" s="73"/>
      <c r="CR727" s="75"/>
      <c r="CS727" s="75"/>
      <c r="CT727" s="75"/>
      <c r="CU727" s="73"/>
      <c r="CV727" s="75"/>
      <c r="CW727" s="75"/>
      <c r="CX727" s="75"/>
      <c r="CY727" s="73"/>
      <c r="CZ727" s="75"/>
      <c r="DA727" s="75"/>
      <c r="DB727" s="75"/>
      <c r="DC727" s="73"/>
      <c r="DD727" s="75"/>
      <c r="DE727" s="75"/>
      <c r="DF727" s="75"/>
      <c r="DG727" s="73"/>
      <c r="DH727" s="75"/>
      <c r="DI727" s="75"/>
      <c r="DJ727" s="75"/>
      <c r="DK727" s="76"/>
    </row>
    <row r="728" spans="63:115" x14ac:dyDescent="0.25">
      <c r="BK728" s="75"/>
      <c r="BL728" s="75"/>
      <c r="BM728" s="75"/>
      <c r="BN728" s="73"/>
      <c r="BO728" s="75"/>
      <c r="BP728" s="75"/>
      <c r="BQ728" s="75"/>
      <c r="BR728" s="75"/>
      <c r="BS728" s="75"/>
      <c r="BT728" s="75"/>
      <c r="BU728" s="75"/>
      <c r="BV728" s="75"/>
      <c r="BW728" s="75"/>
      <c r="BX728" s="75"/>
      <c r="BY728" s="75"/>
      <c r="BZ728" s="75"/>
      <c r="CA728" s="73"/>
      <c r="CB728" s="75"/>
      <c r="CC728" s="75"/>
      <c r="CD728" s="75"/>
      <c r="CE728" s="73"/>
      <c r="CF728" s="75"/>
      <c r="CG728" s="75"/>
      <c r="CH728" s="75"/>
      <c r="CI728" s="73"/>
      <c r="CJ728" s="75"/>
      <c r="CK728" s="75"/>
      <c r="CL728" s="75"/>
      <c r="CM728" s="73"/>
      <c r="CN728" s="75"/>
      <c r="CO728" s="75"/>
      <c r="CP728" s="75"/>
      <c r="CQ728" s="73"/>
      <c r="CR728" s="75"/>
      <c r="CS728" s="75"/>
      <c r="CT728" s="75"/>
      <c r="CU728" s="73"/>
      <c r="CV728" s="75"/>
      <c r="CW728" s="75"/>
      <c r="CX728" s="75"/>
      <c r="CY728" s="73"/>
      <c r="CZ728" s="75"/>
      <c r="DA728" s="75"/>
      <c r="DB728" s="75"/>
      <c r="DC728" s="73"/>
      <c r="DD728" s="75"/>
      <c r="DE728" s="75"/>
      <c r="DF728" s="75"/>
      <c r="DG728" s="73"/>
      <c r="DH728" s="75"/>
      <c r="DI728" s="75"/>
      <c r="DJ728" s="75"/>
      <c r="DK728" s="76"/>
    </row>
    <row r="729" spans="63:115" x14ac:dyDescent="0.25">
      <c r="BK729" s="75"/>
      <c r="BL729" s="75"/>
      <c r="BM729" s="75"/>
      <c r="BN729" s="73"/>
      <c r="BO729" s="75"/>
      <c r="BP729" s="75"/>
      <c r="BQ729" s="75"/>
      <c r="BR729" s="75"/>
      <c r="BS729" s="75"/>
      <c r="BT729" s="75"/>
      <c r="BU729" s="75"/>
      <c r="BV729" s="75"/>
      <c r="BW729" s="75"/>
      <c r="BX729" s="75"/>
      <c r="BY729" s="75"/>
      <c r="BZ729" s="75"/>
      <c r="CA729" s="73"/>
      <c r="CB729" s="75"/>
      <c r="CC729" s="75"/>
      <c r="CD729" s="75"/>
      <c r="CE729" s="73"/>
      <c r="CF729" s="75"/>
      <c r="CG729" s="75"/>
      <c r="CH729" s="75"/>
      <c r="CI729" s="73"/>
      <c r="CJ729" s="75"/>
      <c r="CK729" s="75"/>
      <c r="CL729" s="75"/>
      <c r="CM729" s="73"/>
      <c r="CN729" s="75"/>
      <c r="CO729" s="75"/>
      <c r="CP729" s="75"/>
      <c r="CQ729" s="73"/>
      <c r="CR729" s="75"/>
      <c r="CS729" s="75"/>
      <c r="CT729" s="75"/>
      <c r="CU729" s="73"/>
      <c r="CV729" s="75"/>
      <c r="CW729" s="75"/>
      <c r="CX729" s="75"/>
      <c r="CY729" s="73"/>
      <c r="CZ729" s="75"/>
      <c r="DA729" s="75"/>
      <c r="DB729" s="75"/>
      <c r="DC729" s="73"/>
      <c r="DD729" s="75"/>
      <c r="DE729" s="75"/>
      <c r="DF729" s="75"/>
      <c r="DG729" s="73"/>
      <c r="DH729" s="75"/>
      <c r="DI729" s="75"/>
      <c r="DJ729" s="75"/>
      <c r="DK729" s="76"/>
    </row>
    <row r="730" spans="63:115" x14ac:dyDescent="0.25">
      <c r="BK730" s="75"/>
      <c r="BL730" s="75"/>
      <c r="BM730" s="75"/>
      <c r="BN730" s="73"/>
      <c r="BO730" s="75"/>
      <c r="BP730" s="75"/>
      <c r="BQ730" s="75"/>
      <c r="BR730" s="75"/>
      <c r="BS730" s="75"/>
      <c r="BT730" s="75"/>
      <c r="BU730" s="75"/>
      <c r="BV730" s="75"/>
      <c r="BW730" s="75"/>
      <c r="BX730" s="75"/>
      <c r="BY730" s="75"/>
      <c r="BZ730" s="75"/>
      <c r="CA730" s="73"/>
      <c r="CB730" s="75"/>
      <c r="CC730" s="75"/>
      <c r="CD730" s="75"/>
      <c r="CE730" s="73"/>
      <c r="CF730" s="75"/>
      <c r="CG730" s="75"/>
      <c r="CH730" s="75"/>
      <c r="CI730" s="73"/>
      <c r="CJ730" s="75"/>
      <c r="CK730" s="75"/>
      <c r="CL730" s="75"/>
      <c r="CM730" s="73"/>
      <c r="CN730" s="75"/>
      <c r="CO730" s="75"/>
      <c r="CP730" s="75"/>
      <c r="CQ730" s="73"/>
      <c r="CR730" s="75"/>
      <c r="CS730" s="75"/>
      <c r="CT730" s="75"/>
      <c r="CU730" s="73"/>
      <c r="CV730" s="75"/>
      <c r="CW730" s="75"/>
      <c r="CX730" s="75"/>
      <c r="CY730" s="73"/>
      <c r="CZ730" s="75"/>
      <c r="DA730" s="75"/>
      <c r="DB730" s="75"/>
      <c r="DC730" s="73"/>
      <c r="DD730" s="75"/>
      <c r="DE730" s="75"/>
      <c r="DF730" s="75"/>
      <c r="DG730" s="73"/>
      <c r="DH730" s="75"/>
      <c r="DI730" s="75"/>
      <c r="DJ730" s="75"/>
      <c r="DK730" s="76"/>
    </row>
    <row r="731" spans="63:115" x14ac:dyDescent="0.25">
      <c r="BK731" s="75"/>
      <c r="BL731" s="75"/>
      <c r="BM731" s="75"/>
      <c r="BN731" s="73"/>
      <c r="BO731" s="75"/>
      <c r="BP731" s="75"/>
      <c r="BQ731" s="75"/>
      <c r="BR731" s="75"/>
      <c r="BS731" s="75"/>
      <c r="BT731" s="75"/>
      <c r="BU731" s="75"/>
      <c r="BV731" s="75"/>
      <c r="BW731" s="75"/>
      <c r="BX731" s="75"/>
      <c r="BY731" s="75"/>
      <c r="BZ731" s="75"/>
      <c r="CA731" s="73"/>
      <c r="CB731" s="75"/>
      <c r="CC731" s="75"/>
      <c r="CD731" s="75"/>
      <c r="CE731" s="73"/>
      <c r="CF731" s="75"/>
      <c r="CG731" s="75"/>
      <c r="CH731" s="75"/>
      <c r="CI731" s="73"/>
      <c r="CJ731" s="75"/>
      <c r="CK731" s="75"/>
      <c r="CL731" s="75"/>
      <c r="CM731" s="73"/>
      <c r="CN731" s="75"/>
      <c r="CO731" s="75"/>
      <c r="CP731" s="75"/>
      <c r="CQ731" s="73"/>
      <c r="CR731" s="75"/>
      <c r="CS731" s="75"/>
      <c r="CT731" s="75"/>
      <c r="CU731" s="73"/>
      <c r="CV731" s="75"/>
      <c r="CW731" s="75"/>
      <c r="CX731" s="75"/>
      <c r="CY731" s="73"/>
      <c r="CZ731" s="75"/>
      <c r="DA731" s="75"/>
      <c r="DB731" s="75"/>
      <c r="DC731" s="73"/>
      <c r="DD731" s="75"/>
      <c r="DE731" s="75"/>
      <c r="DF731" s="75"/>
      <c r="DG731" s="73"/>
      <c r="DH731" s="75"/>
      <c r="DI731" s="75"/>
      <c r="DJ731" s="75"/>
      <c r="DK731" s="76"/>
    </row>
    <row r="732" spans="63:115" x14ac:dyDescent="0.25">
      <c r="BK732" s="75"/>
      <c r="BL732" s="75"/>
      <c r="BM732" s="75"/>
      <c r="BN732" s="73"/>
      <c r="BO732" s="75"/>
      <c r="BP732" s="75"/>
      <c r="BQ732" s="75"/>
      <c r="BR732" s="75"/>
      <c r="BS732" s="75"/>
      <c r="BT732" s="75"/>
      <c r="BU732" s="75"/>
      <c r="BV732" s="75"/>
      <c r="BW732" s="75"/>
      <c r="BX732" s="75"/>
      <c r="BY732" s="75"/>
      <c r="BZ732" s="75"/>
      <c r="CA732" s="73"/>
      <c r="CB732" s="75"/>
      <c r="CC732" s="75"/>
      <c r="CD732" s="75"/>
      <c r="CE732" s="73"/>
      <c r="CF732" s="75"/>
      <c r="CG732" s="75"/>
      <c r="CH732" s="75"/>
      <c r="CI732" s="73"/>
      <c r="CJ732" s="75"/>
      <c r="CK732" s="75"/>
      <c r="CL732" s="75"/>
      <c r="CM732" s="73"/>
      <c r="CN732" s="75"/>
      <c r="CO732" s="75"/>
      <c r="CP732" s="75"/>
      <c r="CQ732" s="73"/>
      <c r="CR732" s="75"/>
      <c r="CS732" s="75"/>
      <c r="CT732" s="75"/>
      <c r="CU732" s="73"/>
      <c r="CV732" s="75"/>
      <c r="CW732" s="75"/>
      <c r="CX732" s="75"/>
      <c r="CY732" s="73"/>
      <c r="CZ732" s="75"/>
      <c r="DA732" s="75"/>
      <c r="DB732" s="75"/>
      <c r="DC732" s="73"/>
      <c r="DD732" s="75"/>
      <c r="DE732" s="75"/>
      <c r="DF732" s="75"/>
      <c r="DG732" s="73"/>
      <c r="DH732" s="75"/>
      <c r="DI732" s="75"/>
      <c r="DJ732" s="75"/>
      <c r="DK732" s="76"/>
    </row>
    <row r="733" spans="63:115" x14ac:dyDescent="0.25">
      <c r="BK733" s="75"/>
      <c r="BL733" s="75"/>
      <c r="BM733" s="75"/>
      <c r="BN733" s="73"/>
      <c r="BO733" s="75"/>
      <c r="BP733" s="75"/>
      <c r="BQ733" s="75"/>
      <c r="BR733" s="75"/>
      <c r="BS733" s="75"/>
      <c r="BT733" s="75"/>
      <c r="BU733" s="75"/>
      <c r="BV733" s="75"/>
      <c r="BW733" s="75"/>
      <c r="BX733" s="75"/>
      <c r="BY733" s="75"/>
      <c r="BZ733" s="75"/>
      <c r="CA733" s="73"/>
      <c r="CB733" s="75"/>
      <c r="CC733" s="75"/>
      <c r="CD733" s="75"/>
      <c r="CE733" s="73"/>
      <c r="CF733" s="75"/>
      <c r="CG733" s="75"/>
      <c r="CH733" s="75"/>
      <c r="CI733" s="73"/>
      <c r="CJ733" s="75"/>
      <c r="CK733" s="75"/>
      <c r="CL733" s="75"/>
      <c r="CM733" s="73"/>
      <c r="CN733" s="75"/>
      <c r="CO733" s="75"/>
      <c r="CP733" s="75"/>
      <c r="CQ733" s="73"/>
      <c r="CR733" s="75"/>
      <c r="CS733" s="75"/>
      <c r="CT733" s="75"/>
      <c r="CU733" s="73"/>
      <c r="CV733" s="75"/>
      <c r="CW733" s="75"/>
      <c r="CX733" s="75"/>
      <c r="CY733" s="73"/>
      <c r="CZ733" s="75"/>
      <c r="DA733" s="75"/>
      <c r="DB733" s="75"/>
      <c r="DC733" s="73"/>
      <c r="DD733" s="75"/>
      <c r="DE733" s="75"/>
      <c r="DF733" s="75"/>
      <c r="DG733" s="73"/>
      <c r="DH733" s="75"/>
      <c r="DI733" s="75"/>
      <c r="DJ733" s="75"/>
      <c r="DK733" s="76"/>
    </row>
    <row r="734" spans="63:115" x14ac:dyDescent="0.25">
      <c r="BK734" s="75"/>
      <c r="BL734" s="75"/>
      <c r="BM734" s="75"/>
      <c r="BN734" s="73"/>
      <c r="BO734" s="75"/>
      <c r="BP734" s="75"/>
      <c r="BQ734" s="75"/>
      <c r="BR734" s="75"/>
      <c r="BS734" s="75"/>
      <c r="BT734" s="75"/>
      <c r="BU734" s="75"/>
      <c r="BV734" s="75"/>
      <c r="BW734" s="75"/>
      <c r="BX734" s="75"/>
      <c r="BY734" s="75"/>
      <c r="BZ734" s="75"/>
      <c r="CA734" s="73"/>
      <c r="CB734" s="75"/>
      <c r="CC734" s="75"/>
      <c r="CD734" s="75"/>
      <c r="CE734" s="73"/>
      <c r="CF734" s="75"/>
      <c r="CG734" s="75"/>
      <c r="CH734" s="75"/>
      <c r="CI734" s="73"/>
      <c r="CJ734" s="75"/>
      <c r="CK734" s="75"/>
      <c r="CL734" s="75"/>
      <c r="CM734" s="73"/>
      <c r="CN734" s="75"/>
      <c r="CO734" s="75"/>
      <c r="CP734" s="75"/>
      <c r="CQ734" s="73"/>
      <c r="CR734" s="75"/>
      <c r="CS734" s="75"/>
      <c r="CT734" s="75"/>
      <c r="CU734" s="73"/>
      <c r="CV734" s="75"/>
      <c r="CW734" s="75"/>
      <c r="CX734" s="75"/>
      <c r="CY734" s="73"/>
      <c r="CZ734" s="75"/>
      <c r="DA734" s="75"/>
      <c r="DB734" s="75"/>
      <c r="DC734" s="73"/>
      <c r="DD734" s="75"/>
      <c r="DE734" s="75"/>
      <c r="DF734" s="75"/>
      <c r="DG734" s="73"/>
      <c r="DH734" s="75"/>
      <c r="DI734" s="75"/>
      <c r="DJ734" s="75"/>
      <c r="DK734" s="76"/>
    </row>
    <row r="735" spans="63:115" x14ac:dyDescent="0.25">
      <c r="BK735" s="75"/>
      <c r="BL735" s="75"/>
      <c r="BM735" s="75"/>
      <c r="BN735" s="73"/>
      <c r="BO735" s="75"/>
      <c r="BP735" s="75"/>
      <c r="BQ735" s="75"/>
      <c r="BR735" s="75"/>
      <c r="BS735" s="75"/>
      <c r="BT735" s="75"/>
      <c r="BU735" s="75"/>
      <c r="BV735" s="75"/>
      <c r="BW735" s="75"/>
      <c r="BX735" s="75"/>
      <c r="BY735" s="75"/>
      <c r="BZ735" s="75"/>
      <c r="CA735" s="73"/>
      <c r="CB735" s="75"/>
      <c r="CC735" s="75"/>
      <c r="CD735" s="75"/>
      <c r="CE735" s="73"/>
      <c r="CF735" s="75"/>
      <c r="CG735" s="75"/>
      <c r="CH735" s="75"/>
      <c r="CI735" s="73"/>
      <c r="CJ735" s="75"/>
      <c r="CK735" s="75"/>
      <c r="CL735" s="75"/>
      <c r="CM735" s="73"/>
      <c r="CN735" s="75"/>
      <c r="CO735" s="75"/>
      <c r="CP735" s="75"/>
      <c r="CQ735" s="73"/>
      <c r="CR735" s="75"/>
      <c r="CS735" s="75"/>
      <c r="CT735" s="75"/>
      <c r="CU735" s="73"/>
      <c r="CV735" s="75"/>
      <c r="CW735" s="75"/>
      <c r="CX735" s="75"/>
      <c r="CY735" s="73"/>
      <c r="CZ735" s="75"/>
      <c r="DA735" s="75"/>
      <c r="DB735" s="75"/>
      <c r="DC735" s="73"/>
      <c r="DD735" s="75"/>
      <c r="DE735" s="75"/>
      <c r="DF735" s="75"/>
      <c r="DG735" s="73"/>
      <c r="DH735" s="75"/>
      <c r="DI735" s="75"/>
      <c r="DJ735" s="75"/>
      <c r="DK735" s="76"/>
    </row>
    <row r="736" spans="63:115" x14ac:dyDescent="0.25">
      <c r="BK736" s="75"/>
      <c r="BL736" s="75"/>
      <c r="BM736" s="75"/>
      <c r="BN736" s="73"/>
      <c r="BO736" s="75"/>
      <c r="BP736" s="75"/>
      <c r="BQ736" s="75"/>
      <c r="BR736" s="75"/>
      <c r="BS736" s="75"/>
      <c r="BT736" s="75"/>
      <c r="BU736" s="75"/>
      <c r="BV736" s="75"/>
      <c r="BW736" s="75"/>
      <c r="BX736" s="75"/>
      <c r="BY736" s="75"/>
      <c r="BZ736" s="75"/>
      <c r="CA736" s="73"/>
      <c r="CB736" s="75"/>
      <c r="CC736" s="75"/>
      <c r="CD736" s="75"/>
      <c r="CE736" s="73"/>
      <c r="CF736" s="75"/>
      <c r="CG736" s="75"/>
      <c r="CH736" s="75"/>
      <c r="CI736" s="73"/>
      <c r="CJ736" s="75"/>
      <c r="CK736" s="75"/>
      <c r="CL736" s="75"/>
      <c r="CM736" s="73"/>
      <c r="CN736" s="75"/>
      <c r="CO736" s="75"/>
      <c r="CP736" s="75"/>
      <c r="CQ736" s="73"/>
      <c r="CR736" s="75"/>
      <c r="CS736" s="75"/>
      <c r="CT736" s="75"/>
      <c r="CU736" s="73"/>
      <c r="CV736" s="75"/>
      <c r="CW736" s="75"/>
      <c r="CX736" s="75"/>
      <c r="CY736" s="73"/>
      <c r="CZ736" s="75"/>
      <c r="DA736" s="75"/>
      <c r="DB736" s="75"/>
      <c r="DC736" s="73"/>
      <c r="DD736" s="75"/>
      <c r="DE736" s="75"/>
      <c r="DF736" s="75"/>
      <c r="DG736" s="73"/>
      <c r="DH736" s="75"/>
      <c r="DI736" s="75"/>
      <c r="DJ736" s="75"/>
      <c r="DK736" s="76"/>
    </row>
    <row r="737" spans="63:115" x14ac:dyDescent="0.25">
      <c r="BK737" s="75"/>
      <c r="BL737" s="75"/>
      <c r="BM737" s="75"/>
      <c r="BN737" s="73"/>
      <c r="BO737" s="75"/>
      <c r="BP737" s="75"/>
      <c r="BQ737" s="75"/>
      <c r="BR737" s="75"/>
      <c r="BS737" s="75"/>
      <c r="BT737" s="75"/>
      <c r="BU737" s="75"/>
      <c r="BV737" s="75"/>
      <c r="BW737" s="75"/>
      <c r="BX737" s="75"/>
      <c r="BY737" s="75"/>
      <c r="BZ737" s="75"/>
      <c r="CA737" s="73"/>
      <c r="CB737" s="75"/>
      <c r="CC737" s="75"/>
      <c r="CD737" s="75"/>
      <c r="CE737" s="73"/>
      <c r="CF737" s="75"/>
      <c r="CG737" s="75"/>
      <c r="CH737" s="75"/>
      <c r="CI737" s="73"/>
      <c r="CJ737" s="75"/>
      <c r="CK737" s="75"/>
      <c r="CL737" s="75"/>
      <c r="CM737" s="73"/>
      <c r="CN737" s="75"/>
      <c r="CO737" s="75"/>
      <c r="CP737" s="75"/>
      <c r="CQ737" s="73"/>
      <c r="CR737" s="75"/>
      <c r="CS737" s="75"/>
      <c r="CT737" s="75"/>
      <c r="CU737" s="73"/>
      <c r="CV737" s="75"/>
      <c r="CW737" s="75"/>
      <c r="CX737" s="75"/>
      <c r="CY737" s="73"/>
      <c r="CZ737" s="75"/>
      <c r="DA737" s="75"/>
      <c r="DB737" s="75"/>
      <c r="DC737" s="73"/>
      <c r="DD737" s="75"/>
      <c r="DE737" s="75"/>
      <c r="DF737" s="75"/>
      <c r="DG737" s="73"/>
      <c r="DH737" s="75"/>
      <c r="DI737" s="75"/>
      <c r="DJ737" s="75"/>
      <c r="DK737" s="76"/>
    </row>
    <row r="738" spans="63:115" x14ac:dyDescent="0.25">
      <c r="BK738" s="75"/>
      <c r="BL738" s="75"/>
      <c r="BM738" s="75"/>
      <c r="BN738" s="73"/>
      <c r="BO738" s="75"/>
      <c r="BP738" s="75"/>
      <c r="BQ738" s="75"/>
      <c r="BR738" s="75"/>
      <c r="BS738" s="75"/>
      <c r="BT738" s="75"/>
      <c r="BU738" s="75"/>
      <c r="BV738" s="75"/>
      <c r="BW738" s="75"/>
      <c r="BX738" s="75"/>
      <c r="BY738" s="75"/>
      <c r="BZ738" s="75"/>
      <c r="CA738" s="73"/>
      <c r="CB738" s="75"/>
      <c r="CC738" s="75"/>
      <c r="CD738" s="75"/>
      <c r="CE738" s="73"/>
      <c r="CF738" s="75"/>
      <c r="CG738" s="75"/>
      <c r="CH738" s="75"/>
      <c r="CI738" s="73"/>
      <c r="CJ738" s="75"/>
      <c r="CK738" s="75"/>
      <c r="CL738" s="75"/>
      <c r="CM738" s="73"/>
      <c r="CN738" s="75"/>
      <c r="CO738" s="75"/>
      <c r="CP738" s="75"/>
      <c r="CQ738" s="73"/>
      <c r="CR738" s="75"/>
      <c r="CS738" s="75"/>
      <c r="CT738" s="75"/>
      <c r="CU738" s="73"/>
      <c r="CV738" s="75"/>
      <c r="CW738" s="75"/>
      <c r="CX738" s="75"/>
      <c r="CY738" s="73"/>
      <c r="CZ738" s="75"/>
      <c r="DA738" s="75"/>
      <c r="DB738" s="75"/>
      <c r="DC738" s="73"/>
      <c r="DD738" s="75"/>
      <c r="DE738" s="75"/>
      <c r="DF738" s="75"/>
      <c r="DG738" s="73"/>
      <c r="DH738" s="75"/>
      <c r="DI738" s="75"/>
      <c r="DJ738" s="75"/>
      <c r="DK738" s="76"/>
    </row>
    <row r="739" spans="63:115" x14ac:dyDescent="0.25">
      <c r="BK739" s="75"/>
      <c r="BL739" s="75"/>
      <c r="BM739" s="75"/>
      <c r="BN739" s="73"/>
      <c r="BO739" s="75"/>
      <c r="BP739" s="75"/>
      <c r="BQ739" s="75"/>
      <c r="BR739" s="75"/>
      <c r="BS739" s="75"/>
      <c r="BT739" s="75"/>
      <c r="BU739" s="75"/>
      <c r="BV739" s="75"/>
      <c r="BW739" s="75"/>
      <c r="BX739" s="75"/>
      <c r="BY739" s="75"/>
      <c r="BZ739" s="75"/>
      <c r="CA739" s="73"/>
      <c r="CB739" s="75"/>
      <c r="CC739" s="75"/>
      <c r="CD739" s="75"/>
      <c r="CE739" s="73"/>
      <c r="CF739" s="75"/>
      <c r="CG739" s="75"/>
      <c r="CH739" s="75"/>
      <c r="CI739" s="73"/>
      <c r="CJ739" s="75"/>
      <c r="CK739" s="75"/>
      <c r="CL739" s="75"/>
      <c r="CM739" s="73"/>
      <c r="CN739" s="75"/>
      <c r="CO739" s="75"/>
      <c r="CP739" s="75"/>
      <c r="CQ739" s="73"/>
      <c r="CR739" s="75"/>
      <c r="CS739" s="75"/>
      <c r="CT739" s="75"/>
      <c r="CU739" s="73"/>
      <c r="CV739" s="75"/>
      <c r="CW739" s="75"/>
      <c r="CX739" s="75"/>
      <c r="CY739" s="73"/>
      <c r="CZ739" s="75"/>
      <c r="DA739" s="75"/>
      <c r="DB739" s="75"/>
      <c r="DC739" s="73"/>
      <c r="DD739" s="75"/>
      <c r="DE739" s="75"/>
      <c r="DF739" s="75"/>
      <c r="DG739" s="73"/>
      <c r="DH739" s="75"/>
      <c r="DI739" s="75"/>
      <c r="DJ739" s="75"/>
      <c r="DK739" s="76"/>
    </row>
    <row r="740" spans="63:115" x14ac:dyDescent="0.25">
      <c r="BK740" s="75"/>
      <c r="BL740" s="75"/>
      <c r="BM740" s="75"/>
      <c r="BN740" s="73"/>
      <c r="BO740" s="75"/>
      <c r="BP740" s="75"/>
      <c r="BQ740" s="75"/>
      <c r="BR740" s="75"/>
      <c r="BS740" s="75"/>
      <c r="BT740" s="75"/>
      <c r="BU740" s="75"/>
      <c r="BV740" s="75"/>
      <c r="BW740" s="75"/>
      <c r="BX740" s="75"/>
      <c r="BY740" s="75"/>
      <c r="BZ740" s="75"/>
      <c r="CA740" s="73"/>
      <c r="CB740" s="75"/>
      <c r="CC740" s="75"/>
      <c r="CD740" s="75"/>
      <c r="CE740" s="73"/>
      <c r="CF740" s="75"/>
      <c r="CG740" s="75"/>
      <c r="CH740" s="75"/>
      <c r="CI740" s="73"/>
      <c r="CJ740" s="75"/>
      <c r="CK740" s="75"/>
      <c r="CL740" s="75"/>
      <c r="CM740" s="73"/>
      <c r="CN740" s="75"/>
      <c r="CO740" s="75"/>
      <c r="CP740" s="75"/>
      <c r="CQ740" s="73"/>
      <c r="CR740" s="75"/>
      <c r="CS740" s="75"/>
      <c r="CT740" s="75"/>
      <c r="CU740" s="73"/>
      <c r="CV740" s="75"/>
      <c r="CW740" s="75"/>
      <c r="CX740" s="75"/>
      <c r="CY740" s="73"/>
      <c r="CZ740" s="75"/>
      <c r="DA740" s="75"/>
      <c r="DB740" s="75"/>
      <c r="DC740" s="73"/>
      <c r="DD740" s="75"/>
      <c r="DE740" s="75"/>
      <c r="DF740" s="75"/>
      <c r="DG740" s="73"/>
      <c r="DH740" s="75"/>
      <c r="DI740" s="75"/>
      <c r="DJ740" s="75"/>
      <c r="DK740" s="76"/>
    </row>
    <row r="741" spans="63:115" x14ac:dyDescent="0.25">
      <c r="BK741" s="75"/>
      <c r="BL741" s="75"/>
      <c r="BM741" s="75"/>
      <c r="BN741" s="73"/>
      <c r="BO741" s="75"/>
      <c r="BP741" s="75"/>
      <c r="BQ741" s="75"/>
      <c r="BR741" s="75"/>
      <c r="BS741" s="75"/>
      <c r="BT741" s="75"/>
      <c r="BU741" s="75"/>
      <c r="BV741" s="75"/>
      <c r="BW741" s="75"/>
      <c r="BX741" s="75"/>
      <c r="BY741" s="75"/>
      <c r="BZ741" s="75"/>
      <c r="CA741" s="73"/>
      <c r="CB741" s="75"/>
      <c r="CC741" s="75"/>
      <c r="CD741" s="75"/>
      <c r="CE741" s="73"/>
      <c r="CF741" s="75"/>
      <c r="CG741" s="75"/>
      <c r="CH741" s="75"/>
      <c r="CI741" s="73"/>
      <c r="CJ741" s="75"/>
      <c r="CK741" s="75"/>
      <c r="CL741" s="75"/>
      <c r="CM741" s="73"/>
      <c r="CN741" s="75"/>
      <c r="CO741" s="75"/>
      <c r="CP741" s="75"/>
      <c r="CQ741" s="73"/>
      <c r="CR741" s="75"/>
      <c r="CS741" s="75"/>
      <c r="CT741" s="75"/>
      <c r="CU741" s="73"/>
      <c r="CV741" s="75"/>
      <c r="CW741" s="75"/>
      <c r="CX741" s="75"/>
      <c r="CY741" s="73"/>
      <c r="CZ741" s="75"/>
      <c r="DA741" s="75"/>
      <c r="DB741" s="75"/>
      <c r="DC741" s="73"/>
      <c r="DD741" s="75"/>
      <c r="DE741" s="75"/>
      <c r="DF741" s="75"/>
      <c r="DG741" s="73"/>
      <c r="DH741" s="75"/>
      <c r="DI741" s="75"/>
      <c r="DJ741" s="75"/>
      <c r="DK741" s="76"/>
    </row>
    <row r="742" spans="63:115" x14ac:dyDescent="0.25">
      <c r="BK742" s="75"/>
      <c r="BL742" s="75"/>
      <c r="BM742" s="75"/>
      <c r="BN742" s="73"/>
      <c r="BO742" s="75"/>
      <c r="BP742" s="75"/>
      <c r="BQ742" s="75"/>
      <c r="BR742" s="75"/>
      <c r="BS742" s="75"/>
      <c r="BT742" s="75"/>
      <c r="BU742" s="75"/>
      <c r="BV742" s="75"/>
      <c r="BW742" s="75"/>
      <c r="BX742" s="75"/>
      <c r="BY742" s="75"/>
      <c r="BZ742" s="75"/>
      <c r="CA742" s="73"/>
      <c r="CB742" s="75"/>
      <c r="CC742" s="75"/>
      <c r="CD742" s="75"/>
      <c r="CE742" s="73"/>
      <c r="CF742" s="75"/>
      <c r="CG742" s="75"/>
      <c r="CH742" s="75"/>
      <c r="CI742" s="73"/>
      <c r="CJ742" s="75"/>
      <c r="CK742" s="75"/>
      <c r="CL742" s="75"/>
      <c r="CM742" s="73"/>
      <c r="CN742" s="75"/>
      <c r="CO742" s="75"/>
      <c r="CP742" s="75"/>
      <c r="CQ742" s="73"/>
      <c r="CR742" s="75"/>
      <c r="CS742" s="75"/>
      <c r="CT742" s="75"/>
      <c r="CU742" s="73"/>
      <c r="CV742" s="75"/>
      <c r="CW742" s="75"/>
      <c r="CX742" s="75"/>
      <c r="CY742" s="73"/>
      <c r="CZ742" s="75"/>
      <c r="DA742" s="75"/>
      <c r="DB742" s="75"/>
      <c r="DC742" s="73"/>
      <c r="DD742" s="75"/>
      <c r="DE742" s="75"/>
      <c r="DF742" s="75"/>
      <c r="DG742" s="73"/>
      <c r="DH742" s="75"/>
      <c r="DI742" s="75"/>
      <c r="DJ742" s="75"/>
      <c r="DK742" s="76"/>
    </row>
    <row r="743" spans="63:115" x14ac:dyDescent="0.25">
      <c r="BK743" s="75"/>
      <c r="BL743" s="75"/>
      <c r="BM743" s="75"/>
      <c r="BN743" s="73"/>
      <c r="BO743" s="75"/>
      <c r="BP743" s="75"/>
      <c r="BQ743" s="75"/>
      <c r="BR743" s="75"/>
      <c r="BS743" s="75"/>
      <c r="BT743" s="75"/>
      <c r="BU743" s="75"/>
      <c r="BV743" s="75"/>
      <c r="BW743" s="75"/>
      <c r="BX743" s="75"/>
      <c r="BY743" s="75"/>
      <c r="BZ743" s="75"/>
      <c r="CA743" s="73"/>
      <c r="CB743" s="75"/>
      <c r="CC743" s="75"/>
      <c r="CD743" s="75"/>
      <c r="CE743" s="73"/>
      <c r="CF743" s="75"/>
      <c r="CG743" s="75"/>
      <c r="CH743" s="75"/>
      <c r="CI743" s="73"/>
      <c r="CJ743" s="75"/>
      <c r="CK743" s="75"/>
      <c r="CL743" s="75"/>
      <c r="CM743" s="73"/>
      <c r="CN743" s="75"/>
      <c r="CO743" s="75"/>
      <c r="CP743" s="75"/>
      <c r="CQ743" s="73"/>
      <c r="CR743" s="75"/>
      <c r="CS743" s="75"/>
      <c r="CT743" s="75"/>
      <c r="CU743" s="73"/>
      <c r="CV743" s="75"/>
      <c r="CW743" s="75"/>
      <c r="CX743" s="75"/>
      <c r="CY743" s="73"/>
      <c r="CZ743" s="75"/>
      <c r="DA743" s="75"/>
      <c r="DB743" s="75"/>
      <c r="DC743" s="73"/>
      <c r="DD743" s="75"/>
      <c r="DE743" s="75"/>
      <c r="DF743" s="75"/>
      <c r="DG743" s="73"/>
      <c r="DH743" s="75"/>
      <c r="DI743" s="75"/>
      <c r="DJ743" s="75"/>
      <c r="DK743" s="76"/>
    </row>
    <row r="744" spans="63:115" x14ac:dyDescent="0.25">
      <c r="BK744" s="75"/>
      <c r="BL744" s="75"/>
      <c r="BM744" s="75"/>
      <c r="BN744" s="73"/>
      <c r="BO744" s="75"/>
      <c r="BP744" s="75"/>
      <c r="BQ744" s="75"/>
      <c r="BR744" s="75"/>
      <c r="BS744" s="75"/>
      <c r="BT744" s="75"/>
      <c r="BU744" s="75"/>
      <c r="BV744" s="75"/>
      <c r="BW744" s="75"/>
      <c r="BX744" s="75"/>
      <c r="BY744" s="75"/>
      <c r="BZ744" s="75"/>
      <c r="CA744" s="73"/>
      <c r="CB744" s="75"/>
      <c r="CC744" s="75"/>
      <c r="CD744" s="75"/>
      <c r="CE744" s="73"/>
      <c r="CF744" s="75"/>
      <c r="CG744" s="75"/>
      <c r="CH744" s="75"/>
      <c r="CI744" s="73"/>
      <c r="CJ744" s="75"/>
      <c r="CK744" s="75"/>
      <c r="CL744" s="75"/>
      <c r="CM744" s="73"/>
      <c r="CN744" s="75"/>
      <c r="CO744" s="75"/>
      <c r="CP744" s="75"/>
      <c r="CQ744" s="73"/>
      <c r="CR744" s="75"/>
      <c r="CS744" s="75"/>
      <c r="CT744" s="75"/>
      <c r="CU744" s="73"/>
      <c r="CV744" s="75"/>
      <c r="CW744" s="75"/>
      <c r="CX744" s="75"/>
      <c r="CY744" s="73"/>
      <c r="CZ744" s="75"/>
      <c r="DA744" s="75"/>
      <c r="DB744" s="75"/>
      <c r="DC744" s="73"/>
      <c r="DD744" s="75"/>
      <c r="DE744" s="75"/>
      <c r="DF744" s="75"/>
      <c r="DG744" s="73"/>
      <c r="DH744" s="75"/>
      <c r="DI744" s="75"/>
      <c r="DJ744" s="75"/>
      <c r="DK744" s="76"/>
    </row>
    <row r="745" spans="63:115" x14ac:dyDescent="0.25">
      <c r="BK745" s="75"/>
      <c r="BL745" s="75"/>
      <c r="BM745" s="75"/>
      <c r="BN745" s="73"/>
      <c r="BO745" s="75"/>
      <c r="BP745" s="75"/>
      <c r="BQ745" s="75"/>
      <c r="BR745" s="75"/>
      <c r="BS745" s="75"/>
      <c r="BT745" s="75"/>
      <c r="BU745" s="75"/>
      <c r="BV745" s="75"/>
      <c r="BW745" s="75"/>
      <c r="BX745" s="75"/>
      <c r="BY745" s="75"/>
      <c r="BZ745" s="75"/>
      <c r="CA745" s="73"/>
      <c r="CB745" s="75"/>
      <c r="CC745" s="75"/>
      <c r="CD745" s="75"/>
      <c r="CE745" s="73"/>
      <c r="CF745" s="75"/>
      <c r="CG745" s="75"/>
      <c r="CH745" s="75"/>
      <c r="CI745" s="73"/>
      <c r="CJ745" s="75"/>
      <c r="CK745" s="75"/>
      <c r="CL745" s="75"/>
      <c r="CM745" s="73"/>
      <c r="CN745" s="75"/>
      <c r="CO745" s="75"/>
      <c r="CP745" s="75"/>
      <c r="CQ745" s="73"/>
      <c r="CR745" s="75"/>
      <c r="CS745" s="75"/>
      <c r="CT745" s="75"/>
      <c r="CU745" s="73"/>
      <c r="CV745" s="75"/>
      <c r="CW745" s="75"/>
      <c r="CX745" s="75"/>
      <c r="CY745" s="73"/>
      <c r="CZ745" s="75"/>
      <c r="DA745" s="75"/>
      <c r="DB745" s="75"/>
      <c r="DC745" s="73"/>
      <c r="DD745" s="75"/>
      <c r="DE745" s="75"/>
      <c r="DF745" s="75"/>
      <c r="DG745" s="73"/>
      <c r="DH745" s="75"/>
      <c r="DI745" s="75"/>
      <c r="DJ745" s="75"/>
      <c r="DK745" s="76"/>
    </row>
    <row r="746" spans="63:115" x14ac:dyDescent="0.25">
      <c r="BK746" s="75"/>
      <c r="BL746" s="75"/>
      <c r="BM746" s="75"/>
      <c r="BN746" s="73"/>
      <c r="BO746" s="75"/>
      <c r="BP746" s="75"/>
      <c r="BQ746" s="75"/>
      <c r="BR746" s="75"/>
      <c r="BS746" s="75"/>
      <c r="BT746" s="75"/>
      <c r="BU746" s="75"/>
      <c r="BV746" s="75"/>
      <c r="BW746" s="75"/>
      <c r="BX746" s="75"/>
      <c r="BY746" s="75"/>
      <c r="BZ746" s="75"/>
      <c r="CA746" s="73"/>
      <c r="CB746" s="75"/>
      <c r="CC746" s="75"/>
      <c r="CD746" s="75"/>
      <c r="CE746" s="73"/>
      <c r="CF746" s="75"/>
      <c r="CG746" s="75"/>
      <c r="CH746" s="75"/>
      <c r="CI746" s="73"/>
      <c r="CJ746" s="75"/>
      <c r="CK746" s="75"/>
      <c r="CL746" s="75"/>
      <c r="CM746" s="73"/>
      <c r="CN746" s="75"/>
      <c r="CO746" s="75"/>
      <c r="CP746" s="75"/>
      <c r="CQ746" s="73"/>
      <c r="CR746" s="75"/>
      <c r="CS746" s="75"/>
      <c r="CT746" s="75"/>
      <c r="CU746" s="73"/>
      <c r="CV746" s="75"/>
      <c r="CW746" s="75"/>
      <c r="CX746" s="75"/>
      <c r="CY746" s="73"/>
      <c r="CZ746" s="75"/>
      <c r="DA746" s="75"/>
      <c r="DB746" s="75"/>
      <c r="DC746" s="73"/>
      <c r="DD746" s="75"/>
      <c r="DE746" s="75"/>
      <c r="DF746" s="75"/>
      <c r="DG746" s="73"/>
      <c r="DH746" s="75"/>
      <c r="DI746" s="75"/>
      <c r="DJ746" s="75"/>
      <c r="DK746" s="76"/>
    </row>
    <row r="747" spans="63:115" x14ac:dyDescent="0.25">
      <c r="BK747" s="75"/>
      <c r="BL747" s="75"/>
      <c r="BM747" s="75"/>
      <c r="BN747" s="73"/>
      <c r="BO747" s="75"/>
      <c r="BP747" s="75"/>
      <c r="BQ747" s="75"/>
      <c r="BR747" s="75"/>
      <c r="BS747" s="75"/>
      <c r="BT747" s="75"/>
      <c r="BU747" s="75"/>
      <c r="BV747" s="75"/>
      <c r="BW747" s="75"/>
      <c r="BX747" s="75"/>
      <c r="BY747" s="75"/>
      <c r="BZ747" s="75"/>
      <c r="CA747" s="73"/>
      <c r="CB747" s="75"/>
      <c r="CC747" s="75"/>
      <c r="CD747" s="75"/>
      <c r="CE747" s="73"/>
      <c r="CF747" s="75"/>
      <c r="CG747" s="75"/>
      <c r="CH747" s="75"/>
      <c r="CI747" s="73"/>
      <c r="CJ747" s="75"/>
      <c r="CK747" s="75"/>
      <c r="CL747" s="75"/>
      <c r="CM747" s="73"/>
      <c r="CN747" s="75"/>
      <c r="CO747" s="75"/>
      <c r="CP747" s="75"/>
      <c r="CQ747" s="73"/>
      <c r="CR747" s="75"/>
      <c r="CS747" s="75"/>
      <c r="CT747" s="75"/>
      <c r="CU747" s="73"/>
      <c r="CV747" s="75"/>
      <c r="CW747" s="75"/>
      <c r="CX747" s="75"/>
      <c r="CY747" s="73"/>
      <c r="CZ747" s="75"/>
      <c r="DA747" s="75"/>
      <c r="DB747" s="75"/>
      <c r="DC747" s="73"/>
      <c r="DD747" s="75"/>
      <c r="DE747" s="75"/>
      <c r="DF747" s="75"/>
      <c r="DG747" s="73"/>
      <c r="DH747" s="75"/>
      <c r="DI747" s="75"/>
      <c r="DJ747" s="75"/>
      <c r="DK747" s="76"/>
    </row>
    <row r="748" spans="63:115" x14ac:dyDescent="0.25">
      <c r="BK748" s="75"/>
      <c r="BL748" s="75"/>
      <c r="BM748" s="75"/>
      <c r="BN748" s="73"/>
      <c r="BO748" s="75"/>
      <c r="BP748" s="75"/>
      <c r="BQ748" s="75"/>
      <c r="BR748" s="75"/>
      <c r="BS748" s="75"/>
      <c r="BT748" s="75"/>
      <c r="BU748" s="75"/>
      <c r="BV748" s="75"/>
      <c r="BW748" s="75"/>
      <c r="BX748" s="75"/>
      <c r="BY748" s="75"/>
      <c r="BZ748" s="75"/>
      <c r="CA748" s="73"/>
      <c r="CB748" s="75"/>
      <c r="CC748" s="75"/>
      <c r="CD748" s="75"/>
      <c r="CE748" s="73"/>
      <c r="CF748" s="75"/>
      <c r="CG748" s="75"/>
      <c r="CH748" s="75"/>
      <c r="CI748" s="73"/>
      <c r="CJ748" s="75"/>
      <c r="CK748" s="75"/>
      <c r="CL748" s="75"/>
      <c r="CM748" s="73"/>
      <c r="CN748" s="75"/>
      <c r="CO748" s="75"/>
      <c r="CP748" s="75"/>
      <c r="CQ748" s="73"/>
      <c r="CR748" s="75"/>
      <c r="CS748" s="75"/>
      <c r="CT748" s="75"/>
      <c r="CU748" s="73"/>
      <c r="CV748" s="75"/>
      <c r="CW748" s="75"/>
      <c r="CX748" s="75"/>
      <c r="CY748" s="73"/>
      <c r="CZ748" s="75"/>
      <c r="DA748" s="75"/>
      <c r="DB748" s="75"/>
      <c r="DC748" s="73"/>
      <c r="DD748" s="75"/>
      <c r="DE748" s="75"/>
      <c r="DF748" s="75"/>
      <c r="DG748" s="73"/>
      <c r="DH748" s="75"/>
      <c r="DI748" s="75"/>
      <c r="DJ748" s="75"/>
      <c r="DK748" s="76"/>
    </row>
    <row r="749" spans="63:115" x14ac:dyDescent="0.25">
      <c r="BK749" s="75"/>
      <c r="BL749" s="75"/>
      <c r="BM749" s="75"/>
      <c r="BN749" s="73"/>
      <c r="BO749" s="75"/>
      <c r="BP749" s="75"/>
      <c r="BQ749" s="75"/>
      <c r="BR749" s="75"/>
      <c r="BS749" s="75"/>
      <c r="BT749" s="75"/>
      <c r="BU749" s="75"/>
      <c r="BV749" s="75"/>
      <c r="BW749" s="75"/>
      <c r="BX749" s="75"/>
      <c r="BY749" s="75"/>
      <c r="BZ749" s="75"/>
      <c r="CA749" s="73"/>
      <c r="CB749" s="75"/>
      <c r="CC749" s="75"/>
      <c r="CD749" s="75"/>
      <c r="CE749" s="73"/>
      <c r="CF749" s="75"/>
      <c r="CG749" s="75"/>
      <c r="CH749" s="75"/>
      <c r="CI749" s="73"/>
      <c r="CJ749" s="75"/>
      <c r="CK749" s="75"/>
      <c r="CL749" s="75"/>
      <c r="CM749" s="73"/>
      <c r="CN749" s="75"/>
      <c r="CO749" s="75"/>
      <c r="CP749" s="75"/>
      <c r="CQ749" s="73"/>
      <c r="CR749" s="75"/>
      <c r="CS749" s="75"/>
      <c r="CT749" s="75"/>
      <c r="CU749" s="73"/>
      <c r="CV749" s="75"/>
      <c r="CW749" s="75"/>
      <c r="CX749" s="75"/>
      <c r="CY749" s="73"/>
      <c r="CZ749" s="75"/>
      <c r="DA749" s="75"/>
      <c r="DB749" s="75"/>
      <c r="DC749" s="73"/>
      <c r="DD749" s="75"/>
      <c r="DE749" s="75"/>
      <c r="DF749" s="75"/>
      <c r="DG749" s="73"/>
      <c r="DH749" s="75"/>
      <c r="DI749" s="75"/>
      <c r="DJ749" s="75"/>
      <c r="DK749" s="76"/>
    </row>
    <row r="750" spans="63:115" x14ac:dyDescent="0.25">
      <c r="BK750" s="75"/>
      <c r="BL750" s="75"/>
      <c r="BM750" s="75"/>
      <c r="BN750" s="73"/>
      <c r="BO750" s="75"/>
      <c r="BP750" s="75"/>
      <c r="BQ750" s="75"/>
      <c r="BR750" s="75"/>
      <c r="BS750" s="75"/>
      <c r="BT750" s="75"/>
      <c r="BU750" s="75"/>
      <c r="BV750" s="75"/>
      <c r="BW750" s="75"/>
      <c r="BX750" s="75"/>
      <c r="BY750" s="75"/>
      <c r="BZ750" s="75"/>
      <c r="CA750" s="73"/>
      <c r="CB750" s="75"/>
      <c r="CC750" s="75"/>
      <c r="CD750" s="75"/>
      <c r="CE750" s="73"/>
      <c r="CF750" s="75"/>
      <c r="CG750" s="75"/>
      <c r="CH750" s="75"/>
      <c r="CI750" s="73"/>
      <c r="CJ750" s="75"/>
      <c r="CK750" s="75"/>
      <c r="CL750" s="75"/>
      <c r="CM750" s="73"/>
      <c r="CN750" s="75"/>
      <c r="CO750" s="75"/>
      <c r="CP750" s="75"/>
      <c r="CQ750" s="73"/>
      <c r="CR750" s="75"/>
      <c r="CS750" s="75"/>
      <c r="CT750" s="75"/>
      <c r="CU750" s="73"/>
      <c r="CV750" s="75"/>
      <c r="CW750" s="75"/>
      <c r="CX750" s="75"/>
      <c r="CY750" s="73"/>
      <c r="CZ750" s="75"/>
      <c r="DA750" s="75"/>
      <c r="DB750" s="75"/>
      <c r="DC750" s="73"/>
      <c r="DD750" s="75"/>
      <c r="DE750" s="75"/>
      <c r="DF750" s="75"/>
      <c r="DG750" s="73"/>
      <c r="DH750" s="75"/>
      <c r="DI750" s="75"/>
      <c r="DJ750" s="75"/>
      <c r="DK750" s="76"/>
    </row>
    <row r="751" spans="63:115" x14ac:dyDescent="0.25">
      <c r="BK751" s="75"/>
      <c r="BL751" s="75"/>
      <c r="BM751" s="75"/>
      <c r="BN751" s="73"/>
      <c r="BO751" s="75"/>
      <c r="BP751" s="75"/>
      <c r="BQ751" s="75"/>
      <c r="BR751" s="75"/>
      <c r="BS751" s="75"/>
      <c r="BT751" s="75"/>
      <c r="BU751" s="75"/>
      <c r="BV751" s="75"/>
      <c r="BW751" s="75"/>
      <c r="BX751" s="75"/>
      <c r="BY751" s="75"/>
      <c r="BZ751" s="75"/>
      <c r="CA751" s="73"/>
      <c r="CB751" s="75"/>
      <c r="CC751" s="75"/>
      <c r="CD751" s="75"/>
      <c r="CE751" s="73"/>
      <c r="CF751" s="75"/>
      <c r="CG751" s="75"/>
      <c r="CH751" s="75"/>
      <c r="CI751" s="73"/>
      <c r="CJ751" s="75"/>
      <c r="CK751" s="75"/>
      <c r="CL751" s="75"/>
      <c r="CM751" s="73"/>
      <c r="CN751" s="75"/>
      <c r="CO751" s="75"/>
      <c r="CP751" s="75"/>
      <c r="CQ751" s="73"/>
      <c r="CR751" s="75"/>
      <c r="CS751" s="75"/>
      <c r="CT751" s="75"/>
      <c r="CU751" s="73"/>
      <c r="CV751" s="75"/>
      <c r="CW751" s="75"/>
      <c r="CX751" s="75"/>
      <c r="CY751" s="73"/>
      <c r="CZ751" s="75"/>
      <c r="DA751" s="75"/>
      <c r="DB751" s="75"/>
      <c r="DC751" s="73"/>
      <c r="DD751" s="75"/>
      <c r="DE751" s="75"/>
      <c r="DF751" s="75"/>
      <c r="DG751" s="73"/>
      <c r="DH751" s="75"/>
      <c r="DI751" s="75"/>
      <c r="DJ751" s="75"/>
      <c r="DK751" s="76"/>
    </row>
    <row r="752" spans="63:115" x14ac:dyDescent="0.25">
      <c r="BK752" s="75"/>
      <c r="BL752" s="75"/>
      <c r="BM752" s="75"/>
      <c r="BN752" s="73"/>
      <c r="BO752" s="75"/>
      <c r="BP752" s="75"/>
      <c r="BQ752" s="75"/>
      <c r="BR752" s="75"/>
      <c r="BS752" s="75"/>
      <c r="BT752" s="75"/>
      <c r="BU752" s="75"/>
      <c r="BV752" s="75"/>
      <c r="BW752" s="75"/>
      <c r="BX752" s="75"/>
      <c r="BY752" s="75"/>
      <c r="BZ752" s="75"/>
      <c r="CA752" s="73"/>
      <c r="CB752" s="75"/>
      <c r="CC752" s="75"/>
      <c r="CD752" s="75"/>
      <c r="CE752" s="73"/>
      <c r="CF752" s="75"/>
      <c r="CG752" s="75"/>
      <c r="CH752" s="75"/>
      <c r="CI752" s="73"/>
      <c r="CJ752" s="75"/>
      <c r="CK752" s="75"/>
      <c r="CL752" s="75"/>
      <c r="CM752" s="73"/>
      <c r="CN752" s="75"/>
      <c r="CO752" s="75"/>
      <c r="CP752" s="75"/>
      <c r="CQ752" s="73"/>
      <c r="CR752" s="75"/>
      <c r="CS752" s="75"/>
      <c r="CT752" s="75"/>
      <c r="CU752" s="73"/>
      <c r="CV752" s="75"/>
      <c r="CW752" s="75"/>
      <c r="CX752" s="75"/>
      <c r="CY752" s="73"/>
      <c r="CZ752" s="75"/>
      <c r="DA752" s="75"/>
      <c r="DB752" s="75"/>
      <c r="DC752" s="73"/>
      <c r="DD752" s="75"/>
      <c r="DE752" s="75"/>
      <c r="DF752" s="75"/>
      <c r="DG752" s="73"/>
      <c r="DH752" s="75"/>
      <c r="DI752" s="75"/>
      <c r="DJ752" s="75"/>
      <c r="DK752" s="76"/>
    </row>
    <row r="753" spans="63:115" x14ac:dyDescent="0.25">
      <c r="BK753" s="75"/>
      <c r="BL753" s="75"/>
      <c r="BM753" s="75"/>
      <c r="BN753" s="73"/>
      <c r="BO753" s="75"/>
      <c r="BP753" s="75"/>
      <c r="BQ753" s="75"/>
      <c r="BR753" s="75"/>
      <c r="BS753" s="75"/>
      <c r="BT753" s="75"/>
      <c r="BU753" s="75"/>
      <c r="BV753" s="75"/>
      <c r="BW753" s="75"/>
      <c r="BX753" s="75"/>
      <c r="BY753" s="75"/>
      <c r="BZ753" s="75"/>
      <c r="CA753" s="73"/>
      <c r="CB753" s="75"/>
      <c r="CC753" s="75"/>
      <c r="CD753" s="75"/>
      <c r="CE753" s="73"/>
      <c r="CF753" s="75"/>
      <c r="CG753" s="75"/>
      <c r="CH753" s="75"/>
      <c r="CI753" s="73"/>
      <c r="CJ753" s="75"/>
      <c r="CK753" s="75"/>
      <c r="CL753" s="75"/>
      <c r="CM753" s="73"/>
      <c r="CN753" s="75"/>
      <c r="CO753" s="75"/>
      <c r="CP753" s="75"/>
      <c r="CQ753" s="73"/>
      <c r="CR753" s="75"/>
      <c r="CS753" s="75"/>
      <c r="CT753" s="75"/>
      <c r="CU753" s="73"/>
      <c r="CV753" s="75"/>
      <c r="CW753" s="75"/>
      <c r="CX753" s="75"/>
      <c r="CY753" s="73"/>
      <c r="CZ753" s="75"/>
      <c r="DA753" s="75"/>
      <c r="DB753" s="75"/>
      <c r="DC753" s="73"/>
      <c r="DD753" s="75"/>
      <c r="DE753" s="75"/>
      <c r="DF753" s="75"/>
      <c r="DG753" s="73"/>
      <c r="DH753" s="75"/>
      <c r="DI753" s="75"/>
      <c r="DJ753" s="75"/>
      <c r="DK753" s="76"/>
    </row>
    <row r="754" spans="63:115" x14ac:dyDescent="0.25">
      <c r="BK754" s="75"/>
      <c r="BL754" s="75"/>
      <c r="BM754" s="75"/>
      <c r="BN754" s="73"/>
      <c r="BO754" s="75"/>
      <c r="BP754" s="75"/>
      <c r="BQ754" s="75"/>
      <c r="BR754" s="75"/>
      <c r="BS754" s="75"/>
      <c r="BT754" s="75"/>
      <c r="BU754" s="75"/>
      <c r="BV754" s="75"/>
      <c r="BW754" s="75"/>
      <c r="BX754" s="75"/>
      <c r="BY754" s="75"/>
      <c r="BZ754" s="75"/>
      <c r="CA754" s="73"/>
      <c r="CB754" s="75"/>
      <c r="CC754" s="75"/>
      <c r="CD754" s="75"/>
      <c r="CE754" s="73"/>
      <c r="CF754" s="75"/>
      <c r="CG754" s="75"/>
      <c r="CH754" s="75"/>
      <c r="CI754" s="73"/>
      <c r="CJ754" s="75"/>
      <c r="CK754" s="75"/>
      <c r="CL754" s="75"/>
      <c r="CM754" s="73"/>
      <c r="CN754" s="75"/>
      <c r="CO754" s="75"/>
      <c r="CP754" s="75"/>
      <c r="CQ754" s="73"/>
      <c r="CR754" s="75"/>
      <c r="CS754" s="75"/>
      <c r="CT754" s="75"/>
      <c r="CU754" s="73"/>
      <c r="CV754" s="75"/>
      <c r="CW754" s="75"/>
      <c r="CX754" s="75"/>
      <c r="CY754" s="73"/>
      <c r="CZ754" s="75"/>
      <c r="DA754" s="75"/>
      <c r="DB754" s="75"/>
      <c r="DC754" s="73"/>
      <c r="DD754" s="75"/>
      <c r="DE754" s="75"/>
      <c r="DF754" s="75"/>
      <c r="DG754" s="73"/>
      <c r="DH754" s="75"/>
      <c r="DI754" s="75"/>
      <c r="DJ754" s="75"/>
      <c r="DK754" s="76"/>
    </row>
    <row r="755" spans="63:115" x14ac:dyDescent="0.25">
      <c r="BK755" s="75"/>
      <c r="BL755" s="75"/>
      <c r="BM755" s="75"/>
      <c r="BN755" s="73"/>
      <c r="BO755" s="75"/>
      <c r="BP755" s="75"/>
      <c r="BQ755" s="75"/>
      <c r="BR755" s="75"/>
      <c r="BS755" s="75"/>
      <c r="BT755" s="75"/>
      <c r="BU755" s="75"/>
      <c r="BV755" s="75"/>
      <c r="BW755" s="75"/>
      <c r="BX755" s="75"/>
      <c r="BY755" s="75"/>
      <c r="BZ755" s="75"/>
      <c r="CA755" s="73"/>
      <c r="CB755" s="75"/>
      <c r="CC755" s="75"/>
      <c r="CD755" s="75"/>
      <c r="CE755" s="73"/>
      <c r="CF755" s="75"/>
      <c r="CG755" s="75"/>
      <c r="CH755" s="75"/>
      <c r="CI755" s="73"/>
      <c r="CJ755" s="75"/>
      <c r="CK755" s="75"/>
      <c r="CL755" s="75"/>
      <c r="CM755" s="73"/>
      <c r="CN755" s="75"/>
      <c r="CO755" s="75"/>
      <c r="CP755" s="75"/>
      <c r="CQ755" s="73"/>
      <c r="CR755" s="75"/>
      <c r="CS755" s="75"/>
      <c r="CT755" s="75"/>
      <c r="CU755" s="73"/>
      <c r="CV755" s="75"/>
      <c r="CW755" s="75"/>
      <c r="CX755" s="75"/>
      <c r="CY755" s="73"/>
      <c r="CZ755" s="75"/>
      <c r="DA755" s="75"/>
      <c r="DB755" s="75"/>
      <c r="DC755" s="73"/>
      <c r="DD755" s="75"/>
      <c r="DE755" s="75"/>
      <c r="DF755" s="75"/>
      <c r="DG755" s="73"/>
      <c r="DH755" s="75"/>
      <c r="DI755" s="75"/>
      <c r="DJ755" s="75"/>
      <c r="DK755" s="76"/>
    </row>
    <row r="756" spans="63:115" x14ac:dyDescent="0.25">
      <c r="BK756" s="75"/>
      <c r="BL756" s="75"/>
      <c r="BM756" s="75"/>
      <c r="BN756" s="73"/>
      <c r="BO756" s="75"/>
      <c r="BP756" s="75"/>
      <c r="BQ756" s="75"/>
      <c r="BR756" s="75"/>
      <c r="BS756" s="75"/>
      <c r="BT756" s="75"/>
      <c r="BU756" s="75"/>
      <c r="BV756" s="75"/>
      <c r="BW756" s="75"/>
      <c r="BX756" s="75"/>
      <c r="BY756" s="75"/>
      <c r="BZ756" s="75"/>
      <c r="CA756" s="73"/>
      <c r="CB756" s="75"/>
      <c r="CC756" s="75"/>
      <c r="CD756" s="75"/>
      <c r="CE756" s="73"/>
      <c r="CF756" s="75"/>
      <c r="CG756" s="75"/>
      <c r="CH756" s="75"/>
      <c r="CI756" s="73"/>
      <c r="CJ756" s="75"/>
      <c r="CK756" s="75"/>
      <c r="CL756" s="75"/>
      <c r="CM756" s="73"/>
      <c r="CN756" s="75"/>
      <c r="CO756" s="75"/>
      <c r="CP756" s="75"/>
      <c r="CQ756" s="73"/>
      <c r="CR756" s="75"/>
      <c r="CS756" s="75"/>
      <c r="CT756" s="75"/>
      <c r="CU756" s="73"/>
      <c r="CV756" s="75"/>
      <c r="CW756" s="75"/>
      <c r="CX756" s="75"/>
      <c r="CY756" s="73"/>
      <c r="CZ756" s="75"/>
      <c r="DA756" s="75"/>
      <c r="DB756" s="75"/>
      <c r="DC756" s="73"/>
      <c r="DD756" s="75"/>
      <c r="DE756" s="75"/>
      <c r="DF756" s="75"/>
      <c r="DG756" s="73"/>
      <c r="DH756" s="75"/>
      <c r="DI756" s="75"/>
      <c r="DJ756" s="75"/>
      <c r="DK756" s="76"/>
    </row>
    <row r="757" spans="63:115" x14ac:dyDescent="0.25">
      <c r="BK757" s="75"/>
      <c r="BL757" s="75"/>
      <c r="BM757" s="75"/>
      <c r="BN757" s="73"/>
      <c r="BO757" s="75"/>
      <c r="BP757" s="75"/>
      <c r="BQ757" s="75"/>
      <c r="BR757" s="75"/>
      <c r="BS757" s="75"/>
      <c r="BT757" s="75"/>
      <c r="BU757" s="75"/>
      <c r="BV757" s="75"/>
      <c r="BW757" s="75"/>
      <c r="BX757" s="75"/>
      <c r="BY757" s="75"/>
      <c r="BZ757" s="75"/>
      <c r="CA757" s="73"/>
      <c r="CB757" s="75"/>
      <c r="CC757" s="75"/>
      <c r="CD757" s="75"/>
      <c r="CE757" s="73"/>
      <c r="CF757" s="75"/>
      <c r="CG757" s="75"/>
      <c r="CH757" s="75"/>
      <c r="CI757" s="73"/>
      <c r="CJ757" s="75"/>
      <c r="CK757" s="75"/>
      <c r="CL757" s="75"/>
      <c r="CM757" s="73"/>
      <c r="CN757" s="75"/>
      <c r="CO757" s="75"/>
      <c r="CP757" s="75"/>
      <c r="CQ757" s="73"/>
      <c r="CR757" s="75"/>
      <c r="CS757" s="75"/>
      <c r="CT757" s="75"/>
      <c r="CU757" s="73"/>
      <c r="CV757" s="75"/>
      <c r="CW757" s="75"/>
      <c r="CX757" s="75"/>
      <c r="CY757" s="73"/>
      <c r="CZ757" s="75"/>
      <c r="DA757" s="75"/>
      <c r="DB757" s="75"/>
      <c r="DC757" s="73"/>
      <c r="DD757" s="75"/>
      <c r="DE757" s="75"/>
      <c r="DF757" s="75"/>
      <c r="DG757" s="73"/>
      <c r="DH757" s="75"/>
      <c r="DI757" s="75"/>
      <c r="DJ757" s="75"/>
      <c r="DK757" s="76"/>
    </row>
    <row r="758" spans="63:115" x14ac:dyDescent="0.25">
      <c r="BK758" s="75"/>
      <c r="BL758" s="75"/>
      <c r="BM758" s="75"/>
      <c r="BN758" s="73"/>
      <c r="BO758" s="75"/>
      <c r="BP758" s="75"/>
      <c r="BQ758" s="75"/>
      <c r="BR758" s="75"/>
      <c r="BS758" s="75"/>
      <c r="BT758" s="75"/>
      <c r="BU758" s="75"/>
      <c r="BV758" s="75"/>
      <c r="BW758" s="75"/>
      <c r="BX758" s="75"/>
      <c r="BY758" s="75"/>
      <c r="BZ758" s="75"/>
      <c r="CA758" s="73"/>
      <c r="CB758" s="75"/>
      <c r="CC758" s="75"/>
      <c r="CD758" s="75"/>
      <c r="CE758" s="73"/>
      <c r="CF758" s="75"/>
      <c r="CG758" s="75"/>
      <c r="CH758" s="75"/>
      <c r="CI758" s="73"/>
      <c r="CJ758" s="75"/>
      <c r="CK758" s="75"/>
      <c r="CL758" s="75"/>
      <c r="CM758" s="73"/>
      <c r="CN758" s="75"/>
      <c r="CO758" s="75"/>
      <c r="CP758" s="75"/>
      <c r="CQ758" s="73"/>
      <c r="CR758" s="75"/>
      <c r="CS758" s="75"/>
      <c r="CT758" s="75"/>
      <c r="CU758" s="73"/>
      <c r="CV758" s="75"/>
      <c r="CW758" s="75"/>
      <c r="CX758" s="75"/>
      <c r="CY758" s="73"/>
      <c r="CZ758" s="75"/>
      <c r="DA758" s="75"/>
      <c r="DB758" s="75"/>
      <c r="DC758" s="73"/>
      <c r="DD758" s="75"/>
      <c r="DE758" s="75"/>
      <c r="DF758" s="75"/>
      <c r="DG758" s="73"/>
      <c r="DH758" s="75"/>
      <c r="DI758" s="75"/>
      <c r="DJ758" s="75"/>
      <c r="DK758" s="76"/>
    </row>
    <row r="759" spans="63:115" x14ac:dyDescent="0.25">
      <c r="BK759" s="75"/>
      <c r="BL759" s="75"/>
      <c r="BM759" s="75"/>
      <c r="BN759" s="73"/>
      <c r="BO759" s="75"/>
      <c r="BP759" s="75"/>
      <c r="BQ759" s="75"/>
      <c r="BR759" s="75"/>
      <c r="BS759" s="75"/>
      <c r="BT759" s="75"/>
      <c r="BU759" s="75"/>
      <c r="BV759" s="75"/>
      <c r="BW759" s="75"/>
      <c r="BX759" s="75"/>
      <c r="BY759" s="75"/>
      <c r="BZ759" s="75"/>
      <c r="CA759" s="73"/>
      <c r="CB759" s="75"/>
      <c r="CC759" s="75"/>
      <c r="CD759" s="75"/>
      <c r="CE759" s="73"/>
      <c r="CF759" s="75"/>
      <c r="CG759" s="75"/>
      <c r="CH759" s="75"/>
      <c r="CI759" s="73"/>
      <c r="CJ759" s="75"/>
      <c r="CK759" s="75"/>
      <c r="CL759" s="75"/>
      <c r="CM759" s="73"/>
      <c r="CN759" s="75"/>
      <c r="CO759" s="75"/>
      <c r="CP759" s="75"/>
      <c r="CQ759" s="73"/>
      <c r="CR759" s="75"/>
      <c r="CS759" s="75"/>
      <c r="CT759" s="75"/>
      <c r="CU759" s="73"/>
      <c r="CV759" s="75"/>
      <c r="CW759" s="75"/>
      <c r="CX759" s="75"/>
      <c r="CY759" s="73"/>
      <c r="CZ759" s="75"/>
      <c r="DA759" s="75"/>
      <c r="DB759" s="75"/>
      <c r="DC759" s="73"/>
      <c r="DD759" s="75"/>
      <c r="DE759" s="75"/>
      <c r="DF759" s="75"/>
      <c r="DG759" s="73"/>
      <c r="DH759" s="75"/>
      <c r="DI759" s="75"/>
      <c r="DJ759" s="75"/>
      <c r="DK759" s="76"/>
    </row>
    <row r="760" spans="63:115" x14ac:dyDescent="0.25">
      <c r="BK760" s="75"/>
      <c r="BL760" s="75"/>
      <c r="BM760" s="75"/>
      <c r="BN760" s="73"/>
      <c r="BO760" s="75"/>
      <c r="BP760" s="75"/>
      <c r="BQ760" s="75"/>
      <c r="BR760" s="75"/>
      <c r="BS760" s="75"/>
      <c r="BT760" s="75"/>
      <c r="BU760" s="75"/>
      <c r="BV760" s="75"/>
      <c r="BW760" s="75"/>
      <c r="BX760" s="75"/>
      <c r="BY760" s="75"/>
      <c r="BZ760" s="75"/>
      <c r="CA760" s="73"/>
      <c r="CB760" s="75"/>
      <c r="CC760" s="75"/>
      <c r="CD760" s="75"/>
      <c r="CE760" s="73"/>
      <c r="CF760" s="75"/>
      <c r="CG760" s="75"/>
      <c r="CH760" s="75"/>
      <c r="CI760" s="73"/>
      <c r="CJ760" s="75"/>
      <c r="CK760" s="75"/>
      <c r="CL760" s="75"/>
      <c r="CM760" s="73"/>
      <c r="CN760" s="75"/>
      <c r="CO760" s="75"/>
      <c r="CP760" s="75"/>
      <c r="CQ760" s="73"/>
      <c r="CR760" s="75"/>
      <c r="CS760" s="75"/>
      <c r="CT760" s="75"/>
      <c r="CU760" s="73"/>
      <c r="CV760" s="75"/>
      <c r="CW760" s="75"/>
      <c r="CX760" s="75"/>
      <c r="CY760" s="73"/>
      <c r="CZ760" s="75"/>
      <c r="DA760" s="75"/>
      <c r="DB760" s="75"/>
      <c r="DC760" s="73"/>
      <c r="DD760" s="75"/>
      <c r="DE760" s="75"/>
      <c r="DF760" s="75"/>
      <c r="DG760" s="73"/>
      <c r="DH760" s="75"/>
      <c r="DI760" s="75"/>
      <c r="DJ760" s="75"/>
      <c r="DK760" s="76"/>
    </row>
    <row r="761" spans="63:115" x14ac:dyDescent="0.25">
      <c r="BK761" s="75"/>
      <c r="BL761" s="75"/>
      <c r="BM761" s="75"/>
      <c r="BN761" s="73"/>
      <c r="BO761" s="75"/>
      <c r="BP761" s="75"/>
      <c r="BQ761" s="75"/>
      <c r="BR761" s="75"/>
      <c r="BS761" s="75"/>
      <c r="BT761" s="75"/>
      <c r="BU761" s="75"/>
      <c r="BV761" s="75"/>
      <c r="BW761" s="75"/>
      <c r="BX761" s="75"/>
      <c r="BY761" s="75"/>
      <c r="BZ761" s="75"/>
      <c r="CA761" s="73"/>
      <c r="CB761" s="75"/>
      <c r="CC761" s="75"/>
      <c r="CD761" s="75"/>
      <c r="CE761" s="73"/>
      <c r="CF761" s="75"/>
      <c r="CG761" s="75"/>
      <c r="CH761" s="75"/>
      <c r="CI761" s="73"/>
      <c r="CJ761" s="75"/>
      <c r="CK761" s="75"/>
      <c r="CL761" s="75"/>
      <c r="CM761" s="73"/>
      <c r="CN761" s="75"/>
      <c r="CO761" s="75"/>
      <c r="CP761" s="75"/>
      <c r="CQ761" s="73"/>
      <c r="CR761" s="75"/>
      <c r="CS761" s="75"/>
      <c r="CT761" s="75"/>
      <c r="CU761" s="73"/>
      <c r="CV761" s="75"/>
      <c r="CW761" s="75"/>
      <c r="CX761" s="75"/>
      <c r="CY761" s="73"/>
      <c r="CZ761" s="75"/>
      <c r="DA761" s="75"/>
      <c r="DB761" s="75"/>
      <c r="DC761" s="73"/>
      <c r="DD761" s="75"/>
      <c r="DE761" s="75"/>
      <c r="DF761" s="75"/>
      <c r="DG761" s="73"/>
      <c r="DH761" s="75"/>
      <c r="DI761" s="75"/>
      <c r="DJ761" s="75"/>
      <c r="DK761" s="76"/>
    </row>
    <row r="762" spans="63:115" x14ac:dyDescent="0.25">
      <c r="BK762" s="75"/>
      <c r="BL762" s="75"/>
      <c r="BM762" s="75"/>
      <c r="BN762" s="73"/>
      <c r="BO762" s="75"/>
      <c r="BP762" s="75"/>
      <c r="BQ762" s="75"/>
      <c r="BR762" s="75"/>
      <c r="BS762" s="75"/>
      <c r="BT762" s="75"/>
      <c r="BU762" s="75"/>
      <c r="BV762" s="75"/>
      <c r="BW762" s="75"/>
      <c r="BX762" s="75"/>
      <c r="BY762" s="75"/>
      <c r="BZ762" s="75"/>
      <c r="CA762" s="73"/>
      <c r="CB762" s="75"/>
      <c r="CC762" s="75"/>
      <c r="CD762" s="75"/>
      <c r="CE762" s="73"/>
      <c r="CF762" s="75"/>
      <c r="CG762" s="75"/>
      <c r="CH762" s="75"/>
      <c r="CI762" s="73"/>
      <c r="CJ762" s="75"/>
      <c r="CK762" s="75"/>
      <c r="CL762" s="75"/>
      <c r="CM762" s="73"/>
      <c r="CN762" s="75"/>
      <c r="CO762" s="75"/>
      <c r="CP762" s="75"/>
      <c r="CQ762" s="73"/>
      <c r="CR762" s="75"/>
      <c r="CS762" s="75"/>
      <c r="CT762" s="75"/>
      <c r="CU762" s="73"/>
      <c r="CV762" s="75"/>
      <c r="CW762" s="75"/>
      <c r="CX762" s="75"/>
      <c r="CY762" s="73"/>
      <c r="CZ762" s="75"/>
      <c r="DA762" s="75"/>
      <c r="DB762" s="75"/>
      <c r="DC762" s="73"/>
      <c r="DD762" s="75"/>
      <c r="DE762" s="75"/>
      <c r="DF762" s="75"/>
      <c r="DG762" s="73"/>
      <c r="DH762" s="75"/>
      <c r="DI762" s="75"/>
      <c r="DJ762" s="75"/>
      <c r="DK762" s="76"/>
    </row>
    <row r="763" spans="63:115" x14ac:dyDescent="0.25">
      <c r="BK763" s="75"/>
      <c r="BL763" s="75"/>
      <c r="BM763" s="75"/>
      <c r="BN763" s="73"/>
      <c r="BO763" s="75"/>
      <c r="BP763" s="75"/>
      <c r="BQ763" s="75"/>
      <c r="BR763" s="75"/>
      <c r="BS763" s="75"/>
      <c r="BT763" s="75"/>
      <c r="BU763" s="75"/>
      <c r="BV763" s="75"/>
      <c r="BW763" s="75"/>
      <c r="BX763" s="75"/>
      <c r="BY763" s="75"/>
      <c r="BZ763" s="75"/>
      <c r="CA763" s="73"/>
      <c r="CB763" s="75"/>
      <c r="CC763" s="75"/>
      <c r="CD763" s="75"/>
      <c r="CE763" s="73"/>
      <c r="CF763" s="75"/>
      <c r="CG763" s="75"/>
      <c r="CH763" s="75"/>
      <c r="CI763" s="73"/>
      <c r="CJ763" s="75"/>
      <c r="CK763" s="75"/>
      <c r="CL763" s="75"/>
      <c r="CM763" s="73"/>
      <c r="CN763" s="75"/>
      <c r="CO763" s="75"/>
      <c r="CP763" s="75"/>
      <c r="CQ763" s="73"/>
      <c r="CR763" s="75"/>
      <c r="CS763" s="75"/>
      <c r="CT763" s="75"/>
      <c r="CU763" s="73"/>
      <c r="CV763" s="75"/>
      <c r="CW763" s="75"/>
      <c r="CX763" s="75"/>
      <c r="CY763" s="73"/>
      <c r="CZ763" s="75"/>
      <c r="DA763" s="75"/>
      <c r="DB763" s="75"/>
      <c r="DC763" s="73"/>
      <c r="DD763" s="75"/>
      <c r="DE763" s="75"/>
      <c r="DF763" s="75"/>
      <c r="DG763" s="73"/>
      <c r="DH763" s="75"/>
      <c r="DI763" s="75"/>
      <c r="DJ763" s="75"/>
      <c r="DK763" s="76"/>
    </row>
    <row r="764" spans="63:115" x14ac:dyDescent="0.25">
      <c r="BK764" s="75"/>
      <c r="BL764" s="75"/>
      <c r="BM764" s="75"/>
      <c r="BN764" s="73"/>
      <c r="BO764" s="75"/>
      <c r="BP764" s="75"/>
      <c r="BQ764" s="75"/>
      <c r="BR764" s="75"/>
      <c r="BS764" s="75"/>
      <c r="BT764" s="75"/>
      <c r="BU764" s="75"/>
      <c r="BV764" s="75"/>
      <c r="BW764" s="75"/>
      <c r="BX764" s="75"/>
      <c r="BY764" s="75"/>
      <c r="BZ764" s="75"/>
      <c r="CA764" s="73"/>
      <c r="CB764" s="75"/>
      <c r="CC764" s="75"/>
      <c r="CD764" s="75"/>
      <c r="CE764" s="73"/>
      <c r="CF764" s="75"/>
      <c r="CG764" s="75"/>
      <c r="CH764" s="75"/>
      <c r="CI764" s="73"/>
      <c r="CJ764" s="75"/>
      <c r="CK764" s="75"/>
      <c r="CL764" s="75"/>
      <c r="CM764" s="73"/>
      <c r="CN764" s="75"/>
      <c r="CO764" s="75"/>
      <c r="CP764" s="75"/>
      <c r="CQ764" s="73"/>
      <c r="CR764" s="75"/>
      <c r="CS764" s="75"/>
      <c r="CT764" s="75"/>
      <c r="CU764" s="73"/>
      <c r="CV764" s="75"/>
      <c r="CW764" s="75"/>
      <c r="CX764" s="75"/>
      <c r="CY764" s="73"/>
      <c r="CZ764" s="75"/>
      <c r="DA764" s="75"/>
      <c r="DB764" s="75"/>
      <c r="DC764" s="73"/>
      <c r="DD764" s="75"/>
      <c r="DE764" s="75"/>
      <c r="DF764" s="75"/>
      <c r="DG764" s="73"/>
      <c r="DH764" s="75"/>
      <c r="DI764" s="75"/>
      <c r="DJ764" s="75"/>
      <c r="DK764" s="76"/>
    </row>
    <row r="765" spans="63:115" x14ac:dyDescent="0.25">
      <c r="BK765" s="75"/>
      <c r="BL765" s="75"/>
      <c r="BM765" s="75"/>
      <c r="BN765" s="73"/>
      <c r="BO765" s="75"/>
      <c r="BP765" s="75"/>
      <c r="BQ765" s="75"/>
      <c r="BR765" s="75"/>
      <c r="BS765" s="75"/>
      <c r="BT765" s="75"/>
      <c r="BU765" s="75"/>
      <c r="BV765" s="75"/>
      <c r="BW765" s="75"/>
      <c r="BX765" s="75"/>
      <c r="BY765" s="75"/>
      <c r="BZ765" s="75"/>
      <c r="CA765" s="73"/>
      <c r="CB765" s="75"/>
      <c r="CC765" s="75"/>
      <c r="CD765" s="75"/>
      <c r="CE765" s="73"/>
      <c r="CF765" s="75"/>
      <c r="CG765" s="75"/>
      <c r="CH765" s="75"/>
      <c r="CI765" s="73"/>
      <c r="CJ765" s="75"/>
      <c r="CK765" s="75"/>
      <c r="CL765" s="75"/>
      <c r="CM765" s="73"/>
      <c r="CN765" s="75"/>
      <c r="CO765" s="75"/>
      <c r="CP765" s="75"/>
      <c r="CQ765" s="73"/>
      <c r="CR765" s="75"/>
      <c r="CS765" s="75"/>
      <c r="CT765" s="75"/>
      <c r="CU765" s="73"/>
      <c r="CV765" s="75"/>
      <c r="CW765" s="75"/>
      <c r="CX765" s="75"/>
      <c r="CY765" s="73"/>
      <c r="CZ765" s="75"/>
      <c r="DA765" s="75"/>
      <c r="DB765" s="75"/>
      <c r="DC765" s="73"/>
      <c r="DD765" s="75"/>
      <c r="DE765" s="75"/>
      <c r="DF765" s="75"/>
      <c r="DG765" s="73"/>
      <c r="DH765" s="75"/>
      <c r="DI765" s="75"/>
      <c r="DJ765" s="75"/>
      <c r="DK765" s="76"/>
    </row>
    <row r="766" spans="63:115" x14ac:dyDescent="0.25">
      <c r="BK766" s="75"/>
      <c r="BL766" s="75"/>
      <c r="BM766" s="75"/>
      <c r="BN766" s="73"/>
      <c r="BO766" s="75"/>
      <c r="BP766" s="75"/>
      <c r="BQ766" s="75"/>
      <c r="BR766" s="75"/>
      <c r="BS766" s="75"/>
      <c r="BT766" s="75"/>
      <c r="BU766" s="75"/>
      <c r="BV766" s="75"/>
      <c r="BW766" s="75"/>
      <c r="BX766" s="75"/>
      <c r="BY766" s="75"/>
      <c r="BZ766" s="75"/>
      <c r="CA766" s="73"/>
      <c r="CB766" s="75"/>
      <c r="CC766" s="75"/>
      <c r="CD766" s="75"/>
      <c r="CE766" s="73"/>
      <c r="CF766" s="75"/>
      <c r="CG766" s="75"/>
      <c r="CH766" s="75"/>
      <c r="CI766" s="73"/>
      <c r="CJ766" s="75"/>
      <c r="CK766" s="75"/>
      <c r="CL766" s="75"/>
      <c r="CM766" s="73"/>
      <c r="CN766" s="75"/>
      <c r="CO766" s="75"/>
      <c r="CP766" s="75"/>
      <c r="CQ766" s="73"/>
      <c r="CR766" s="75"/>
      <c r="CS766" s="75"/>
      <c r="CT766" s="75"/>
      <c r="CU766" s="73"/>
      <c r="CV766" s="75"/>
      <c r="CW766" s="75"/>
      <c r="CX766" s="75"/>
      <c r="CY766" s="73"/>
      <c r="CZ766" s="75"/>
      <c r="DA766" s="75"/>
      <c r="DB766" s="75"/>
      <c r="DC766" s="73"/>
      <c r="DD766" s="75"/>
      <c r="DE766" s="75"/>
      <c r="DF766" s="75"/>
      <c r="DG766" s="73"/>
      <c r="DH766" s="75"/>
      <c r="DI766" s="75"/>
      <c r="DJ766" s="75"/>
      <c r="DK766" s="76"/>
    </row>
    <row r="767" spans="63:115" x14ac:dyDescent="0.25">
      <c r="BK767" s="75"/>
      <c r="BL767" s="75"/>
      <c r="BM767" s="75"/>
      <c r="BN767" s="73"/>
      <c r="BO767" s="75"/>
      <c r="BP767" s="75"/>
      <c r="BQ767" s="75"/>
      <c r="BR767" s="75"/>
      <c r="BS767" s="75"/>
      <c r="BT767" s="75"/>
      <c r="BU767" s="75"/>
      <c r="BV767" s="75"/>
      <c r="BW767" s="75"/>
      <c r="BX767" s="75"/>
      <c r="BY767" s="75"/>
      <c r="BZ767" s="75"/>
      <c r="CA767" s="73"/>
      <c r="CB767" s="75"/>
      <c r="CC767" s="75"/>
      <c r="CD767" s="75"/>
      <c r="CE767" s="73"/>
      <c r="CF767" s="75"/>
      <c r="CG767" s="75"/>
      <c r="CH767" s="75"/>
      <c r="CI767" s="73"/>
      <c r="CJ767" s="75"/>
      <c r="CK767" s="75"/>
      <c r="CL767" s="75"/>
      <c r="CM767" s="73"/>
      <c r="CN767" s="75"/>
      <c r="CO767" s="75"/>
      <c r="CP767" s="75"/>
      <c r="CQ767" s="73"/>
      <c r="CR767" s="75"/>
      <c r="CS767" s="75"/>
      <c r="CT767" s="75"/>
      <c r="CU767" s="73"/>
      <c r="CV767" s="75"/>
      <c r="CW767" s="75"/>
      <c r="CX767" s="75"/>
      <c r="CY767" s="73"/>
      <c r="CZ767" s="75"/>
      <c r="DA767" s="75"/>
      <c r="DB767" s="75"/>
      <c r="DC767" s="73"/>
      <c r="DD767" s="75"/>
      <c r="DE767" s="75"/>
      <c r="DF767" s="75"/>
      <c r="DG767" s="73"/>
      <c r="DH767" s="75"/>
      <c r="DI767" s="75"/>
      <c r="DJ767" s="75"/>
      <c r="DK767" s="76"/>
    </row>
    <row r="768" spans="63:115" x14ac:dyDescent="0.25">
      <c r="BK768" s="75"/>
      <c r="BL768" s="75"/>
      <c r="BM768" s="75"/>
      <c r="BN768" s="73"/>
      <c r="BO768" s="75"/>
      <c r="BP768" s="75"/>
      <c r="BQ768" s="75"/>
      <c r="BR768" s="75"/>
      <c r="BS768" s="75"/>
      <c r="BT768" s="75"/>
      <c r="BU768" s="75"/>
      <c r="BV768" s="75"/>
      <c r="BW768" s="75"/>
      <c r="BX768" s="75"/>
      <c r="BY768" s="75"/>
      <c r="BZ768" s="75"/>
      <c r="CA768" s="73"/>
      <c r="CB768" s="75"/>
      <c r="CC768" s="75"/>
      <c r="CD768" s="75"/>
      <c r="CE768" s="73"/>
      <c r="CF768" s="75"/>
      <c r="CG768" s="75"/>
      <c r="CH768" s="75"/>
      <c r="CI768" s="73"/>
      <c r="CJ768" s="75"/>
      <c r="CK768" s="75"/>
      <c r="CL768" s="75"/>
      <c r="CM768" s="73"/>
      <c r="CN768" s="75"/>
      <c r="CO768" s="75"/>
      <c r="CP768" s="75"/>
      <c r="CQ768" s="73"/>
      <c r="CR768" s="75"/>
      <c r="CS768" s="75"/>
      <c r="CT768" s="75"/>
      <c r="CU768" s="73"/>
      <c r="CV768" s="75"/>
      <c r="CW768" s="75"/>
      <c r="CX768" s="75"/>
      <c r="CY768" s="73"/>
      <c r="CZ768" s="75"/>
      <c r="DA768" s="75"/>
      <c r="DB768" s="75"/>
      <c r="DC768" s="73"/>
      <c r="DD768" s="75"/>
      <c r="DE768" s="75"/>
      <c r="DF768" s="75"/>
      <c r="DG768" s="73"/>
      <c r="DH768" s="75"/>
      <c r="DI768" s="75"/>
      <c r="DJ768" s="75"/>
      <c r="DK768" s="76"/>
    </row>
    <row r="769" spans="63:115" x14ac:dyDescent="0.25">
      <c r="BK769" s="75"/>
      <c r="BL769" s="75"/>
      <c r="BM769" s="75"/>
      <c r="BN769" s="73"/>
      <c r="BO769" s="75"/>
      <c r="BP769" s="75"/>
      <c r="BQ769" s="75"/>
      <c r="BR769" s="75"/>
      <c r="BS769" s="75"/>
      <c r="BT769" s="75"/>
      <c r="BU769" s="75"/>
      <c r="BV769" s="75"/>
      <c r="BW769" s="75"/>
      <c r="BX769" s="75"/>
      <c r="BY769" s="75"/>
      <c r="BZ769" s="75"/>
      <c r="CA769" s="73"/>
      <c r="CB769" s="75"/>
      <c r="CC769" s="75"/>
      <c r="CD769" s="75"/>
      <c r="CE769" s="73"/>
      <c r="CF769" s="75"/>
      <c r="CG769" s="75"/>
      <c r="CH769" s="75"/>
      <c r="CI769" s="73"/>
      <c r="CJ769" s="75"/>
      <c r="CK769" s="75"/>
      <c r="CL769" s="75"/>
      <c r="CM769" s="73"/>
      <c r="CN769" s="75"/>
      <c r="CO769" s="75"/>
      <c r="CP769" s="75"/>
      <c r="CQ769" s="73"/>
      <c r="CR769" s="75"/>
      <c r="CS769" s="75"/>
      <c r="CT769" s="75"/>
      <c r="CU769" s="73"/>
      <c r="CV769" s="75"/>
      <c r="CW769" s="75"/>
      <c r="CX769" s="75"/>
      <c r="CY769" s="73"/>
      <c r="CZ769" s="75"/>
      <c r="DA769" s="75"/>
      <c r="DB769" s="75"/>
      <c r="DC769" s="73"/>
      <c r="DD769" s="75"/>
      <c r="DE769" s="75"/>
      <c r="DF769" s="75"/>
      <c r="DG769" s="73"/>
      <c r="DH769" s="75"/>
      <c r="DI769" s="75"/>
      <c r="DJ769" s="75"/>
      <c r="DK769" s="76"/>
    </row>
    <row r="770" spans="63:115" x14ac:dyDescent="0.25">
      <c r="BK770" s="75"/>
      <c r="BL770" s="75"/>
      <c r="BM770" s="75"/>
      <c r="BN770" s="73"/>
      <c r="BO770" s="75"/>
      <c r="BP770" s="75"/>
      <c r="BQ770" s="75"/>
      <c r="BR770" s="75"/>
      <c r="BS770" s="75"/>
      <c r="BT770" s="75"/>
      <c r="BU770" s="75"/>
      <c r="BV770" s="75"/>
      <c r="BW770" s="75"/>
      <c r="BX770" s="75"/>
      <c r="BY770" s="75"/>
      <c r="BZ770" s="75"/>
      <c r="CA770" s="73"/>
      <c r="CB770" s="75"/>
      <c r="CC770" s="75"/>
      <c r="CD770" s="75"/>
      <c r="CE770" s="73"/>
      <c r="CF770" s="75"/>
      <c r="CG770" s="75"/>
      <c r="CH770" s="75"/>
      <c r="CI770" s="73"/>
      <c r="CJ770" s="75"/>
      <c r="CK770" s="75"/>
      <c r="CL770" s="75"/>
      <c r="CM770" s="73"/>
      <c r="CN770" s="75"/>
      <c r="CO770" s="75"/>
      <c r="CP770" s="75"/>
      <c r="CQ770" s="73"/>
      <c r="CR770" s="75"/>
      <c r="CS770" s="75"/>
      <c r="CT770" s="75"/>
      <c r="CU770" s="73"/>
      <c r="CV770" s="75"/>
      <c r="CW770" s="75"/>
      <c r="CX770" s="75"/>
      <c r="CY770" s="73"/>
      <c r="CZ770" s="75"/>
      <c r="DA770" s="75"/>
      <c r="DB770" s="75"/>
      <c r="DC770" s="73"/>
      <c r="DD770" s="75"/>
      <c r="DE770" s="75"/>
      <c r="DF770" s="75"/>
      <c r="DG770" s="73"/>
      <c r="DH770" s="75"/>
      <c r="DI770" s="75"/>
      <c r="DJ770" s="75"/>
      <c r="DK770" s="76"/>
    </row>
    <row r="771" spans="63:115" x14ac:dyDescent="0.25">
      <c r="BK771" s="75"/>
      <c r="BL771" s="75"/>
      <c r="BM771" s="75"/>
      <c r="BN771" s="73"/>
      <c r="BO771" s="75"/>
      <c r="BP771" s="75"/>
      <c r="BQ771" s="75"/>
      <c r="BR771" s="75"/>
      <c r="BS771" s="75"/>
      <c r="BT771" s="75"/>
      <c r="BU771" s="75"/>
      <c r="BV771" s="75"/>
      <c r="BW771" s="75"/>
      <c r="BX771" s="75"/>
      <c r="BY771" s="75"/>
      <c r="BZ771" s="75"/>
      <c r="CA771" s="73"/>
      <c r="CB771" s="75"/>
      <c r="CC771" s="75"/>
      <c r="CD771" s="75"/>
      <c r="CE771" s="73"/>
      <c r="CF771" s="75"/>
      <c r="CG771" s="75"/>
      <c r="CH771" s="75"/>
      <c r="CI771" s="73"/>
      <c r="CJ771" s="75"/>
      <c r="CK771" s="75"/>
      <c r="CL771" s="75"/>
      <c r="CM771" s="73"/>
      <c r="CN771" s="75"/>
      <c r="CO771" s="75"/>
      <c r="CP771" s="75"/>
      <c r="CQ771" s="73"/>
      <c r="CR771" s="75"/>
      <c r="CS771" s="75"/>
      <c r="CT771" s="75"/>
      <c r="CU771" s="73"/>
      <c r="CV771" s="75"/>
      <c r="CW771" s="75"/>
      <c r="CX771" s="75"/>
      <c r="CY771" s="73"/>
      <c r="CZ771" s="75"/>
      <c r="DA771" s="75"/>
      <c r="DB771" s="75"/>
      <c r="DC771" s="73"/>
      <c r="DD771" s="75"/>
      <c r="DE771" s="75"/>
      <c r="DF771" s="75"/>
      <c r="DG771" s="73"/>
      <c r="DH771" s="75"/>
      <c r="DI771" s="75"/>
      <c r="DJ771" s="75"/>
      <c r="DK771" s="76"/>
    </row>
    <row r="772" spans="63:115" x14ac:dyDescent="0.25">
      <c r="BK772" s="75"/>
      <c r="BL772" s="75"/>
      <c r="BM772" s="75"/>
      <c r="BN772" s="73"/>
      <c r="BO772" s="75"/>
      <c r="BP772" s="75"/>
      <c r="BQ772" s="75"/>
      <c r="BR772" s="75"/>
      <c r="BS772" s="75"/>
      <c r="BT772" s="75"/>
      <c r="BU772" s="75"/>
      <c r="BV772" s="75"/>
      <c r="BW772" s="75"/>
      <c r="BX772" s="75"/>
      <c r="BY772" s="75"/>
      <c r="BZ772" s="75"/>
      <c r="CA772" s="73"/>
      <c r="CB772" s="75"/>
      <c r="CC772" s="75"/>
      <c r="CD772" s="75"/>
      <c r="CE772" s="73"/>
      <c r="CF772" s="75"/>
      <c r="CG772" s="75"/>
      <c r="CH772" s="75"/>
      <c r="CI772" s="73"/>
      <c r="CJ772" s="75"/>
      <c r="CK772" s="75"/>
      <c r="CL772" s="75"/>
      <c r="CM772" s="73"/>
      <c r="CN772" s="75"/>
      <c r="CO772" s="75"/>
      <c r="CP772" s="75"/>
      <c r="CQ772" s="73"/>
      <c r="CR772" s="75"/>
      <c r="CS772" s="75"/>
      <c r="CT772" s="75"/>
      <c r="CU772" s="73"/>
      <c r="CV772" s="75"/>
      <c r="CW772" s="75"/>
      <c r="CX772" s="75"/>
      <c r="CY772" s="73"/>
      <c r="CZ772" s="75"/>
      <c r="DA772" s="75"/>
      <c r="DB772" s="75"/>
      <c r="DC772" s="73"/>
      <c r="DD772" s="75"/>
      <c r="DE772" s="75"/>
      <c r="DF772" s="75"/>
      <c r="DG772" s="73"/>
      <c r="DH772" s="75"/>
      <c r="DI772" s="75"/>
      <c r="DJ772" s="75"/>
      <c r="DK772" s="76"/>
    </row>
    <row r="773" spans="63:115" x14ac:dyDescent="0.25">
      <c r="BK773" s="75"/>
      <c r="BL773" s="75"/>
      <c r="BM773" s="75"/>
      <c r="BN773" s="73"/>
      <c r="BO773" s="75"/>
      <c r="BP773" s="75"/>
      <c r="BQ773" s="75"/>
      <c r="BR773" s="75"/>
      <c r="BS773" s="75"/>
      <c r="BT773" s="75"/>
      <c r="BU773" s="75"/>
      <c r="BV773" s="75"/>
      <c r="BW773" s="75"/>
      <c r="BX773" s="75"/>
      <c r="BY773" s="75"/>
      <c r="BZ773" s="75"/>
      <c r="CA773" s="73"/>
      <c r="CB773" s="75"/>
      <c r="CC773" s="75"/>
      <c r="CD773" s="75"/>
      <c r="CE773" s="73"/>
      <c r="CF773" s="75"/>
      <c r="CG773" s="75"/>
      <c r="CH773" s="75"/>
      <c r="CI773" s="73"/>
      <c r="CJ773" s="75"/>
      <c r="CK773" s="75"/>
      <c r="CL773" s="75"/>
      <c r="CM773" s="73"/>
      <c r="CN773" s="75"/>
      <c r="CO773" s="75"/>
      <c r="CP773" s="75"/>
      <c r="CQ773" s="73"/>
      <c r="CR773" s="75"/>
      <c r="CS773" s="75"/>
      <c r="CT773" s="75"/>
      <c r="CU773" s="73"/>
      <c r="CV773" s="75"/>
      <c r="CW773" s="75"/>
      <c r="CX773" s="75"/>
      <c r="CY773" s="73"/>
      <c r="CZ773" s="75"/>
      <c r="DA773" s="75"/>
      <c r="DB773" s="75"/>
      <c r="DC773" s="73"/>
      <c r="DD773" s="75"/>
      <c r="DE773" s="75"/>
      <c r="DF773" s="75"/>
      <c r="DG773" s="73"/>
      <c r="DH773" s="75"/>
      <c r="DI773" s="75"/>
      <c r="DJ773" s="75"/>
      <c r="DK773" s="76"/>
    </row>
    <row r="774" spans="63:115" x14ac:dyDescent="0.25">
      <c r="BK774" s="75"/>
      <c r="BL774" s="75"/>
      <c r="BM774" s="75"/>
      <c r="BN774" s="73"/>
      <c r="BO774" s="75"/>
      <c r="BP774" s="75"/>
      <c r="BQ774" s="75"/>
      <c r="BR774" s="75"/>
      <c r="BS774" s="75"/>
      <c r="BT774" s="75"/>
      <c r="BU774" s="75"/>
      <c r="BV774" s="75"/>
      <c r="BW774" s="75"/>
      <c r="BX774" s="75"/>
      <c r="BY774" s="75"/>
      <c r="BZ774" s="75"/>
      <c r="CA774" s="73"/>
      <c r="CB774" s="75"/>
      <c r="CC774" s="75"/>
      <c r="CD774" s="75"/>
      <c r="CE774" s="73"/>
      <c r="CF774" s="75"/>
      <c r="CG774" s="75"/>
      <c r="CH774" s="75"/>
      <c r="CI774" s="73"/>
      <c r="CJ774" s="75"/>
      <c r="CK774" s="75"/>
      <c r="CL774" s="75"/>
      <c r="CM774" s="73"/>
      <c r="CN774" s="75"/>
      <c r="CO774" s="75"/>
      <c r="CP774" s="75"/>
      <c r="CQ774" s="73"/>
      <c r="CR774" s="75"/>
      <c r="CS774" s="75"/>
      <c r="CT774" s="75"/>
      <c r="CU774" s="73"/>
      <c r="CV774" s="75"/>
      <c r="CW774" s="75"/>
      <c r="CX774" s="75"/>
      <c r="CY774" s="73"/>
      <c r="CZ774" s="75"/>
      <c r="DA774" s="75"/>
      <c r="DB774" s="75"/>
      <c r="DC774" s="73"/>
      <c r="DD774" s="75"/>
      <c r="DE774" s="75"/>
      <c r="DF774" s="75"/>
      <c r="DG774" s="73"/>
      <c r="DH774" s="75"/>
      <c r="DI774" s="75"/>
      <c r="DJ774" s="75"/>
      <c r="DK774" s="76"/>
    </row>
    <row r="775" spans="63:115" x14ac:dyDescent="0.25">
      <c r="BK775" s="75"/>
      <c r="BL775" s="75"/>
      <c r="BM775" s="75"/>
      <c r="BN775" s="73"/>
      <c r="BO775" s="75"/>
      <c r="BP775" s="75"/>
      <c r="BQ775" s="75"/>
      <c r="BR775" s="75"/>
      <c r="BS775" s="75"/>
      <c r="BT775" s="75"/>
      <c r="BU775" s="75"/>
      <c r="BV775" s="75"/>
      <c r="BW775" s="75"/>
      <c r="BX775" s="75"/>
      <c r="BY775" s="75"/>
      <c r="BZ775" s="75"/>
      <c r="CA775" s="73"/>
      <c r="CB775" s="75"/>
      <c r="CC775" s="75"/>
      <c r="CD775" s="75"/>
      <c r="CE775" s="73"/>
      <c r="CF775" s="75"/>
      <c r="CG775" s="75"/>
      <c r="CH775" s="75"/>
      <c r="CI775" s="73"/>
      <c r="CJ775" s="75"/>
      <c r="CK775" s="75"/>
      <c r="CL775" s="75"/>
      <c r="CM775" s="73"/>
      <c r="CN775" s="75"/>
      <c r="CO775" s="75"/>
      <c r="CP775" s="75"/>
      <c r="CQ775" s="73"/>
      <c r="CR775" s="75"/>
      <c r="CS775" s="75"/>
      <c r="CT775" s="75"/>
      <c r="CU775" s="73"/>
      <c r="CV775" s="75"/>
      <c r="CW775" s="75"/>
      <c r="CX775" s="75"/>
      <c r="CY775" s="73"/>
      <c r="CZ775" s="75"/>
      <c r="DA775" s="75"/>
      <c r="DB775" s="75"/>
      <c r="DC775" s="73"/>
      <c r="DD775" s="75"/>
      <c r="DE775" s="75"/>
      <c r="DF775" s="75"/>
      <c r="DG775" s="73"/>
      <c r="DH775" s="75"/>
      <c r="DI775" s="75"/>
      <c r="DJ775" s="75"/>
      <c r="DK775" s="76"/>
    </row>
    <row r="776" spans="63:115" x14ac:dyDescent="0.25">
      <c r="BK776" s="75"/>
      <c r="BL776" s="75"/>
      <c r="BM776" s="75"/>
      <c r="BN776" s="73"/>
      <c r="BO776" s="75"/>
      <c r="BP776" s="75"/>
      <c r="BQ776" s="75"/>
      <c r="BR776" s="75"/>
      <c r="BS776" s="75"/>
      <c r="BT776" s="75"/>
      <c r="BU776" s="75"/>
      <c r="BV776" s="75"/>
      <c r="BW776" s="75"/>
      <c r="BX776" s="75"/>
      <c r="BY776" s="75"/>
      <c r="BZ776" s="75"/>
      <c r="CA776" s="73"/>
      <c r="CB776" s="75"/>
      <c r="CC776" s="75"/>
      <c r="CD776" s="75"/>
      <c r="CE776" s="73"/>
      <c r="CF776" s="75"/>
      <c r="CG776" s="75"/>
      <c r="CH776" s="75"/>
      <c r="CI776" s="73"/>
      <c r="CJ776" s="75"/>
      <c r="CK776" s="75"/>
      <c r="CL776" s="75"/>
      <c r="CM776" s="73"/>
      <c r="CN776" s="75"/>
      <c r="CO776" s="75"/>
      <c r="CP776" s="75"/>
      <c r="CQ776" s="73"/>
      <c r="CR776" s="75"/>
      <c r="CS776" s="75"/>
      <c r="CT776" s="75"/>
      <c r="CU776" s="73"/>
      <c r="CV776" s="75"/>
      <c r="CW776" s="75"/>
      <c r="CX776" s="75"/>
      <c r="CY776" s="73"/>
      <c r="CZ776" s="75"/>
      <c r="DA776" s="75"/>
      <c r="DB776" s="75"/>
      <c r="DC776" s="73"/>
      <c r="DD776" s="75"/>
      <c r="DE776" s="75"/>
      <c r="DF776" s="75"/>
      <c r="DG776" s="73"/>
      <c r="DH776" s="75"/>
      <c r="DI776" s="75"/>
      <c r="DJ776" s="75"/>
      <c r="DK776" s="76"/>
    </row>
    <row r="777" spans="63:115" x14ac:dyDescent="0.25">
      <c r="BK777" s="75"/>
      <c r="BL777" s="75"/>
      <c r="BM777" s="75"/>
      <c r="BN777" s="73"/>
      <c r="BO777" s="75"/>
      <c r="BP777" s="75"/>
      <c r="BQ777" s="75"/>
      <c r="BR777" s="75"/>
      <c r="BS777" s="75"/>
      <c r="BT777" s="75"/>
      <c r="BU777" s="75"/>
      <c r="BV777" s="75"/>
      <c r="BW777" s="75"/>
      <c r="BX777" s="75"/>
      <c r="BY777" s="75"/>
      <c r="BZ777" s="75"/>
      <c r="CA777" s="73"/>
      <c r="CB777" s="75"/>
      <c r="CC777" s="75"/>
      <c r="CD777" s="75"/>
      <c r="CE777" s="73"/>
      <c r="CF777" s="75"/>
      <c r="CG777" s="75"/>
      <c r="CH777" s="75"/>
      <c r="CI777" s="73"/>
      <c r="CJ777" s="75"/>
      <c r="CK777" s="75"/>
      <c r="CL777" s="75"/>
      <c r="CM777" s="73"/>
      <c r="CN777" s="75"/>
      <c r="CO777" s="75"/>
      <c r="CP777" s="75"/>
      <c r="CQ777" s="73"/>
      <c r="CR777" s="75"/>
      <c r="CS777" s="75"/>
      <c r="CT777" s="75"/>
      <c r="CU777" s="73"/>
      <c r="CV777" s="75"/>
      <c r="CW777" s="75"/>
      <c r="CX777" s="75"/>
      <c r="CY777" s="73"/>
      <c r="CZ777" s="75"/>
      <c r="DA777" s="75"/>
      <c r="DB777" s="75"/>
      <c r="DC777" s="73"/>
      <c r="DD777" s="75"/>
      <c r="DE777" s="75"/>
      <c r="DF777" s="75"/>
      <c r="DG777" s="73"/>
      <c r="DH777" s="75"/>
      <c r="DI777" s="75"/>
      <c r="DJ777" s="75"/>
      <c r="DK777" s="76"/>
    </row>
    <row r="778" spans="63:115" x14ac:dyDescent="0.25">
      <c r="BK778" s="75"/>
      <c r="BL778" s="75"/>
      <c r="BM778" s="75"/>
      <c r="BN778" s="73"/>
      <c r="BO778" s="75"/>
      <c r="BP778" s="75"/>
      <c r="BQ778" s="75"/>
      <c r="BR778" s="75"/>
      <c r="BS778" s="75"/>
      <c r="BT778" s="75"/>
      <c r="BU778" s="75"/>
      <c r="BV778" s="75"/>
      <c r="BW778" s="75"/>
      <c r="BX778" s="75"/>
      <c r="BY778" s="75"/>
      <c r="BZ778" s="75"/>
      <c r="CA778" s="73"/>
      <c r="CB778" s="75"/>
      <c r="CC778" s="75"/>
      <c r="CD778" s="75"/>
      <c r="CE778" s="73"/>
      <c r="CF778" s="75"/>
      <c r="CG778" s="75"/>
      <c r="CH778" s="75"/>
      <c r="CI778" s="73"/>
      <c r="CJ778" s="75"/>
      <c r="CK778" s="75"/>
      <c r="CL778" s="75"/>
      <c r="CM778" s="73"/>
      <c r="CN778" s="75"/>
      <c r="CO778" s="75"/>
      <c r="CP778" s="75"/>
      <c r="CQ778" s="73"/>
      <c r="CR778" s="75"/>
      <c r="CS778" s="75"/>
      <c r="CT778" s="75"/>
      <c r="CU778" s="73"/>
      <c r="CV778" s="75"/>
      <c r="CW778" s="75"/>
      <c r="CX778" s="75"/>
      <c r="CY778" s="73"/>
      <c r="CZ778" s="75"/>
      <c r="DA778" s="75"/>
      <c r="DB778" s="75"/>
      <c r="DC778" s="73"/>
      <c r="DD778" s="75"/>
      <c r="DE778" s="75"/>
      <c r="DF778" s="75"/>
      <c r="DG778" s="73"/>
      <c r="DH778" s="75"/>
      <c r="DI778" s="75"/>
      <c r="DJ778" s="75"/>
      <c r="DK778" s="76"/>
    </row>
    <row r="779" spans="63:115" x14ac:dyDescent="0.25">
      <c r="BK779" s="75"/>
      <c r="BL779" s="75"/>
      <c r="BM779" s="75"/>
      <c r="BN779" s="73"/>
      <c r="BO779" s="75"/>
      <c r="BP779" s="75"/>
      <c r="BQ779" s="75"/>
      <c r="BR779" s="75"/>
      <c r="BS779" s="75"/>
      <c r="BT779" s="75"/>
      <c r="BU779" s="75"/>
      <c r="BV779" s="75"/>
      <c r="BW779" s="75"/>
      <c r="BX779" s="75"/>
      <c r="BY779" s="75"/>
      <c r="BZ779" s="75"/>
      <c r="CA779" s="73"/>
      <c r="CB779" s="75"/>
      <c r="CC779" s="75"/>
      <c r="CD779" s="75"/>
      <c r="CE779" s="73"/>
      <c r="CF779" s="75"/>
      <c r="CG779" s="75"/>
      <c r="CH779" s="75"/>
      <c r="CI779" s="73"/>
      <c r="CJ779" s="75"/>
      <c r="CK779" s="75"/>
      <c r="CL779" s="75"/>
      <c r="CM779" s="73"/>
      <c r="CN779" s="75"/>
      <c r="CO779" s="75"/>
      <c r="CP779" s="75"/>
      <c r="CQ779" s="73"/>
      <c r="CR779" s="75"/>
      <c r="CS779" s="75"/>
      <c r="CT779" s="75"/>
      <c r="CU779" s="73"/>
      <c r="CV779" s="75"/>
      <c r="CW779" s="75"/>
      <c r="CX779" s="75"/>
      <c r="CY779" s="73"/>
      <c r="CZ779" s="75"/>
      <c r="DA779" s="75"/>
      <c r="DB779" s="75"/>
      <c r="DC779" s="73"/>
      <c r="DD779" s="75"/>
      <c r="DE779" s="75"/>
      <c r="DF779" s="75"/>
      <c r="DG779" s="73"/>
      <c r="DH779" s="75"/>
      <c r="DI779" s="75"/>
      <c r="DJ779" s="75"/>
      <c r="DK779" s="76"/>
    </row>
    <row r="780" spans="63:115" x14ac:dyDescent="0.25">
      <c r="BK780" s="75"/>
      <c r="BL780" s="75"/>
      <c r="BM780" s="75"/>
      <c r="BN780" s="73"/>
      <c r="BO780" s="75"/>
      <c r="BP780" s="75"/>
      <c r="BQ780" s="75"/>
      <c r="BR780" s="75"/>
      <c r="BS780" s="75"/>
      <c r="BT780" s="75"/>
      <c r="BU780" s="75"/>
      <c r="BV780" s="75"/>
      <c r="BW780" s="75"/>
      <c r="BX780" s="75"/>
      <c r="BY780" s="75"/>
      <c r="BZ780" s="75"/>
      <c r="CA780" s="73"/>
      <c r="CB780" s="75"/>
      <c r="CC780" s="75"/>
      <c r="CD780" s="75"/>
      <c r="CE780" s="73"/>
      <c r="CF780" s="75"/>
      <c r="CG780" s="75"/>
      <c r="CH780" s="75"/>
      <c r="CI780" s="73"/>
      <c r="CJ780" s="75"/>
      <c r="CK780" s="75"/>
      <c r="CL780" s="75"/>
      <c r="CM780" s="73"/>
      <c r="CN780" s="75"/>
      <c r="CO780" s="75"/>
      <c r="CP780" s="75"/>
      <c r="CQ780" s="73"/>
      <c r="CR780" s="75"/>
      <c r="CS780" s="75"/>
      <c r="CT780" s="75"/>
      <c r="CU780" s="73"/>
      <c r="CV780" s="75"/>
      <c r="CW780" s="75"/>
      <c r="CX780" s="75"/>
      <c r="CY780" s="73"/>
      <c r="CZ780" s="75"/>
      <c r="DA780" s="75"/>
      <c r="DB780" s="75"/>
      <c r="DC780" s="73"/>
      <c r="DD780" s="75"/>
      <c r="DE780" s="75"/>
      <c r="DF780" s="75"/>
      <c r="DG780" s="73"/>
      <c r="DH780" s="75"/>
      <c r="DI780" s="75"/>
      <c r="DJ780" s="75"/>
      <c r="DK780" s="76"/>
    </row>
    <row r="781" spans="63:115" x14ac:dyDescent="0.25">
      <c r="BK781" s="75"/>
      <c r="BL781" s="75"/>
      <c r="BM781" s="75"/>
      <c r="BN781" s="73"/>
      <c r="BO781" s="75"/>
      <c r="BP781" s="75"/>
      <c r="BQ781" s="75"/>
      <c r="BR781" s="75"/>
      <c r="BS781" s="75"/>
      <c r="BT781" s="75"/>
      <c r="BU781" s="75"/>
      <c r="BV781" s="75"/>
      <c r="BW781" s="75"/>
      <c r="BX781" s="75"/>
      <c r="BY781" s="75"/>
      <c r="BZ781" s="75"/>
      <c r="CA781" s="73"/>
      <c r="CB781" s="75"/>
      <c r="CC781" s="75"/>
      <c r="CD781" s="75"/>
      <c r="CE781" s="73"/>
      <c r="CF781" s="75"/>
      <c r="CG781" s="75"/>
      <c r="CH781" s="75"/>
      <c r="CI781" s="73"/>
      <c r="CJ781" s="75"/>
      <c r="CK781" s="75"/>
      <c r="CL781" s="75"/>
      <c r="CM781" s="73"/>
      <c r="CN781" s="75"/>
      <c r="CO781" s="75"/>
      <c r="CP781" s="75"/>
      <c r="CQ781" s="73"/>
      <c r="CR781" s="75"/>
      <c r="CS781" s="75"/>
      <c r="CT781" s="75"/>
      <c r="CU781" s="73"/>
      <c r="CV781" s="75"/>
      <c r="CW781" s="75"/>
      <c r="CX781" s="75"/>
      <c r="CY781" s="73"/>
      <c r="CZ781" s="75"/>
      <c r="DA781" s="75"/>
      <c r="DB781" s="75"/>
      <c r="DC781" s="73"/>
      <c r="DD781" s="75"/>
      <c r="DE781" s="75"/>
      <c r="DF781" s="75"/>
      <c r="DG781" s="73"/>
      <c r="DH781" s="75"/>
      <c r="DI781" s="75"/>
      <c r="DJ781" s="75"/>
      <c r="DK781" s="76"/>
    </row>
    <row r="782" spans="63:115" x14ac:dyDescent="0.25">
      <c r="BK782" s="75"/>
      <c r="BL782" s="75"/>
      <c r="BM782" s="75"/>
      <c r="BN782" s="73"/>
      <c r="BO782" s="75"/>
      <c r="BP782" s="75"/>
      <c r="BQ782" s="75"/>
      <c r="BR782" s="75"/>
      <c r="BS782" s="75"/>
      <c r="BT782" s="75"/>
      <c r="BU782" s="75"/>
      <c r="BV782" s="75"/>
      <c r="BW782" s="75"/>
      <c r="BX782" s="75"/>
      <c r="BY782" s="75"/>
      <c r="BZ782" s="75"/>
      <c r="CA782" s="73"/>
      <c r="CB782" s="75"/>
      <c r="CC782" s="75"/>
      <c r="CD782" s="75"/>
      <c r="CE782" s="73"/>
      <c r="CF782" s="75"/>
      <c r="CG782" s="75"/>
      <c r="CH782" s="75"/>
      <c r="CI782" s="73"/>
      <c r="CJ782" s="75"/>
      <c r="CK782" s="75"/>
      <c r="CL782" s="75"/>
      <c r="CM782" s="73"/>
      <c r="CN782" s="75"/>
      <c r="CO782" s="75"/>
      <c r="CP782" s="75"/>
      <c r="CQ782" s="73"/>
      <c r="CR782" s="75"/>
      <c r="CS782" s="75"/>
      <c r="CT782" s="75"/>
      <c r="CU782" s="73"/>
      <c r="CV782" s="75"/>
      <c r="CW782" s="75"/>
      <c r="CX782" s="75"/>
      <c r="CY782" s="73"/>
      <c r="CZ782" s="75"/>
      <c r="DA782" s="75"/>
      <c r="DB782" s="75"/>
      <c r="DC782" s="73"/>
      <c r="DD782" s="75"/>
      <c r="DE782" s="75"/>
      <c r="DF782" s="75"/>
      <c r="DG782" s="73"/>
      <c r="DH782" s="75"/>
      <c r="DI782" s="75"/>
      <c r="DJ782" s="75"/>
      <c r="DK782" s="76"/>
    </row>
    <row r="783" spans="63:115" x14ac:dyDescent="0.25">
      <c r="BK783" s="75"/>
      <c r="BL783" s="75"/>
      <c r="BM783" s="75"/>
      <c r="BN783" s="73"/>
      <c r="BO783" s="75"/>
      <c r="BP783" s="75"/>
      <c r="BQ783" s="75"/>
      <c r="BR783" s="75"/>
      <c r="BS783" s="75"/>
      <c r="BT783" s="75"/>
      <c r="BU783" s="75"/>
      <c r="BV783" s="75"/>
      <c r="BW783" s="75"/>
      <c r="BX783" s="75"/>
      <c r="BY783" s="75"/>
      <c r="BZ783" s="75"/>
      <c r="CA783" s="73"/>
      <c r="CB783" s="75"/>
      <c r="CC783" s="75"/>
      <c r="CD783" s="75"/>
      <c r="CE783" s="73"/>
      <c r="CF783" s="75"/>
      <c r="CG783" s="75"/>
      <c r="CH783" s="75"/>
      <c r="CI783" s="73"/>
      <c r="CJ783" s="75"/>
      <c r="CK783" s="75"/>
      <c r="CL783" s="75"/>
      <c r="CM783" s="73"/>
      <c r="CN783" s="75"/>
      <c r="CO783" s="75"/>
      <c r="CP783" s="75"/>
      <c r="CQ783" s="73"/>
      <c r="CR783" s="75"/>
      <c r="CS783" s="75"/>
      <c r="CT783" s="75"/>
      <c r="CU783" s="73"/>
      <c r="CV783" s="75"/>
      <c r="CW783" s="75"/>
      <c r="CX783" s="75"/>
      <c r="CY783" s="73"/>
      <c r="CZ783" s="75"/>
      <c r="DA783" s="75"/>
      <c r="DB783" s="75"/>
      <c r="DC783" s="73"/>
      <c r="DD783" s="75"/>
      <c r="DE783" s="75"/>
      <c r="DF783" s="75"/>
      <c r="DG783" s="73"/>
      <c r="DH783" s="75"/>
      <c r="DI783" s="75"/>
      <c r="DJ783" s="75"/>
      <c r="DK783" s="76"/>
    </row>
    <row r="784" spans="63:115" x14ac:dyDescent="0.25">
      <c r="BK784" s="75"/>
      <c r="BL784" s="75"/>
      <c r="BM784" s="75"/>
      <c r="BN784" s="73"/>
      <c r="BO784" s="75"/>
      <c r="BP784" s="75"/>
      <c r="BQ784" s="75"/>
      <c r="BR784" s="75"/>
      <c r="BS784" s="75"/>
      <c r="BT784" s="75"/>
      <c r="BU784" s="75"/>
      <c r="BV784" s="75"/>
      <c r="BW784" s="75"/>
      <c r="BX784" s="75"/>
      <c r="BY784" s="75"/>
      <c r="BZ784" s="75"/>
      <c r="CA784" s="73"/>
      <c r="CB784" s="75"/>
      <c r="CC784" s="75"/>
      <c r="CD784" s="75"/>
      <c r="CE784" s="73"/>
      <c r="CF784" s="75"/>
      <c r="CG784" s="75"/>
      <c r="CH784" s="75"/>
      <c r="CI784" s="73"/>
      <c r="CJ784" s="75"/>
      <c r="CK784" s="75"/>
      <c r="CL784" s="75"/>
      <c r="CM784" s="73"/>
      <c r="CN784" s="75"/>
      <c r="CO784" s="75"/>
      <c r="CP784" s="75"/>
      <c r="CQ784" s="73"/>
      <c r="CR784" s="75"/>
      <c r="CS784" s="75"/>
      <c r="CT784" s="75"/>
      <c r="CU784" s="73"/>
      <c r="CV784" s="75"/>
      <c r="CW784" s="75"/>
      <c r="CX784" s="75"/>
      <c r="CY784" s="73"/>
      <c r="CZ784" s="75"/>
      <c r="DA784" s="75"/>
      <c r="DB784" s="75"/>
      <c r="DC784" s="73"/>
      <c r="DD784" s="75"/>
      <c r="DE784" s="75"/>
      <c r="DF784" s="75"/>
      <c r="DG784" s="73"/>
      <c r="DH784" s="75"/>
      <c r="DI784" s="75"/>
      <c r="DJ784" s="75"/>
      <c r="DK784" s="76"/>
    </row>
    <row r="785" spans="63:115" x14ac:dyDescent="0.25">
      <c r="BK785" s="75"/>
      <c r="BL785" s="75"/>
      <c r="BM785" s="75"/>
      <c r="BN785" s="73"/>
      <c r="BO785" s="75"/>
      <c r="BP785" s="75"/>
      <c r="BQ785" s="75"/>
      <c r="BR785" s="75"/>
      <c r="BS785" s="75"/>
      <c r="BT785" s="75"/>
      <c r="BU785" s="75"/>
      <c r="BV785" s="75"/>
      <c r="BW785" s="75"/>
      <c r="BX785" s="75"/>
      <c r="BY785" s="75"/>
      <c r="BZ785" s="75"/>
      <c r="CA785" s="73"/>
      <c r="CB785" s="75"/>
      <c r="CC785" s="75"/>
      <c r="CD785" s="75"/>
      <c r="CE785" s="73"/>
      <c r="CF785" s="75"/>
      <c r="CG785" s="75"/>
      <c r="CH785" s="75"/>
      <c r="CI785" s="73"/>
      <c r="CJ785" s="75"/>
      <c r="CK785" s="75"/>
      <c r="CL785" s="75"/>
      <c r="CM785" s="73"/>
      <c r="CN785" s="75"/>
      <c r="CO785" s="75"/>
      <c r="CP785" s="75"/>
      <c r="CQ785" s="73"/>
      <c r="CR785" s="75"/>
      <c r="CS785" s="75"/>
      <c r="CT785" s="75"/>
      <c r="CU785" s="73"/>
      <c r="CV785" s="75"/>
      <c r="CW785" s="75"/>
      <c r="CX785" s="75"/>
      <c r="CY785" s="73"/>
      <c r="CZ785" s="75"/>
      <c r="DA785" s="75"/>
      <c r="DB785" s="75"/>
      <c r="DC785" s="73"/>
      <c r="DD785" s="75"/>
      <c r="DE785" s="75"/>
      <c r="DF785" s="75"/>
      <c r="DG785" s="73"/>
      <c r="DH785" s="75"/>
      <c r="DI785" s="75"/>
      <c r="DJ785" s="75"/>
      <c r="DK785" s="76"/>
    </row>
    <row r="786" spans="63:115" x14ac:dyDescent="0.25">
      <c r="BK786" s="75"/>
      <c r="BL786" s="75"/>
      <c r="BM786" s="75"/>
      <c r="BN786" s="73"/>
      <c r="BO786" s="75"/>
      <c r="BP786" s="75"/>
      <c r="BQ786" s="75"/>
      <c r="BR786" s="75"/>
      <c r="BS786" s="75"/>
      <c r="BT786" s="75"/>
      <c r="BU786" s="75"/>
      <c r="BV786" s="75"/>
      <c r="BW786" s="75"/>
      <c r="BX786" s="75"/>
      <c r="BY786" s="75"/>
      <c r="BZ786" s="75"/>
      <c r="CA786" s="73"/>
      <c r="CB786" s="75"/>
      <c r="CC786" s="75"/>
      <c r="CD786" s="75"/>
      <c r="CE786" s="73"/>
      <c r="CF786" s="75"/>
      <c r="CG786" s="75"/>
      <c r="CH786" s="75"/>
      <c r="CI786" s="73"/>
      <c r="CJ786" s="75"/>
      <c r="CK786" s="75"/>
      <c r="CL786" s="75"/>
      <c r="CM786" s="73"/>
      <c r="CN786" s="75"/>
      <c r="CO786" s="75"/>
      <c r="CP786" s="75"/>
      <c r="CQ786" s="73"/>
      <c r="CR786" s="75"/>
      <c r="CS786" s="75"/>
      <c r="CT786" s="75"/>
      <c r="CU786" s="73"/>
      <c r="CV786" s="75"/>
      <c r="CW786" s="75"/>
      <c r="CX786" s="75"/>
      <c r="CY786" s="73"/>
      <c r="CZ786" s="75"/>
      <c r="DA786" s="75"/>
      <c r="DB786" s="75"/>
      <c r="DC786" s="73"/>
      <c r="DD786" s="75"/>
      <c r="DE786" s="75"/>
      <c r="DF786" s="75"/>
      <c r="DG786" s="73"/>
      <c r="DH786" s="75"/>
      <c r="DI786" s="75"/>
      <c r="DJ786" s="75"/>
      <c r="DK786" s="76"/>
    </row>
    <row r="787" spans="63:115" x14ac:dyDescent="0.25">
      <c r="BK787" s="75"/>
      <c r="BL787" s="75"/>
      <c r="BM787" s="75"/>
      <c r="BN787" s="73"/>
      <c r="BO787" s="75"/>
      <c r="BP787" s="75"/>
      <c r="BQ787" s="75"/>
      <c r="BR787" s="75"/>
      <c r="BS787" s="75"/>
      <c r="BT787" s="75"/>
      <c r="BU787" s="75"/>
      <c r="BV787" s="75"/>
      <c r="BW787" s="75"/>
      <c r="BX787" s="75"/>
      <c r="BY787" s="75"/>
      <c r="BZ787" s="75"/>
      <c r="CA787" s="73"/>
      <c r="CB787" s="75"/>
      <c r="CC787" s="75"/>
      <c r="CD787" s="75"/>
      <c r="CE787" s="73"/>
      <c r="CF787" s="75"/>
      <c r="CG787" s="75"/>
      <c r="CH787" s="75"/>
      <c r="CI787" s="73"/>
      <c r="CJ787" s="75"/>
      <c r="CK787" s="75"/>
      <c r="CL787" s="75"/>
      <c r="CM787" s="73"/>
      <c r="CN787" s="75"/>
      <c r="CO787" s="75"/>
      <c r="CP787" s="75"/>
      <c r="CQ787" s="73"/>
      <c r="CR787" s="75"/>
      <c r="CS787" s="75"/>
      <c r="CT787" s="75"/>
      <c r="CU787" s="73"/>
      <c r="CV787" s="75"/>
      <c r="CW787" s="75"/>
      <c r="CX787" s="75"/>
      <c r="CY787" s="73"/>
      <c r="CZ787" s="75"/>
      <c r="DA787" s="75"/>
      <c r="DB787" s="75"/>
      <c r="DC787" s="73"/>
      <c r="DD787" s="75"/>
      <c r="DE787" s="75"/>
      <c r="DF787" s="75"/>
      <c r="DG787" s="73"/>
      <c r="DH787" s="75"/>
      <c r="DI787" s="75"/>
      <c r="DJ787" s="75"/>
      <c r="DK787" s="76"/>
    </row>
    <row r="788" spans="63:115" x14ac:dyDescent="0.25">
      <c r="BK788" s="75"/>
      <c r="BL788" s="75"/>
      <c r="BM788" s="75"/>
      <c r="BN788" s="73"/>
      <c r="BO788" s="75"/>
      <c r="BP788" s="75"/>
      <c r="BQ788" s="75"/>
      <c r="BR788" s="75"/>
      <c r="BS788" s="75"/>
      <c r="BT788" s="75"/>
      <c r="BU788" s="75"/>
      <c r="BV788" s="75"/>
      <c r="BW788" s="75"/>
      <c r="BX788" s="75"/>
      <c r="BY788" s="75"/>
      <c r="BZ788" s="75"/>
      <c r="CA788" s="73"/>
      <c r="CB788" s="75"/>
      <c r="CC788" s="75"/>
      <c r="CD788" s="75"/>
      <c r="CE788" s="73"/>
      <c r="CF788" s="75"/>
      <c r="CG788" s="75"/>
      <c r="CH788" s="75"/>
      <c r="CI788" s="73"/>
      <c r="CJ788" s="75"/>
      <c r="CK788" s="75"/>
      <c r="CL788" s="75"/>
      <c r="CM788" s="73"/>
      <c r="CN788" s="75"/>
      <c r="CO788" s="75"/>
      <c r="CP788" s="75"/>
      <c r="CQ788" s="73"/>
      <c r="CR788" s="75"/>
      <c r="CS788" s="75"/>
      <c r="CT788" s="75"/>
      <c r="CU788" s="73"/>
      <c r="CV788" s="75"/>
      <c r="CW788" s="75"/>
      <c r="CX788" s="75"/>
      <c r="CY788" s="73"/>
      <c r="CZ788" s="75"/>
      <c r="DA788" s="75"/>
      <c r="DB788" s="75"/>
      <c r="DC788" s="73"/>
      <c r="DD788" s="75"/>
      <c r="DE788" s="75"/>
      <c r="DF788" s="75"/>
      <c r="DG788" s="73"/>
      <c r="DH788" s="75"/>
      <c r="DI788" s="75"/>
      <c r="DJ788" s="75"/>
      <c r="DK788" s="76"/>
    </row>
    <row r="789" spans="63:115" x14ac:dyDescent="0.25">
      <c r="BK789" s="75"/>
      <c r="BL789" s="75"/>
      <c r="BM789" s="75"/>
      <c r="BN789" s="73"/>
      <c r="BO789" s="75"/>
      <c r="BP789" s="75"/>
      <c r="BQ789" s="75"/>
      <c r="BR789" s="75"/>
      <c r="BS789" s="75"/>
      <c r="BT789" s="75"/>
      <c r="BU789" s="75"/>
      <c r="BV789" s="75"/>
      <c r="BW789" s="75"/>
      <c r="BX789" s="75"/>
      <c r="BY789" s="75"/>
      <c r="BZ789" s="75"/>
      <c r="CA789" s="73"/>
      <c r="CB789" s="75"/>
      <c r="CC789" s="75"/>
      <c r="CD789" s="75"/>
      <c r="CE789" s="73"/>
      <c r="CF789" s="75"/>
      <c r="CG789" s="75"/>
      <c r="CH789" s="75"/>
      <c r="CI789" s="73"/>
      <c r="CJ789" s="75"/>
      <c r="CK789" s="75"/>
      <c r="CL789" s="75"/>
      <c r="CM789" s="73"/>
      <c r="CN789" s="75"/>
      <c r="CO789" s="75"/>
      <c r="CP789" s="75"/>
      <c r="CQ789" s="73"/>
      <c r="CR789" s="75"/>
      <c r="CS789" s="75"/>
      <c r="CT789" s="75"/>
      <c r="CU789" s="73"/>
      <c r="CV789" s="75"/>
      <c r="CW789" s="75"/>
      <c r="CX789" s="75"/>
      <c r="CY789" s="73"/>
      <c r="CZ789" s="75"/>
      <c r="DA789" s="75"/>
      <c r="DB789" s="75"/>
      <c r="DC789" s="73"/>
      <c r="DD789" s="75"/>
      <c r="DE789" s="75"/>
      <c r="DF789" s="75"/>
      <c r="DG789" s="73"/>
      <c r="DH789" s="75"/>
      <c r="DI789" s="75"/>
      <c r="DJ789" s="75"/>
      <c r="DK789" s="76"/>
    </row>
    <row r="790" spans="63:115" x14ac:dyDescent="0.25">
      <c r="BK790" s="75"/>
      <c r="BL790" s="75"/>
      <c r="BM790" s="75"/>
      <c r="BN790" s="73"/>
      <c r="BO790" s="75"/>
      <c r="BP790" s="75"/>
      <c r="BQ790" s="75"/>
      <c r="BR790" s="75"/>
      <c r="BS790" s="75"/>
      <c r="BT790" s="75"/>
      <c r="BU790" s="75"/>
      <c r="BV790" s="75"/>
      <c r="BW790" s="75"/>
      <c r="BX790" s="75"/>
      <c r="BY790" s="75"/>
      <c r="BZ790" s="75"/>
      <c r="CA790" s="73"/>
      <c r="CB790" s="75"/>
      <c r="CC790" s="75"/>
      <c r="CD790" s="75"/>
      <c r="CE790" s="73"/>
      <c r="CF790" s="75"/>
      <c r="CG790" s="75"/>
      <c r="CH790" s="75"/>
      <c r="CI790" s="73"/>
      <c r="CJ790" s="75"/>
      <c r="CK790" s="75"/>
      <c r="CL790" s="75"/>
      <c r="CM790" s="73"/>
      <c r="CN790" s="75"/>
      <c r="CO790" s="75"/>
      <c r="CP790" s="75"/>
      <c r="CQ790" s="73"/>
      <c r="CR790" s="75"/>
      <c r="CS790" s="75"/>
      <c r="CT790" s="75"/>
      <c r="CU790" s="73"/>
      <c r="CV790" s="75"/>
      <c r="CW790" s="75"/>
      <c r="CX790" s="75"/>
      <c r="CY790" s="73"/>
      <c r="CZ790" s="75"/>
      <c r="DA790" s="75"/>
      <c r="DB790" s="75"/>
      <c r="DC790" s="73"/>
      <c r="DD790" s="75"/>
      <c r="DE790" s="75"/>
      <c r="DF790" s="75"/>
      <c r="DG790" s="73"/>
      <c r="DH790" s="75"/>
      <c r="DI790" s="75"/>
      <c r="DJ790" s="75"/>
      <c r="DK790" s="76"/>
    </row>
    <row r="791" spans="63:115" x14ac:dyDescent="0.25">
      <c r="BK791" s="75"/>
      <c r="BL791" s="75"/>
      <c r="BM791" s="75"/>
      <c r="BN791" s="73"/>
      <c r="BO791" s="75"/>
      <c r="BP791" s="75"/>
      <c r="BQ791" s="75"/>
      <c r="BR791" s="75"/>
      <c r="BS791" s="75"/>
      <c r="BT791" s="75"/>
      <c r="BU791" s="75"/>
      <c r="BV791" s="75"/>
      <c r="BW791" s="75"/>
      <c r="BX791" s="75"/>
      <c r="BY791" s="75"/>
      <c r="BZ791" s="75"/>
      <c r="CA791" s="73"/>
      <c r="CB791" s="75"/>
      <c r="CC791" s="75"/>
      <c r="CD791" s="75"/>
      <c r="CE791" s="73"/>
      <c r="CF791" s="75"/>
      <c r="CG791" s="75"/>
      <c r="CH791" s="75"/>
      <c r="CI791" s="73"/>
      <c r="CJ791" s="75"/>
      <c r="CK791" s="75"/>
      <c r="CL791" s="75"/>
      <c r="CM791" s="73"/>
      <c r="CN791" s="75"/>
      <c r="CO791" s="75"/>
      <c r="CP791" s="75"/>
      <c r="CQ791" s="73"/>
      <c r="CR791" s="75"/>
      <c r="CS791" s="75"/>
      <c r="CT791" s="75"/>
      <c r="CU791" s="73"/>
      <c r="CV791" s="75"/>
      <c r="CW791" s="75"/>
      <c r="CX791" s="75"/>
      <c r="CY791" s="73"/>
      <c r="CZ791" s="75"/>
      <c r="DA791" s="75"/>
      <c r="DB791" s="75"/>
      <c r="DC791" s="73"/>
      <c r="DD791" s="75"/>
      <c r="DE791" s="75"/>
      <c r="DF791" s="75"/>
      <c r="DG791" s="73"/>
      <c r="DH791" s="75"/>
      <c r="DI791" s="75"/>
      <c r="DJ791" s="75"/>
      <c r="DK791" s="76"/>
    </row>
    <row r="792" spans="63:115" x14ac:dyDescent="0.25">
      <c r="BK792" s="75"/>
      <c r="BL792" s="75"/>
      <c r="BM792" s="75"/>
      <c r="BN792" s="73"/>
      <c r="BO792" s="75"/>
      <c r="BP792" s="75"/>
      <c r="BQ792" s="75"/>
      <c r="BR792" s="75"/>
      <c r="BS792" s="75"/>
      <c r="BT792" s="75"/>
      <c r="BU792" s="75"/>
      <c r="BV792" s="75"/>
      <c r="BW792" s="75"/>
      <c r="BX792" s="75"/>
      <c r="BY792" s="75"/>
      <c r="BZ792" s="75"/>
      <c r="CA792" s="73"/>
      <c r="CB792" s="75"/>
      <c r="CC792" s="75"/>
      <c r="CD792" s="75"/>
      <c r="CE792" s="73"/>
      <c r="CF792" s="75"/>
      <c r="CG792" s="75"/>
      <c r="CH792" s="75"/>
      <c r="CI792" s="73"/>
      <c r="CJ792" s="75"/>
      <c r="CK792" s="75"/>
      <c r="CL792" s="75"/>
      <c r="CM792" s="73"/>
      <c r="CN792" s="75"/>
      <c r="CO792" s="75"/>
      <c r="CP792" s="75"/>
      <c r="CQ792" s="73"/>
      <c r="CR792" s="75"/>
      <c r="CS792" s="75"/>
      <c r="CT792" s="75"/>
      <c r="CU792" s="73"/>
      <c r="CV792" s="75"/>
      <c r="CW792" s="75"/>
      <c r="CX792" s="75"/>
      <c r="CY792" s="73"/>
      <c r="CZ792" s="75"/>
      <c r="DA792" s="75"/>
      <c r="DB792" s="75"/>
      <c r="DC792" s="73"/>
      <c r="DD792" s="75"/>
      <c r="DE792" s="75"/>
      <c r="DF792" s="75"/>
      <c r="DG792" s="73"/>
      <c r="DH792" s="75"/>
      <c r="DI792" s="75"/>
      <c r="DJ792" s="75"/>
      <c r="DK792" s="76"/>
    </row>
    <row r="793" spans="63:115" x14ac:dyDescent="0.25">
      <c r="BK793" s="75"/>
      <c r="BL793" s="75"/>
      <c r="BM793" s="75"/>
      <c r="BN793" s="73"/>
      <c r="BO793" s="75"/>
      <c r="BP793" s="75"/>
      <c r="BQ793" s="75"/>
      <c r="BR793" s="75"/>
      <c r="BS793" s="75"/>
      <c r="BT793" s="75"/>
      <c r="BU793" s="75"/>
      <c r="BV793" s="75"/>
      <c r="BW793" s="75"/>
      <c r="BX793" s="75"/>
      <c r="BY793" s="75"/>
      <c r="BZ793" s="75"/>
      <c r="CA793" s="73"/>
      <c r="CB793" s="75"/>
      <c r="CC793" s="75"/>
      <c r="CD793" s="75"/>
      <c r="CE793" s="73"/>
      <c r="CF793" s="75"/>
      <c r="CG793" s="75"/>
      <c r="CH793" s="75"/>
      <c r="CI793" s="73"/>
      <c r="CJ793" s="75"/>
      <c r="CK793" s="75"/>
      <c r="CL793" s="75"/>
      <c r="CM793" s="73"/>
      <c r="CN793" s="75"/>
      <c r="CO793" s="75"/>
      <c r="CP793" s="75"/>
      <c r="CQ793" s="73"/>
      <c r="CR793" s="75"/>
      <c r="CS793" s="75"/>
      <c r="CT793" s="75"/>
      <c r="CU793" s="73"/>
      <c r="CV793" s="75"/>
      <c r="CW793" s="75"/>
      <c r="CX793" s="75"/>
      <c r="CY793" s="73"/>
      <c r="CZ793" s="75"/>
      <c r="DA793" s="75"/>
      <c r="DB793" s="75"/>
      <c r="DC793" s="73"/>
      <c r="DD793" s="75"/>
      <c r="DE793" s="75"/>
      <c r="DF793" s="75"/>
      <c r="DG793" s="73"/>
      <c r="DH793" s="75"/>
      <c r="DI793" s="75"/>
      <c r="DJ793" s="75"/>
      <c r="DK793" s="76"/>
    </row>
    <row r="794" spans="63:115" x14ac:dyDescent="0.25">
      <c r="BK794" s="75"/>
      <c r="BL794" s="75"/>
      <c r="BM794" s="75"/>
      <c r="BN794" s="73"/>
      <c r="BO794" s="75"/>
      <c r="BP794" s="75"/>
      <c r="BQ794" s="75"/>
      <c r="BR794" s="75"/>
      <c r="BS794" s="75"/>
      <c r="BT794" s="75"/>
      <c r="BU794" s="75"/>
      <c r="BV794" s="75"/>
      <c r="BW794" s="75"/>
      <c r="BX794" s="75"/>
      <c r="BY794" s="75"/>
      <c r="BZ794" s="75"/>
      <c r="CA794" s="73"/>
      <c r="CB794" s="75"/>
      <c r="CC794" s="75"/>
      <c r="CD794" s="75"/>
      <c r="CE794" s="73"/>
      <c r="CF794" s="75"/>
      <c r="CG794" s="75"/>
      <c r="CH794" s="75"/>
      <c r="CI794" s="73"/>
      <c r="CJ794" s="75"/>
      <c r="CK794" s="75"/>
      <c r="CL794" s="75"/>
      <c r="CM794" s="73"/>
      <c r="CN794" s="75"/>
      <c r="CO794" s="75"/>
      <c r="CP794" s="75"/>
      <c r="CQ794" s="73"/>
      <c r="CR794" s="75"/>
      <c r="CS794" s="75"/>
      <c r="CT794" s="75"/>
      <c r="CU794" s="73"/>
      <c r="CV794" s="75"/>
      <c r="CW794" s="75"/>
      <c r="CX794" s="75"/>
      <c r="CY794" s="73"/>
      <c r="CZ794" s="75"/>
      <c r="DA794" s="75"/>
      <c r="DB794" s="75"/>
      <c r="DC794" s="73"/>
      <c r="DD794" s="75"/>
      <c r="DE794" s="75"/>
      <c r="DF794" s="75"/>
      <c r="DG794" s="73"/>
      <c r="DH794" s="75"/>
      <c r="DI794" s="75"/>
      <c r="DJ794" s="75"/>
      <c r="DK794" s="76"/>
    </row>
    <row r="795" spans="63:115" x14ac:dyDescent="0.25">
      <c r="BK795" s="75"/>
      <c r="BL795" s="75"/>
      <c r="BM795" s="75"/>
      <c r="BN795" s="73"/>
      <c r="BO795" s="75"/>
      <c r="BP795" s="75"/>
      <c r="BQ795" s="75"/>
      <c r="BR795" s="75"/>
      <c r="BS795" s="75"/>
      <c r="BT795" s="75"/>
      <c r="BU795" s="75"/>
      <c r="BV795" s="75"/>
      <c r="BW795" s="75"/>
      <c r="BX795" s="75"/>
      <c r="BY795" s="75"/>
      <c r="BZ795" s="75"/>
      <c r="CA795" s="73"/>
      <c r="CB795" s="75"/>
      <c r="CC795" s="75"/>
      <c r="CD795" s="75"/>
      <c r="CE795" s="73"/>
      <c r="CF795" s="75"/>
      <c r="CG795" s="75"/>
      <c r="CH795" s="75"/>
      <c r="CI795" s="73"/>
      <c r="CJ795" s="75"/>
      <c r="CK795" s="75"/>
      <c r="CL795" s="75"/>
      <c r="CM795" s="73"/>
      <c r="CN795" s="75"/>
      <c r="CO795" s="75"/>
      <c r="CP795" s="75"/>
      <c r="CQ795" s="73"/>
      <c r="CR795" s="75"/>
      <c r="CS795" s="75"/>
      <c r="CT795" s="75"/>
      <c r="CU795" s="73"/>
      <c r="CV795" s="75"/>
      <c r="CW795" s="75"/>
      <c r="CX795" s="75"/>
      <c r="CY795" s="73"/>
      <c r="CZ795" s="75"/>
      <c r="DA795" s="75"/>
      <c r="DB795" s="75"/>
      <c r="DC795" s="73"/>
      <c r="DD795" s="75"/>
      <c r="DE795" s="75"/>
      <c r="DF795" s="75"/>
      <c r="DG795" s="73"/>
      <c r="DH795" s="75"/>
      <c r="DI795" s="75"/>
      <c r="DJ795" s="75"/>
      <c r="DK795" s="76"/>
    </row>
    <row r="796" spans="63:115" x14ac:dyDescent="0.25">
      <c r="BK796" s="75"/>
      <c r="BL796" s="75"/>
      <c r="BM796" s="75"/>
      <c r="BN796" s="73"/>
      <c r="BO796" s="75"/>
      <c r="BP796" s="75"/>
      <c r="BQ796" s="75"/>
      <c r="BR796" s="75"/>
      <c r="BS796" s="75"/>
      <c r="BT796" s="75"/>
      <c r="BU796" s="75"/>
      <c r="BV796" s="75"/>
      <c r="BW796" s="75"/>
      <c r="BX796" s="75"/>
      <c r="BY796" s="75"/>
      <c r="BZ796" s="75"/>
      <c r="CA796" s="73"/>
      <c r="CB796" s="75"/>
      <c r="CC796" s="75"/>
      <c r="CD796" s="75"/>
      <c r="CE796" s="73"/>
      <c r="CF796" s="75"/>
      <c r="CG796" s="75"/>
      <c r="CH796" s="75"/>
      <c r="CI796" s="73"/>
      <c r="CJ796" s="75"/>
      <c r="CK796" s="75"/>
      <c r="CL796" s="75"/>
      <c r="CM796" s="73"/>
      <c r="CN796" s="75"/>
      <c r="CO796" s="75"/>
      <c r="CP796" s="75"/>
      <c r="CQ796" s="73"/>
      <c r="CR796" s="75"/>
      <c r="CS796" s="75"/>
      <c r="CT796" s="75"/>
      <c r="CU796" s="73"/>
      <c r="CV796" s="75"/>
      <c r="CW796" s="75"/>
      <c r="CX796" s="75"/>
      <c r="CY796" s="73"/>
      <c r="CZ796" s="75"/>
      <c r="DA796" s="75"/>
      <c r="DB796" s="75"/>
      <c r="DC796" s="73"/>
      <c r="DD796" s="75"/>
      <c r="DE796" s="75"/>
      <c r="DF796" s="75"/>
      <c r="DG796" s="73"/>
      <c r="DH796" s="75"/>
      <c r="DI796" s="75"/>
      <c r="DJ796" s="75"/>
      <c r="DK796" s="76"/>
    </row>
    <row r="797" spans="63:115" x14ac:dyDescent="0.25">
      <c r="BK797" s="75"/>
      <c r="BL797" s="75"/>
      <c r="BM797" s="75"/>
      <c r="BN797" s="73"/>
      <c r="BO797" s="75"/>
      <c r="BP797" s="75"/>
      <c r="BQ797" s="75"/>
      <c r="BR797" s="75"/>
      <c r="BS797" s="75"/>
      <c r="BT797" s="75"/>
      <c r="BU797" s="75"/>
      <c r="BV797" s="75"/>
      <c r="BW797" s="75"/>
      <c r="BX797" s="75"/>
      <c r="BY797" s="75"/>
      <c r="BZ797" s="75"/>
      <c r="CA797" s="73"/>
      <c r="CB797" s="75"/>
      <c r="CC797" s="75"/>
      <c r="CD797" s="75"/>
      <c r="CE797" s="73"/>
      <c r="CF797" s="75"/>
      <c r="CG797" s="75"/>
      <c r="CH797" s="75"/>
      <c r="CI797" s="73"/>
      <c r="CJ797" s="75"/>
      <c r="CK797" s="75"/>
      <c r="CL797" s="75"/>
      <c r="CM797" s="73"/>
      <c r="CN797" s="75"/>
      <c r="CO797" s="75"/>
      <c r="CP797" s="75"/>
      <c r="CQ797" s="73"/>
      <c r="CR797" s="75"/>
      <c r="CS797" s="75"/>
      <c r="CT797" s="75"/>
      <c r="CU797" s="73"/>
      <c r="CV797" s="75"/>
      <c r="CW797" s="75"/>
      <c r="CX797" s="75"/>
      <c r="CY797" s="73"/>
      <c r="CZ797" s="75"/>
      <c r="DA797" s="75"/>
      <c r="DB797" s="75"/>
      <c r="DC797" s="73"/>
      <c r="DD797" s="75"/>
      <c r="DE797" s="75"/>
      <c r="DF797" s="75"/>
      <c r="DG797" s="73"/>
      <c r="DH797" s="75"/>
      <c r="DI797" s="75"/>
      <c r="DJ797" s="75"/>
      <c r="DK797" s="76"/>
    </row>
    <row r="798" spans="63:115" x14ac:dyDescent="0.25">
      <c r="BK798" s="75"/>
      <c r="BL798" s="75"/>
      <c r="BM798" s="75"/>
      <c r="BN798" s="73"/>
      <c r="BO798" s="75"/>
      <c r="BP798" s="75"/>
      <c r="BQ798" s="75"/>
      <c r="BR798" s="75"/>
      <c r="BS798" s="75"/>
      <c r="BT798" s="75"/>
      <c r="BU798" s="75"/>
      <c r="BV798" s="75"/>
      <c r="BW798" s="75"/>
      <c r="BX798" s="75"/>
      <c r="BY798" s="75"/>
      <c r="BZ798" s="75"/>
      <c r="CA798" s="73"/>
      <c r="CB798" s="75"/>
      <c r="CC798" s="75"/>
      <c r="CD798" s="75"/>
      <c r="CE798" s="73"/>
      <c r="CF798" s="75"/>
      <c r="CG798" s="75"/>
      <c r="CH798" s="75"/>
      <c r="CI798" s="73"/>
      <c r="CJ798" s="75"/>
      <c r="CK798" s="75"/>
      <c r="CL798" s="75"/>
      <c r="CM798" s="73"/>
      <c r="CN798" s="75"/>
      <c r="CO798" s="75"/>
      <c r="CP798" s="75"/>
      <c r="CQ798" s="73"/>
      <c r="CR798" s="75"/>
      <c r="CS798" s="75"/>
      <c r="CT798" s="75"/>
      <c r="CU798" s="73"/>
      <c r="CV798" s="75"/>
      <c r="CW798" s="75"/>
      <c r="CX798" s="75"/>
      <c r="CY798" s="73"/>
      <c r="CZ798" s="75"/>
      <c r="DA798" s="75"/>
      <c r="DB798" s="75"/>
      <c r="DC798" s="73"/>
      <c r="DD798" s="75"/>
      <c r="DE798" s="75"/>
      <c r="DF798" s="75"/>
      <c r="DG798" s="73"/>
      <c r="DH798" s="75"/>
      <c r="DI798" s="75"/>
      <c r="DJ798" s="75"/>
      <c r="DK798" s="76"/>
    </row>
    <row r="799" spans="63:115" x14ac:dyDescent="0.25">
      <c r="BK799" s="75"/>
      <c r="BL799" s="75"/>
      <c r="BM799" s="75"/>
      <c r="BN799" s="73"/>
      <c r="BO799" s="75"/>
      <c r="BP799" s="75"/>
      <c r="BQ799" s="75"/>
      <c r="BR799" s="75"/>
      <c r="BS799" s="75"/>
      <c r="BT799" s="75"/>
      <c r="BU799" s="75"/>
      <c r="BV799" s="75"/>
      <c r="BW799" s="75"/>
      <c r="BX799" s="75"/>
      <c r="BY799" s="75"/>
      <c r="BZ799" s="75"/>
      <c r="CA799" s="73"/>
      <c r="CB799" s="75"/>
      <c r="CC799" s="75"/>
      <c r="CD799" s="75"/>
      <c r="CE799" s="73"/>
      <c r="CF799" s="75"/>
      <c r="CG799" s="75"/>
      <c r="CH799" s="75"/>
      <c r="CI799" s="73"/>
      <c r="CJ799" s="75"/>
      <c r="CK799" s="75"/>
      <c r="CL799" s="75"/>
      <c r="CM799" s="73"/>
      <c r="CN799" s="75"/>
      <c r="CO799" s="75"/>
      <c r="CP799" s="75"/>
      <c r="CQ799" s="73"/>
      <c r="CR799" s="75"/>
      <c r="CS799" s="75"/>
      <c r="CT799" s="75"/>
      <c r="CU799" s="73"/>
      <c r="CV799" s="75"/>
      <c r="CW799" s="75"/>
      <c r="CX799" s="75"/>
      <c r="CY799" s="73"/>
      <c r="CZ799" s="75"/>
      <c r="DA799" s="75"/>
      <c r="DB799" s="75"/>
      <c r="DC799" s="73"/>
      <c r="DD799" s="75"/>
      <c r="DE799" s="75"/>
      <c r="DF799" s="75"/>
      <c r="DG799" s="73"/>
      <c r="DH799" s="75"/>
      <c r="DI799" s="75"/>
      <c r="DJ799" s="75"/>
      <c r="DK799" s="76"/>
    </row>
    <row r="800" spans="63:115" x14ac:dyDescent="0.25">
      <c r="BK800" s="75"/>
      <c r="BL800" s="75"/>
      <c r="BM800" s="75"/>
      <c r="BN800" s="73"/>
      <c r="BO800" s="75"/>
      <c r="BP800" s="75"/>
      <c r="BQ800" s="75"/>
      <c r="BR800" s="75"/>
      <c r="BS800" s="75"/>
      <c r="BT800" s="75"/>
      <c r="BU800" s="75"/>
      <c r="BV800" s="75"/>
      <c r="BW800" s="75"/>
      <c r="BX800" s="75"/>
      <c r="BY800" s="75"/>
      <c r="BZ800" s="75"/>
      <c r="CA800" s="73"/>
      <c r="CB800" s="75"/>
      <c r="CC800" s="75"/>
      <c r="CD800" s="75"/>
      <c r="CE800" s="73"/>
      <c r="CF800" s="75"/>
      <c r="CG800" s="75"/>
      <c r="CH800" s="75"/>
      <c r="CI800" s="73"/>
      <c r="CJ800" s="75"/>
      <c r="CK800" s="75"/>
      <c r="CL800" s="75"/>
      <c r="CM800" s="73"/>
      <c r="CN800" s="75"/>
      <c r="CO800" s="75"/>
      <c r="CP800" s="75"/>
      <c r="CQ800" s="73"/>
      <c r="CR800" s="75"/>
      <c r="CS800" s="75"/>
      <c r="CT800" s="75"/>
      <c r="CU800" s="73"/>
      <c r="CV800" s="75"/>
      <c r="CW800" s="75"/>
      <c r="CX800" s="75"/>
      <c r="CY800" s="73"/>
      <c r="CZ800" s="75"/>
      <c r="DA800" s="75"/>
      <c r="DB800" s="75"/>
      <c r="DC800" s="73"/>
      <c r="DD800" s="75"/>
      <c r="DE800" s="75"/>
      <c r="DF800" s="75"/>
      <c r="DG800" s="73"/>
      <c r="DH800" s="75"/>
      <c r="DI800" s="75"/>
      <c r="DJ800" s="75"/>
      <c r="DK800" s="76"/>
    </row>
    <row r="801" spans="63:115" x14ac:dyDescent="0.25">
      <c r="BK801" s="75"/>
      <c r="BL801" s="75"/>
      <c r="BM801" s="75"/>
      <c r="BN801" s="73"/>
      <c r="BO801" s="75"/>
      <c r="BP801" s="75"/>
      <c r="BQ801" s="75"/>
      <c r="BR801" s="75"/>
      <c r="BS801" s="75"/>
      <c r="BT801" s="75"/>
      <c r="BU801" s="75"/>
      <c r="BV801" s="75"/>
      <c r="BW801" s="75"/>
      <c r="BX801" s="75"/>
      <c r="BY801" s="75"/>
      <c r="BZ801" s="75"/>
      <c r="CA801" s="73"/>
      <c r="CB801" s="75"/>
      <c r="CC801" s="75"/>
      <c r="CD801" s="75"/>
      <c r="CE801" s="73"/>
      <c r="CF801" s="75"/>
      <c r="CG801" s="75"/>
      <c r="CH801" s="75"/>
      <c r="CI801" s="73"/>
      <c r="CJ801" s="75"/>
      <c r="CK801" s="75"/>
      <c r="CL801" s="75"/>
      <c r="CM801" s="73"/>
      <c r="CN801" s="75"/>
      <c r="CO801" s="75"/>
      <c r="CP801" s="75"/>
      <c r="CQ801" s="73"/>
      <c r="CR801" s="75"/>
      <c r="CS801" s="75"/>
      <c r="CT801" s="75"/>
      <c r="CU801" s="73"/>
      <c r="CV801" s="75"/>
      <c r="CW801" s="75"/>
      <c r="CX801" s="75"/>
      <c r="CY801" s="73"/>
      <c r="CZ801" s="75"/>
      <c r="DA801" s="75"/>
      <c r="DB801" s="75"/>
      <c r="DC801" s="73"/>
      <c r="DD801" s="75"/>
      <c r="DE801" s="75"/>
      <c r="DF801" s="75"/>
      <c r="DG801" s="73"/>
      <c r="DH801" s="75"/>
      <c r="DI801" s="75"/>
      <c r="DJ801" s="75"/>
      <c r="DK801" s="76"/>
    </row>
    <row r="802" spans="63:115" x14ac:dyDescent="0.25">
      <c r="BK802" s="75"/>
      <c r="BL802" s="75"/>
      <c r="BM802" s="75"/>
      <c r="BN802" s="73"/>
      <c r="BO802" s="75"/>
      <c r="BP802" s="75"/>
      <c r="BQ802" s="75"/>
      <c r="BR802" s="75"/>
      <c r="BS802" s="75"/>
      <c r="BT802" s="75"/>
      <c r="BU802" s="75"/>
      <c r="BV802" s="75"/>
      <c r="BW802" s="75"/>
      <c r="BX802" s="75"/>
      <c r="BY802" s="75"/>
      <c r="BZ802" s="75"/>
      <c r="CA802" s="73"/>
      <c r="CB802" s="75"/>
      <c r="CC802" s="75"/>
      <c r="CD802" s="75"/>
      <c r="CE802" s="73"/>
      <c r="CF802" s="75"/>
      <c r="CG802" s="75"/>
      <c r="CH802" s="75"/>
      <c r="CI802" s="73"/>
      <c r="CJ802" s="75"/>
      <c r="CK802" s="75"/>
      <c r="CL802" s="75"/>
      <c r="CM802" s="73"/>
      <c r="CN802" s="75"/>
      <c r="CO802" s="75"/>
      <c r="CP802" s="75"/>
      <c r="CQ802" s="73"/>
      <c r="CR802" s="75"/>
      <c r="CS802" s="75"/>
      <c r="CT802" s="75"/>
      <c r="CU802" s="73"/>
      <c r="CV802" s="75"/>
      <c r="CW802" s="75"/>
      <c r="CX802" s="75"/>
      <c r="CY802" s="73"/>
      <c r="CZ802" s="75"/>
      <c r="DA802" s="75"/>
      <c r="DB802" s="75"/>
      <c r="DC802" s="73"/>
      <c r="DD802" s="75"/>
      <c r="DE802" s="75"/>
      <c r="DF802" s="75"/>
      <c r="DG802" s="73"/>
      <c r="DH802" s="75"/>
      <c r="DI802" s="75"/>
      <c r="DJ802" s="75"/>
      <c r="DK802" s="76"/>
    </row>
    <row r="803" spans="63:115" x14ac:dyDescent="0.25">
      <c r="BK803" s="75"/>
      <c r="BL803" s="75"/>
      <c r="BM803" s="75"/>
      <c r="BN803" s="73"/>
      <c r="BO803" s="75"/>
      <c r="BP803" s="75"/>
      <c r="BQ803" s="75"/>
      <c r="BR803" s="75"/>
      <c r="BS803" s="75"/>
      <c r="BT803" s="75"/>
      <c r="BU803" s="75"/>
      <c r="BV803" s="75"/>
      <c r="BW803" s="75"/>
      <c r="BX803" s="75"/>
      <c r="BY803" s="75"/>
      <c r="BZ803" s="75"/>
      <c r="CA803" s="73"/>
      <c r="CB803" s="75"/>
      <c r="CC803" s="75"/>
      <c r="CD803" s="75"/>
      <c r="CE803" s="73"/>
      <c r="CF803" s="75"/>
      <c r="CG803" s="75"/>
      <c r="CH803" s="75"/>
      <c r="CI803" s="73"/>
      <c r="CJ803" s="75"/>
      <c r="CK803" s="75"/>
      <c r="CL803" s="75"/>
      <c r="CM803" s="73"/>
      <c r="CN803" s="75"/>
      <c r="CO803" s="75"/>
      <c r="CP803" s="75"/>
      <c r="CQ803" s="73"/>
      <c r="CR803" s="75"/>
      <c r="CS803" s="75"/>
      <c r="CT803" s="75"/>
      <c r="CU803" s="73"/>
      <c r="CV803" s="75"/>
      <c r="CW803" s="75"/>
      <c r="CX803" s="75"/>
      <c r="CY803" s="73"/>
      <c r="CZ803" s="75"/>
      <c r="DA803" s="75"/>
      <c r="DB803" s="75"/>
      <c r="DC803" s="73"/>
      <c r="DD803" s="75"/>
      <c r="DE803" s="75"/>
      <c r="DF803" s="75"/>
      <c r="DG803" s="73"/>
      <c r="DH803" s="75"/>
      <c r="DI803" s="75"/>
      <c r="DJ803" s="75"/>
      <c r="DK803" s="76"/>
    </row>
    <row r="804" spans="63:115" x14ac:dyDescent="0.25">
      <c r="BK804" s="75"/>
      <c r="BL804" s="75"/>
      <c r="BM804" s="75"/>
      <c r="BN804" s="73"/>
      <c r="BO804" s="75"/>
      <c r="BP804" s="75"/>
      <c r="BQ804" s="75"/>
      <c r="BR804" s="75"/>
      <c r="BS804" s="75"/>
      <c r="BT804" s="75"/>
      <c r="BU804" s="75"/>
      <c r="BV804" s="75"/>
      <c r="BW804" s="75"/>
      <c r="BX804" s="75"/>
      <c r="BY804" s="75"/>
      <c r="BZ804" s="75"/>
      <c r="CA804" s="73"/>
      <c r="CB804" s="75"/>
      <c r="CC804" s="75"/>
      <c r="CD804" s="75"/>
      <c r="CE804" s="73"/>
      <c r="CF804" s="75"/>
      <c r="CG804" s="75"/>
      <c r="CH804" s="75"/>
      <c r="CI804" s="73"/>
      <c r="CJ804" s="75"/>
      <c r="CK804" s="75"/>
      <c r="CL804" s="75"/>
      <c r="CM804" s="73"/>
      <c r="CN804" s="75"/>
      <c r="CO804" s="75"/>
      <c r="CP804" s="75"/>
      <c r="CQ804" s="73"/>
      <c r="CR804" s="75"/>
      <c r="CS804" s="75"/>
      <c r="CT804" s="75"/>
      <c r="CU804" s="73"/>
      <c r="CV804" s="75"/>
      <c r="CW804" s="75"/>
      <c r="CX804" s="75"/>
      <c r="CY804" s="73"/>
      <c r="CZ804" s="75"/>
      <c r="DA804" s="75"/>
      <c r="DB804" s="75"/>
      <c r="DC804" s="73"/>
      <c r="DD804" s="75"/>
      <c r="DE804" s="75"/>
      <c r="DF804" s="75"/>
      <c r="DG804" s="73"/>
      <c r="DH804" s="75"/>
      <c r="DI804" s="75"/>
      <c r="DJ804" s="75"/>
      <c r="DK804" s="76"/>
    </row>
    <row r="805" spans="63:115" x14ac:dyDescent="0.25">
      <c r="BK805" s="75"/>
      <c r="BL805" s="75"/>
      <c r="BM805" s="75"/>
      <c r="BN805" s="73"/>
      <c r="BO805" s="75"/>
      <c r="BP805" s="75"/>
      <c r="BQ805" s="75"/>
      <c r="BR805" s="75"/>
      <c r="BS805" s="75"/>
      <c r="BT805" s="75"/>
      <c r="BU805" s="75"/>
      <c r="BV805" s="75"/>
      <c r="BW805" s="75"/>
      <c r="BX805" s="75"/>
      <c r="BY805" s="75"/>
      <c r="BZ805" s="75"/>
      <c r="CA805" s="73"/>
      <c r="CB805" s="75"/>
      <c r="CC805" s="75"/>
      <c r="CD805" s="75"/>
      <c r="CE805" s="73"/>
      <c r="CF805" s="75"/>
      <c r="CG805" s="75"/>
      <c r="CH805" s="75"/>
      <c r="CI805" s="73"/>
      <c r="CJ805" s="75"/>
      <c r="CK805" s="75"/>
      <c r="CL805" s="75"/>
      <c r="CM805" s="73"/>
      <c r="CN805" s="75"/>
      <c r="CO805" s="75"/>
      <c r="CP805" s="75"/>
      <c r="CQ805" s="73"/>
      <c r="CR805" s="75"/>
      <c r="CS805" s="75"/>
      <c r="CT805" s="75"/>
      <c r="CU805" s="73"/>
      <c r="CV805" s="75"/>
      <c r="CW805" s="75"/>
      <c r="CX805" s="75"/>
      <c r="CY805" s="73"/>
      <c r="CZ805" s="75"/>
      <c r="DA805" s="75"/>
      <c r="DB805" s="75"/>
      <c r="DC805" s="73"/>
      <c r="DD805" s="75"/>
      <c r="DE805" s="75"/>
      <c r="DF805" s="75"/>
      <c r="DG805" s="73"/>
      <c r="DH805" s="75"/>
      <c r="DI805" s="75"/>
      <c r="DJ805" s="75"/>
      <c r="DK805" s="76"/>
    </row>
    <row r="806" spans="63:115" x14ac:dyDescent="0.25">
      <c r="BK806" s="75"/>
      <c r="BL806" s="75"/>
      <c r="BM806" s="75"/>
      <c r="BN806" s="73"/>
      <c r="BO806" s="75"/>
      <c r="BP806" s="75"/>
      <c r="BQ806" s="75"/>
      <c r="BR806" s="75"/>
      <c r="BS806" s="75"/>
      <c r="BT806" s="75"/>
      <c r="BU806" s="75"/>
      <c r="BV806" s="75"/>
      <c r="BW806" s="75"/>
      <c r="BX806" s="75"/>
      <c r="BY806" s="75"/>
      <c r="BZ806" s="75"/>
      <c r="CA806" s="73"/>
      <c r="CB806" s="75"/>
      <c r="CC806" s="75"/>
      <c r="CD806" s="75"/>
      <c r="CE806" s="73"/>
      <c r="CF806" s="75"/>
      <c r="CG806" s="75"/>
      <c r="CH806" s="75"/>
      <c r="CI806" s="73"/>
      <c r="CJ806" s="75"/>
      <c r="CK806" s="75"/>
      <c r="CL806" s="75"/>
      <c r="CM806" s="73"/>
      <c r="CN806" s="75"/>
      <c r="CO806" s="75"/>
      <c r="CP806" s="75"/>
      <c r="CQ806" s="73"/>
      <c r="CR806" s="75"/>
      <c r="CS806" s="75"/>
      <c r="CT806" s="75"/>
      <c r="CU806" s="73"/>
      <c r="CV806" s="75"/>
      <c r="CW806" s="75"/>
      <c r="CX806" s="75"/>
      <c r="CY806" s="73"/>
      <c r="CZ806" s="75"/>
      <c r="DA806" s="75"/>
      <c r="DB806" s="75"/>
      <c r="DC806" s="73"/>
      <c r="DD806" s="75"/>
      <c r="DE806" s="75"/>
      <c r="DF806" s="75"/>
      <c r="DG806" s="73"/>
      <c r="DH806" s="75"/>
      <c r="DI806" s="75"/>
      <c r="DJ806" s="75"/>
      <c r="DK806" s="76"/>
    </row>
    <row r="807" spans="63:115" x14ac:dyDescent="0.25">
      <c r="BK807" s="75"/>
      <c r="BL807" s="75"/>
      <c r="BM807" s="75"/>
      <c r="BN807" s="73"/>
      <c r="BO807" s="75"/>
      <c r="BP807" s="75"/>
      <c r="BQ807" s="75"/>
      <c r="BR807" s="75"/>
      <c r="BS807" s="75"/>
      <c r="BT807" s="75"/>
      <c r="BU807" s="75"/>
      <c r="BV807" s="75"/>
      <c r="BW807" s="75"/>
      <c r="BX807" s="75"/>
      <c r="BY807" s="75"/>
      <c r="BZ807" s="75"/>
      <c r="CA807" s="73"/>
      <c r="CB807" s="75"/>
      <c r="CC807" s="75"/>
      <c r="CD807" s="75"/>
      <c r="CE807" s="73"/>
      <c r="CF807" s="75"/>
      <c r="CG807" s="75"/>
      <c r="CH807" s="75"/>
      <c r="CI807" s="73"/>
      <c r="CJ807" s="75"/>
      <c r="CK807" s="75"/>
      <c r="CL807" s="75"/>
      <c r="CM807" s="73"/>
      <c r="CN807" s="75"/>
      <c r="CO807" s="75"/>
      <c r="CP807" s="75"/>
      <c r="CQ807" s="73"/>
      <c r="CR807" s="75"/>
      <c r="CS807" s="75"/>
      <c r="CT807" s="75"/>
      <c r="CU807" s="73"/>
      <c r="CV807" s="75"/>
      <c r="CW807" s="75"/>
      <c r="CX807" s="75"/>
      <c r="CY807" s="73"/>
      <c r="CZ807" s="75"/>
      <c r="DA807" s="75"/>
      <c r="DB807" s="75"/>
      <c r="DC807" s="73"/>
      <c r="DD807" s="75"/>
      <c r="DE807" s="75"/>
      <c r="DF807" s="75"/>
      <c r="DG807" s="73"/>
      <c r="DH807" s="75"/>
      <c r="DI807" s="75"/>
      <c r="DJ807" s="75"/>
      <c r="DK807" s="76"/>
    </row>
    <row r="808" spans="63:115" x14ac:dyDescent="0.25">
      <c r="BK808" s="75"/>
      <c r="BL808" s="75"/>
      <c r="BM808" s="75"/>
      <c r="BN808" s="73"/>
      <c r="BO808" s="75"/>
      <c r="BP808" s="75"/>
      <c r="BQ808" s="75"/>
      <c r="BR808" s="75"/>
      <c r="BS808" s="75"/>
      <c r="BT808" s="75"/>
      <c r="BU808" s="75"/>
      <c r="BV808" s="75"/>
      <c r="BW808" s="75"/>
      <c r="BX808" s="75"/>
      <c r="BY808" s="75"/>
      <c r="BZ808" s="75"/>
      <c r="CA808" s="73"/>
      <c r="CB808" s="75"/>
      <c r="CC808" s="75"/>
      <c r="CD808" s="75"/>
      <c r="CE808" s="73"/>
      <c r="CF808" s="75"/>
      <c r="CG808" s="75"/>
      <c r="CH808" s="75"/>
      <c r="CI808" s="73"/>
      <c r="CJ808" s="75"/>
      <c r="CK808" s="75"/>
      <c r="CL808" s="75"/>
      <c r="CM808" s="73"/>
      <c r="CN808" s="75"/>
      <c r="CO808" s="75"/>
      <c r="CP808" s="75"/>
      <c r="CQ808" s="73"/>
      <c r="CR808" s="75"/>
      <c r="CS808" s="75"/>
      <c r="CT808" s="75"/>
      <c r="CU808" s="73"/>
      <c r="CV808" s="75"/>
      <c r="CW808" s="75"/>
      <c r="CX808" s="75"/>
      <c r="CY808" s="73"/>
      <c r="CZ808" s="75"/>
      <c r="DA808" s="75"/>
      <c r="DB808" s="75"/>
      <c r="DC808" s="73"/>
      <c r="DD808" s="75"/>
      <c r="DE808" s="75"/>
      <c r="DF808" s="75"/>
      <c r="DG808" s="73"/>
      <c r="DH808" s="75"/>
      <c r="DI808" s="75"/>
      <c r="DJ808" s="75"/>
      <c r="DK808" s="76"/>
    </row>
    <row r="809" spans="63:115" x14ac:dyDescent="0.25">
      <c r="BK809" s="75"/>
      <c r="BL809" s="75"/>
      <c r="BM809" s="75"/>
      <c r="BN809" s="73"/>
      <c r="BO809" s="75"/>
      <c r="BP809" s="75"/>
      <c r="BQ809" s="75"/>
      <c r="BR809" s="75"/>
      <c r="BS809" s="75"/>
      <c r="BT809" s="75"/>
      <c r="BU809" s="75"/>
      <c r="BV809" s="75"/>
      <c r="BW809" s="75"/>
      <c r="BX809" s="75"/>
      <c r="BY809" s="75"/>
      <c r="BZ809" s="75"/>
      <c r="CA809" s="73"/>
      <c r="CB809" s="75"/>
      <c r="CC809" s="75"/>
      <c r="CD809" s="75"/>
      <c r="CE809" s="73"/>
      <c r="CF809" s="75"/>
      <c r="CG809" s="75"/>
      <c r="CH809" s="75"/>
      <c r="CI809" s="73"/>
      <c r="CJ809" s="75"/>
      <c r="CK809" s="75"/>
      <c r="CL809" s="75"/>
      <c r="CM809" s="73"/>
      <c r="CN809" s="75"/>
      <c r="CO809" s="75"/>
      <c r="CP809" s="75"/>
      <c r="CQ809" s="73"/>
      <c r="CR809" s="75"/>
      <c r="CS809" s="75"/>
      <c r="CT809" s="75"/>
      <c r="CU809" s="73"/>
      <c r="CV809" s="75"/>
      <c r="CW809" s="75"/>
      <c r="CX809" s="75"/>
      <c r="CY809" s="73"/>
      <c r="CZ809" s="75"/>
      <c r="DA809" s="75"/>
      <c r="DB809" s="75"/>
      <c r="DC809" s="73"/>
      <c r="DD809" s="75"/>
      <c r="DE809" s="75"/>
      <c r="DF809" s="75"/>
      <c r="DG809" s="73"/>
      <c r="DH809" s="75"/>
      <c r="DI809" s="75"/>
      <c r="DJ809" s="75"/>
      <c r="DK809" s="76"/>
    </row>
    <row r="810" spans="63:115" x14ac:dyDescent="0.25">
      <c r="BK810" s="75"/>
      <c r="BL810" s="75"/>
      <c r="BM810" s="75"/>
      <c r="BN810" s="73"/>
      <c r="BO810" s="75"/>
      <c r="BP810" s="75"/>
      <c r="BQ810" s="75"/>
      <c r="BR810" s="75"/>
      <c r="BS810" s="75"/>
      <c r="BT810" s="75"/>
      <c r="BU810" s="75"/>
      <c r="BV810" s="75"/>
      <c r="BW810" s="75"/>
      <c r="BX810" s="75"/>
      <c r="BY810" s="75"/>
      <c r="BZ810" s="75"/>
      <c r="CA810" s="73"/>
      <c r="CB810" s="75"/>
      <c r="CC810" s="75"/>
      <c r="CD810" s="75"/>
      <c r="CE810" s="73"/>
      <c r="CF810" s="75"/>
      <c r="CG810" s="75"/>
      <c r="CH810" s="75"/>
      <c r="CI810" s="73"/>
      <c r="CJ810" s="75"/>
      <c r="CK810" s="75"/>
      <c r="CL810" s="75"/>
      <c r="CM810" s="73"/>
      <c r="CN810" s="75"/>
      <c r="CO810" s="75"/>
      <c r="CP810" s="75"/>
      <c r="CQ810" s="73"/>
      <c r="CR810" s="75"/>
      <c r="CS810" s="75"/>
      <c r="CT810" s="75"/>
      <c r="CU810" s="73"/>
      <c r="CV810" s="75"/>
      <c r="CW810" s="75"/>
      <c r="CX810" s="75"/>
      <c r="CY810" s="73"/>
      <c r="CZ810" s="75"/>
      <c r="DA810" s="75"/>
      <c r="DB810" s="75"/>
      <c r="DC810" s="73"/>
      <c r="DD810" s="75"/>
      <c r="DE810" s="75"/>
      <c r="DF810" s="75"/>
      <c r="DG810" s="73"/>
      <c r="DH810" s="75"/>
      <c r="DI810" s="75"/>
      <c r="DJ810" s="75"/>
      <c r="DK810" s="76"/>
    </row>
    <row r="811" spans="63:115" x14ac:dyDescent="0.25">
      <c r="BK811" s="75"/>
      <c r="BL811" s="75"/>
      <c r="BM811" s="75"/>
      <c r="BN811" s="73"/>
      <c r="BO811" s="75"/>
      <c r="BP811" s="75"/>
      <c r="BQ811" s="75"/>
      <c r="BR811" s="75"/>
      <c r="BS811" s="75"/>
      <c r="BT811" s="75"/>
      <c r="BU811" s="75"/>
      <c r="BV811" s="75"/>
      <c r="BW811" s="75"/>
      <c r="BX811" s="75"/>
      <c r="BY811" s="75"/>
      <c r="BZ811" s="75"/>
      <c r="CA811" s="73"/>
      <c r="CB811" s="75"/>
      <c r="CC811" s="75"/>
      <c r="CD811" s="75"/>
      <c r="CE811" s="73"/>
      <c r="CF811" s="75"/>
      <c r="CG811" s="75"/>
      <c r="CH811" s="75"/>
      <c r="CI811" s="73"/>
      <c r="CJ811" s="75"/>
      <c r="CK811" s="75"/>
      <c r="CL811" s="75"/>
      <c r="CM811" s="73"/>
      <c r="CN811" s="75"/>
      <c r="CO811" s="75"/>
      <c r="CP811" s="75"/>
      <c r="CQ811" s="73"/>
      <c r="CR811" s="75"/>
      <c r="CS811" s="75"/>
      <c r="CT811" s="75"/>
      <c r="CU811" s="73"/>
      <c r="CV811" s="75"/>
      <c r="CW811" s="75"/>
      <c r="CX811" s="75"/>
      <c r="CY811" s="73"/>
      <c r="CZ811" s="75"/>
      <c r="DA811" s="75"/>
      <c r="DB811" s="75"/>
      <c r="DC811" s="73"/>
      <c r="DD811" s="75"/>
      <c r="DE811" s="75"/>
      <c r="DF811" s="75"/>
      <c r="DG811" s="73"/>
      <c r="DH811" s="75"/>
      <c r="DI811" s="75"/>
      <c r="DJ811" s="75"/>
      <c r="DK811" s="76"/>
    </row>
    <row r="812" spans="63:115" x14ac:dyDescent="0.25">
      <c r="BK812" s="75"/>
      <c r="BL812" s="75"/>
      <c r="BM812" s="75"/>
      <c r="BN812" s="73"/>
      <c r="BO812" s="75"/>
      <c r="BP812" s="75"/>
      <c r="BQ812" s="75"/>
      <c r="BR812" s="75"/>
      <c r="BS812" s="75"/>
      <c r="BT812" s="75"/>
      <c r="BU812" s="75"/>
      <c r="BV812" s="75"/>
      <c r="BW812" s="75"/>
      <c r="BX812" s="75"/>
      <c r="BY812" s="75"/>
      <c r="BZ812" s="75"/>
      <c r="CA812" s="73"/>
      <c r="CB812" s="75"/>
      <c r="CC812" s="75"/>
      <c r="CD812" s="75"/>
      <c r="CE812" s="73"/>
      <c r="CF812" s="75"/>
      <c r="CG812" s="75"/>
      <c r="CH812" s="75"/>
      <c r="CI812" s="73"/>
      <c r="CJ812" s="75"/>
      <c r="CK812" s="75"/>
      <c r="CL812" s="75"/>
      <c r="CM812" s="73"/>
      <c r="CN812" s="75"/>
      <c r="CO812" s="75"/>
      <c r="CP812" s="75"/>
      <c r="CQ812" s="73"/>
      <c r="CR812" s="75"/>
      <c r="CS812" s="75"/>
      <c r="CT812" s="75"/>
      <c r="CU812" s="73"/>
      <c r="CV812" s="75"/>
      <c r="CW812" s="75"/>
      <c r="CX812" s="75"/>
      <c r="CY812" s="73"/>
      <c r="CZ812" s="75"/>
      <c r="DA812" s="75"/>
      <c r="DB812" s="75"/>
      <c r="DC812" s="73"/>
      <c r="DD812" s="75"/>
      <c r="DE812" s="75"/>
      <c r="DF812" s="75"/>
      <c r="DG812" s="73"/>
      <c r="DH812" s="75"/>
      <c r="DI812" s="75"/>
      <c r="DJ812" s="75"/>
      <c r="DK812" s="76"/>
    </row>
    <row r="813" spans="63:115" x14ac:dyDescent="0.25">
      <c r="BK813" s="75"/>
      <c r="BL813" s="75"/>
      <c r="BM813" s="75"/>
      <c r="BN813" s="73"/>
      <c r="BO813" s="75"/>
      <c r="BP813" s="75"/>
      <c r="BQ813" s="75"/>
      <c r="BR813" s="75"/>
      <c r="BS813" s="75"/>
      <c r="BT813" s="75"/>
      <c r="BU813" s="75"/>
      <c r="BV813" s="75"/>
      <c r="BW813" s="75"/>
      <c r="BX813" s="75"/>
      <c r="BY813" s="75"/>
      <c r="BZ813" s="75"/>
      <c r="CA813" s="73"/>
      <c r="CB813" s="75"/>
      <c r="CC813" s="75"/>
      <c r="CD813" s="75"/>
      <c r="CE813" s="73"/>
      <c r="CF813" s="75"/>
      <c r="CG813" s="75"/>
      <c r="CH813" s="75"/>
      <c r="CI813" s="73"/>
      <c r="CJ813" s="75"/>
      <c r="CK813" s="75"/>
      <c r="CL813" s="75"/>
      <c r="CM813" s="73"/>
      <c r="CN813" s="75"/>
      <c r="CO813" s="75"/>
      <c r="CP813" s="75"/>
      <c r="CQ813" s="73"/>
      <c r="CR813" s="75"/>
      <c r="CS813" s="75"/>
      <c r="CT813" s="75"/>
      <c r="CU813" s="73"/>
      <c r="CV813" s="75"/>
      <c r="CW813" s="75"/>
      <c r="CX813" s="75"/>
      <c r="CY813" s="73"/>
      <c r="CZ813" s="75"/>
      <c r="DA813" s="75"/>
      <c r="DB813" s="75"/>
      <c r="DC813" s="73"/>
      <c r="DD813" s="75"/>
      <c r="DE813" s="75"/>
      <c r="DF813" s="75"/>
      <c r="DG813" s="73"/>
      <c r="DH813" s="75"/>
      <c r="DI813" s="75"/>
      <c r="DJ813" s="75"/>
      <c r="DK813" s="76"/>
    </row>
    <row r="814" spans="63:115" x14ac:dyDescent="0.25">
      <c r="BK814" s="75"/>
      <c r="BL814" s="75"/>
      <c r="BM814" s="75"/>
      <c r="BN814" s="73"/>
      <c r="BO814" s="75"/>
      <c r="BP814" s="75"/>
      <c r="BQ814" s="75"/>
      <c r="BR814" s="75"/>
      <c r="BS814" s="75"/>
      <c r="BT814" s="75"/>
      <c r="BU814" s="75"/>
      <c r="BV814" s="75"/>
      <c r="BW814" s="75"/>
      <c r="BX814" s="75"/>
      <c r="BY814" s="75"/>
      <c r="BZ814" s="75"/>
      <c r="CA814" s="73"/>
      <c r="CB814" s="75"/>
      <c r="CC814" s="75"/>
      <c r="CD814" s="75"/>
      <c r="CE814" s="73"/>
      <c r="CF814" s="75"/>
      <c r="CG814" s="75"/>
      <c r="CH814" s="75"/>
      <c r="CI814" s="73"/>
      <c r="CJ814" s="75"/>
      <c r="CK814" s="75"/>
      <c r="CL814" s="75"/>
      <c r="CM814" s="73"/>
      <c r="CN814" s="75"/>
      <c r="CO814" s="75"/>
      <c r="CP814" s="75"/>
      <c r="CQ814" s="73"/>
      <c r="CR814" s="75"/>
      <c r="CS814" s="75"/>
      <c r="CT814" s="75"/>
      <c r="CU814" s="73"/>
      <c r="CV814" s="75"/>
      <c r="CW814" s="75"/>
      <c r="CX814" s="75"/>
      <c r="CY814" s="73"/>
      <c r="CZ814" s="75"/>
      <c r="DA814" s="75"/>
      <c r="DB814" s="75"/>
      <c r="DC814" s="73"/>
      <c r="DD814" s="75"/>
      <c r="DE814" s="75"/>
      <c r="DF814" s="75"/>
      <c r="DG814" s="73"/>
      <c r="DH814" s="75"/>
      <c r="DI814" s="75"/>
      <c r="DJ814" s="75"/>
      <c r="DK814" s="76"/>
    </row>
    <row r="815" spans="63:115" x14ac:dyDescent="0.25">
      <c r="BK815" s="75"/>
      <c r="BL815" s="75"/>
      <c r="BM815" s="75"/>
      <c r="BN815" s="73"/>
      <c r="BO815" s="75"/>
      <c r="BP815" s="75"/>
      <c r="BQ815" s="75"/>
      <c r="BR815" s="75"/>
      <c r="BS815" s="75"/>
      <c r="BT815" s="75"/>
      <c r="BU815" s="75"/>
      <c r="BV815" s="75"/>
      <c r="BW815" s="75"/>
      <c r="BX815" s="75"/>
      <c r="BY815" s="75"/>
      <c r="BZ815" s="75"/>
      <c r="CA815" s="73"/>
      <c r="CB815" s="75"/>
      <c r="CC815" s="75"/>
      <c r="CD815" s="75"/>
      <c r="CE815" s="73"/>
      <c r="CF815" s="75"/>
      <c r="CG815" s="75"/>
      <c r="CH815" s="75"/>
      <c r="CI815" s="73"/>
      <c r="CJ815" s="75"/>
      <c r="CK815" s="75"/>
      <c r="CL815" s="75"/>
      <c r="CM815" s="73"/>
      <c r="CN815" s="75"/>
      <c r="CO815" s="75"/>
      <c r="CP815" s="75"/>
      <c r="CQ815" s="73"/>
      <c r="CR815" s="75"/>
      <c r="CS815" s="75"/>
      <c r="CT815" s="75"/>
      <c r="CU815" s="73"/>
      <c r="CV815" s="75"/>
      <c r="CW815" s="75"/>
      <c r="CX815" s="75"/>
      <c r="CY815" s="73"/>
      <c r="CZ815" s="75"/>
      <c r="DA815" s="75"/>
      <c r="DB815" s="75"/>
      <c r="DC815" s="73"/>
      <c r="DD815" s="75"/>
      <c r="DE815" s="75"/>
      <c r="DF815" s="75"/>
      <c r="DG815" s="73"/>
      <c r="DH815" s="75"/>
      <c r="DI815" s="75"/>
      <c r="DJ815" s="75"/>
      <c r="DK815" s="76"/>
    </row>
    <row r="816" spans="63:115" x14ac:dyDescent="0.25">
      <c r="BK816" s="75"/>
      <c r="BL816" s="75"/>
      <c r="BM816" s="75"/>
      <c r="BN816" s="73"/>
      <c r="BO816" s="75"/>
      <c r="BP816" s="75"/>
      <c r="BQ816" s="75"/>
      <c r="BR816" s="75"/>
      <c r="BS816" s="75"/>
      <c r="BT816" s="75"/>
      <c r="BU816" s="75"/>
      <c r="BV816" s="75"/>
      <c r="BW816" s="75"/>
      <c r="BX816" s="75"/>
      <c r="BY816" s="75"/>
      <c r="BZ816" s="75"/>
      <c r="CA816" s="73"/>
      <c r="CB816" s="75"/>
      <c r="CC816" s="75"/>
      <c r="CD816" s="75"/>
      <c r="CE816" s="73"/>
      <c r="CF816" s="75"/>
      <c r="CG816" s="75"/>
      <c r="CH816" s="75"/>
      <c r="CI816" s="73"/>
      <c r="CJ816" s="75"/>
      <c r="CK816" s="75"/>
      <c r="CL816" s="75"/>
      <c r="CM816" s="73"/>
      <c r="CN816" s="75"/>
      <c r="CO816" s="75"/>
      <c r="CP816" s="75"/>
      <c r="CQ816" s="73"/>
      <c r="CR816" s="75"/>
      <c r="CS816" s="75"/>
      <c r="CT816" s="75"/>
      <c r="CU816" s="73"/>
      <c r="CV816" s="75"/>
      <c r="CW816" s="75"/>
      <c r="CX816" s="75"/>
      <c r="CY816" s="73"/>
      <c r="CZ816" s="75"/>
      <c r="DA816" s="75"/>
      <c r="DB816" s="75"/>
      <c r="DC816" s="73"/>
      <c r="DD816" s="75"/>
      <c r="DE816" s="75"/>
      <c r="DF816" s="75"/>
      <c r="DG816" s="73"/>
      <c r="DH816" s="75"/>
      <c r="DI816" s="75"/>
      <c r="DJ816" s="75"/>
      <c r="DK816" s="76"/>
    </row>
    <row r="817" spans="63:115" x14ac:dyDescent="0.25">
      <c r="BK817" s="75"/>
      <c r="BL817" s="75"/>
      <c r="BM817" s="75"/>
      <c r="BN817" s="73"/>
      <c r="BO817" s="75"/>
      <c r="BP817" s="75"/>
      <c r="BQ817" s="75"/>
      <c r="BR817" s="75"/>
      <c r="BS817" s="75"/>
      <c r="BT817" s="75"/>
      <c r="BU817" s="75"/>
      <c r="BV817" s="75"/>
      <c r="BW817" s="75"/>
      <c r="BX817" s="75"/>
      <c r="BY817" s="75"/>
      <c r="BZ817" s="75"/>
      <c r="CA817" s="73"/>
      <c r="CB817" s="75"/>
      <c r="CC817" s="75"/>
      <c r="CD817" s="75"/>
      <c r="CE817" s="73"/>
      <c r="CF817" s="75"/>
      <c r="CG817" s="75"/>
      <c r="CH817" s="75"/>
      <c r="CI817" s="73"/>
      <c r="CJ817" s="75"/>
      <c r="CK817" s="75"/>
      <c r="CL817" s="75"/>
      <c r="CM817" s="73"/>
      <c r="CN817" s="75"/>
      <c r="CO817" s="75"/>
      <c r="CP817" s="75"/>
      <c r="CQ817" s="73"/>
      <c r="CR817" s="75"/>
      <c r="CS817" s="75"/>
      <c r="CT817" s="75"/>
      <c r="CU817" s="73"/>
      <c r="CV817" s="75"/>
      <c r="CW817" s="75"/>
      <c r="CX817" s="75"/>
      <c r="CY817" s="73"/>
      <c r="CZ817" s="75"/>
      <c r="DA817" s="75"/>
      <c r="DB817" s="75"/>
      <c r="DC817" s="73"/>
      <c r="DD817" s="75"/>
      <c r="DE817" s="75"/>
      <c r="DF817" s="75"/>
      <c r="DG817" s="73"/>
      <c r="DH817" s="75"/>
      <c r="DI817" s="75"/>
      <c r="DJ817" s="75"/>
      <c r="DK817" s="76"/>
    </row>
    <row r="818" spans="63:115" x14ac:dyDescent="0.25">
      <c r="BK818" s="75"/>
      <c r="BL818" s="75"/>
      <c r="BM818" s="75"/>
      <c r="BN818" s="73"/>
      <c r="BO818" s="75"/>
      <c r="BP818" s="75"/>
      <c r="BQ818" s="75"/>
      <c r="BR818" s="75"/>
      <c r="BS818" s="75"/>
      <c r="BT818" s="75"/>
      <c r="BU818" s="75"/>
      <c r="BV818" s="75"/>
      <c r="BW818" s="75"/>
      <c r="BX818" s="75"/>
      <c r="BY818" s="75"/>
      <c r="BZ818" s="75"/>
      <c r="CA818" s="73"/>
      <c r="CB818" s="75"/>
      <c r="CC818" s="75"/>
      <c r="CD818" s="75"/>
      <c r="CE818" s="73"/>
      <c r="CF818" s="75"/>
      <c r="CG818" s="75"/>
      <c r="CH818" s="75"/>
      <c r="CI818" s="73"/>
      <c r="CJ818" s="75"/>
      <c r="CK818" s="75"/>
      <c r="CL818" s="75"/>
      <c r="CM818" s="73"/>
      <c r="CN818" s="75"/>
      <c r="CO818" s="75"/>
      <c r="CP818" s="75"/>
      <c r="CQ818" s="73"/>
      <c r="CR818" s="75"/>
      <c r="CS818" s="75"/>
      <c r="CT818" s="75"/>
      <c r="CU818" s="73"/>
      <c r="CV818" s="75"/>
      <c r="CW818" s="75"/>
      <c r="CX818" s="75"/>
      <c r="CY818" s="73"/>
      <c r="CZ818" s="75"/>
      <c r="DA818" s="75"/>
      <c r="DB818" s="75"/>
      <c r="DC818" s="73"/>
      <c r="DD818" s="75"/>
      <c r="DE818" s="75"/>
      <c r="DF818" s="75"/>
      <c r="DG818" s="73"/>
      <c r="DH818" s="75"/>
      <c r="DI818" s="75"/>
      <c r="DJ818" s="75"/>
      <c r="DK818" s="76"/>
    </row>
    <row r="819" spans="63:115" x14ac:dyDescent="0.25">
      <c r="BK819" s="75"/>
      <c r="BL819" s="75"/>
      <c r="BM819" s="75"/>
      <c r="BN819" s="73"/>
      <c r="BO819" s="75"/>
      <c r="BP819" s="75"/>
      <c r="BQ819" s="75"/>
      <c r="BR819" s="75"/>
      <c r="BS819" s="75"/>
      <c r="BT819" s="75"/>
      <c r="BU819" s="75"/>
      <c r="BV819" s="75"/>
      <c r="BW819" s="75"/>
      <c r="BX819" s="75"/>
      <c r="BY819" s="75"/>
      <c r="BZ819" s="75"/>
      <c r="CA819" s="73"/>
      <c r="CB819" s="75"/>
      <c r="CC819" s="75"/>
      <c r="CD819" s="75"/>
      <c r="CE819" s="73"/>
      <c r="CF819" s="75"/>
      <c r="CG819" s="75"/>
      <c r="CH819" s="75"/>
      <c r="CI819" s="73"/>
      <c r="CJ819" s="75"/>
      <c r="CK819" s="75"/>
      <c r="CL819" s="75"/>
      <c r="CM819" s="73"/>
      <c r="CN819" s="75"/>
      <c r="CO819" s="75"/>
      <c r="CP819" s="75"/>
      <c r="CQ819" s="73"/>
      <c r="CR819" s="75"/>
      <c r="CS819" s="75"/>
      <c r="CT819" s="75"/>
      <c r="CU819" s="73"/>
      <c r="CV819" s="75"/>
      <c r="CW819" s="75"/>
      <c r="CX819" s="75"/>
      <c r="CY819" s="73"/>
      <c r="CZ819" s="75"/>
      <c r="DA819" s="75"/>
      <c r="DB819" s="75"/>
      <c r="DC819" s="73"/>
      <c r="DD819" s="75"/>
      <c r="DE819" s="75"/>
      <c r="DF819" s="75"/>
      <c r="DG819" s="73"/>
      <c r="DH819" s="75"/>
      <c r="DI819" s="75"/>
      <c r="DJ819" s="75"/>
      <c r="DK819" s="76"/>
    </row>
    <row r="820" spans="63:115" x14ac:dyDescent="0.25">
      <c r="BK820" s="75"/>
      <c r="BL820" s="75"/>
      <c r="BM820" s="75"/>
      <c r="BN820" s="73"/>
      <c r="BO820" s="75"/>
      <c r="BP820" s="75"/>
      <c r="BQ820" s="75"/>
      <c r="BR820" s="75"/>
      <c r="BS820" s="75"/>
      <c r="BT820" s="75"/>
      <c r="BU820" s="75"/>
      <c r="BV820" s="75"/>
      <c r="BW820" s="75"/>
      <c r="BX820" s="75"/>
      <c r="BY820" s="75"/>
      <c r="BZ820" s="75"/>
      <c r="CA820" s="73"/>
      <c r="CB820" s="75"/>
      <c r="CC820" s="75"/>
      <c r="CD820" s="75"/>
      <c r="CE820" s="73"/>
      <c r="CF820" s="75"/>
      <c r="CG820" s="75"/>
      <c r="CH820" s="75"/>
      <c r="CI820" s="73"/>
      <c r="CJ820" s="75"/>
      <c r="CK820" s="75"/>
      <c r="CL820" s="75"/>
      <c r="CM820" s="73"/>
      <c r="CN820" s="75"/>
      <c r="CO820" s="75"/>
      <c r="CP820" s="75"/>
      <c r="CQ820" s="73"/>
      <c r="CR820" s="75"/>
      <c r="CS820" s="75"/>
      <c r="CT820" s="75"/>
      <c r="CU820" s="73"/>
      <c r="CV820" s="75"/>
      <c r="CW820" s="75"/>
      <c r="CX820" s="75"/>
      <c r="CY820" s="73"/>
      <c r="CZ820" s="75"/>
      <c r="DA820" s="75"/>
      <c r="DB820" s="75"/>
      <c r="DC820" s="73"/>
      <c r="DD820" s="75"/>
      <c r="DE820" s="75"/>
      <c r="DF820" s="75"/>
      <c r="DG820" s="73"/>
      <c r="DH820" s="75"/>
      <c r="DI820" s="75"/>
      <c r="DJ820" s="75"/>
      <c r="DK820" s="76"/>
    </row>
    <row r="821" spans="63:115" x14ac:dyDescent="0.25">
      <c r="BK821" s="75"/>
      <c r="BL821" s="75"/>
      <c r="BM821" s="75"/>
      <c r="BN821" s="73"/>
      <c r="BO821" s="75"/>
      <c r="BP821" s="75"/>
      <c r="BQ821" s="75"/>
      <c r="BR821" s="75"/>
      <c r="BS821" s="75"/>
      <c r="BT821" s="75"/>
      <c r="BU821" s="75"/>
      <c r="BV821" s="75"/>
      <c r="BW821" s="75"/>
      <c r="BX821" s="75"/>
      <c r="BY821" s="75"/>
      <c r="BZ821" s="75"/>
      <c r="CA821" s="73"/>
      <c r="CB821" s="75"/>
      <c r="CC821" s="75"/>
      <c r="CD821" s="75"/>
      <c r="CE821" s="73"/>
      <c r="CF821" s="75"/>
      <c r="CG821" s="75"/>
      <c r="CH821" s="75"/>
      <c r="CI821" s="73"/>
      <c r="CJ821" s="75"/>
      <c r="CK821" s="75"/>
      <c r="CL821" s="75"/>
      <c r="CM821" s="73"/>
      <c r="CN821" s="75"/>
      <c r="CO821" s="75"/>
      <c r="CP821" s="75"/>
      <c r="CQ821" s="73"/>
      <c r="CR821" s="75"/>
      <c r="CS821" s="75"/>
      <c r="CT821" s="75"/>
      <c r="CU821" s="73"/>
      <c r="CV821" s="75"/>
      <c r="CW821" s="75"/>
      <c r="CX821" s="75"/>
      <c r="CY821" s="73"/>
      <c r="CZ821" s="75"/>
      <c r="DA821" s="75"/>
      <c r="DB821" s="75"/>
      <c r="DC821" s="73"/>
      <c r="DD821" s="75"/>
      <c r="DE821" s="75"/>
      <c r="DF821" s="75"/>
      <c r="DG821" s="73"/>
      <c r="DH821" s="75"/>
      <c r="DI821" s="75"/>
      <c r="DJ821" s="75"/>
      <c r="DK821" s="76"/>
    </row>
    <row r="822" spans="63:115" x14ac:dyDescent="0.25">
      <c r="BK822" s="75"/>
      <c r="BL822" s="75"/>
      <c r="BM822" s="75"/>
      <c r="BN822" s="73"/>
      <c r="BO822" s="75"/>
      <c r="BP822" s="75"/>
      <c r="BQ822" s="75"/>
      <c r="BR822" s="75"/>
      <c r="BS822" s="75"/>
      <c r="BT822" s="75"/>
      <c r="BU822" s="75"/>
      <c r="BV822" s="75"/>
      <c r="BW822" s="75"/>
      <c r="BX822" s="75"/>
      <c r="BY822" s="75"/>
      <c r="BZ822" s="75"/>
      <c r="CA822" s="73"/>
      <c r="CB822" s="75"/>
      <c r="CC822" s="75"/>
      <c r="CD822" s="75"/>
      <c r="CE822" s="73"/>
      <c r="CF822" s="75"/>
      <c r="CG822" s="75"/>
      <c r="CH822" s="75"/>
      <c r="CI822" s="73"/>
      <c r="CJ822" s="75"/>
      <c r="CK822" s="75"/>
      <c r="CL822" s="75"/>
      <c r="CM822" s="73"/>
      <c r="CN822" s="75"/>
      <c r="CO822" s="75"/>
      <c r="CP822" s="75"/>
      <c r="CQ822" s="73"/>
      <c r="CR822" s="75"/>
      <c r="CS822" s="75"/>
      <c r="CT822" s="75"/>
      <c r="CU822" s="73"/>
      <c r="CV822" s="75"/>
      <c r="CW822" s="75"/>
      <c r="CX822" s="75"/>
      <c r="CY822" s="73"/>
      <c r="CZ822" s="75"/>
      <c r="DA822" s="75"/>
      <c r="DB822" s="75"/>
      <c r="DC822" s="73"/>
      <c r="DD822" s="75"/>
      <c r="DE822" s="75"/>
      <c r="DF822" s="75"/>
      <c r="DG822" s="73"/>
      <c r="DH822" s="75"/>
      <c r="DI822" s="75"/>
      <c r="DJ822" s="75"/>
      <c r="DK822" s="76"/>
    </row>
    <row r="823" spans="63:115" x14ac:dyDescent="0.25">
      <c r="BK823" s="75"/>
      <c r="BL823" s="75"/>
      <c r="BM823" s="75"/>
      <c r="BN823" s="73"/>
      <c r="BO823" s="75"/>
      <c r="BP823" s="75"/>
      <c r="BQ823" s="75"/>
      <c r="BR823" s="75"/>
      <c r="BS823" s="75"/>
      <c r="BT823" s="75"/>
      <c r="BU823" s="75"/>
      <c r="BV823" s="75"/>
      <c r="BW823" s="75"/>
      <c r="BX823" s="75"/>
      <c r="BY823" s="75"/>
      <c r="BZ823" s="75"/>
      <c r="CA823" s="73"/>
      <c r="CB823" s="75"/>
      <c r="CC823" s="75"/>
      <c r="CD823" s="75"/>
      <c r="CE823" s="73"/>
      <c r="CF823" s="75"/>
      <c r="CG823" s="75"/>
      <c r="CH823" s="75"/>
      <c r="CI823" s="73"/>
      <c r="CJ823" s="75"/>
      <c r="CK823" s="75"/>
      <c r="CL823" s="75"/>
      <c r="CM823" s="73"/>
      <c r="CN823" s="75"/>
      <c r="CO823" s="75"/>
      <c r="CP823" s="75"/>
      <c r="CQ823" s="73"/>
      <c r="CR823" s="75"/>
      <c r="CS823" s="75"/>
      <c r="CT823" s="75"/>
      <c r="CU823" s="73"/>
      <c r="CV823" s="75"/>
      <c r="CW823" s="75"/>
      <c r="CX823" s="75"/>
      <c r="CY823" s="73"/>
      <c r="CZ823" s="75"/>
      <c r="DA823" s="75"/>
      <c r="DB823" s="75"/>
      <c r="DC823" s="73"/>
      <c r="DD823" s="75"/>
      <c r="DE823" s="75"/>
      <c r="DF823" s="75"/>
      <c r="DG823" s="73"/>
      <c r="DH823" s="75"/>
      <c r="DI823" s="75"/>
      <c r="DJ823" s="75"/>
      <c r="DK823" s="76"/>
    </row>
    <row r="824" spans="63:115" x14ac:dyDescent="0.25">
      <c r="BK824" s="75"/>
      <c r="BL824" s="75"/>
      <c r="BM824" s="75"/>
      <c r="BN824" s="73"/>
      <c r="BO824" s="75"/>
      <c r="BP824" s="75"/>
      <c r="BQ824" s="75"/>
      <c r="BR824" s="75"/>
      <c r="BS824" s="75"/>
      <c r="BT824" s="75"/>
      <c r="BU824" s="75"/>
      <c r="BV824" s="75"/>
      <c r="BW824" s="75"/>
      <c r="BX824" s="75"/>
      <c r="BY824" s="75"/>
      <c r="BZ824" s="75"/>
      <c r="CA824" s="73"/>
      <c r="CB824" s="75"/>
      <c r="CC824" s="75"/>
      <c r="CD824" s="75"/>
      <c r="CE824" s="73"/>
      <c r="CF824" s="75"/>
      <c r="CG824" s="75"/>
      <c r="CH824" s="75"/>
      <c r="CI824" s="73"/>
      <c r="CJ824" s="75"/>
      <c r="CK824" s="75"/>
      <c r="CL824" s="75"/>
      <c r="CM824" s="73"/>
      <c r="CN824" s="75"/>
      <c r="CO824" s="75"/>
      <c r="CP824" s="75"/>
      <c r="CQ824" s="73"/>
      <c r="CR824" s="75"/>
      <c r="CS824" s="75"/>
      <c r="CT824" s="75"/>
      <c r="CU824" s="73"/>
      <c r="CV824" s="75"/>
      <c r="CW824" s="75"/>
      <c r="CX824" s="75"/>
      <c r="CY824" s="73"/>
      <c r="CZ824" s="75"/>
      <c r="DA824" s="75"/>
      <c r="DB824" s="75"/>
      <c r="DC824" s="73"/>
      <c r="DD824" s="75"/>
      <c r="DE824" s="75"/>
      <c r="DF824" s="75"/>
      <c r="DG824" s="73"/>
      <c r="DH824" s="75"/>
      <c r="DI824" s="75"/>
      <c r="DJ824" s="75"/>
      <c r="DK824" s="76"/>
    </row>
    <row r="825" spans="63:115" x14ac:dyDescent="0.25">
      <c r="BK825" s="75"/>
      <c r="BL825" s="75"/>
      <c r="BM825" s="75"/>
      <c r="BN825" s="73"/>
      <c r="BO825" s="75"/>
      <c r="BP825" s="75"/>
      <c r="BQ825" s="75"/>
      <c r="BR825" s="75"/>
      <c r="BS825" s="75"/>
      <c r="BT825" s="75"/>
      <c r="BU825" s="75"/>
      <c r="BV825" s="75"/>
      <c r="BW825" s="75"/>
      <c r="BX825" s="75"/>
      <c r="BY825" s="75"/>
      <c r="BZ825" s="75"/>
      <c r="CA825" s="73"/>
      <c r="CB825" s="75"/>
      <c r="CC825" s="75"/>
      <c r="CD825" s="75"/>
      <c r="CE825" s="73"/>
      <c r="CF825" s="75"/>
      <c r="CG825" s="75"/>
      <c r="CH825" s="75"/>
      <c r="CI825" s="73"/>
      <c r="CJ825" s="75"/>
      <c r="CK825" s="75"/>
      <c r="CL825" s="75"/>
      <c r="CM825" s="73"/>
      <c r="CN825" s="75"/>
      <c r="CO825" s="75"/>
      <c r="CP825" s="75"/>
      <c r="CQ825" s="73"/>
      <c r="CR825" s="75"/>
      <c r="CS825" s="75"/>
      <c r="CT825" s="75"/>
      <c r="CU825" s="73"/>
      <c r="CV825" s="75"/>
      <c r="CW825" s="75"/>
      <c r="CX825" s="75"/>
      <c r="CY825" s="73"/>
      <c r="CZ825" s="75"/>
      <c r="DA825" s="75"/>
      <c r="DB825" s="75"/>
      <c r="DC825" s="73"/>
      <c r="DD825" s="75"/>
      <c r="DE825" s="75"/>
      <c r="DF825" s="75"/>
      <c r="DG825" s="73"/>
      <c r="DH825" s="75"/>
      <c r="DI825" s="75"/>
      <c r="DJ825" s="75"/>
      <c r="DK825" s="76"/>
    </row>
    <row r="826" spans="63:115" x14ac:dyDescent="0.25">
      <c r="BK826" s="75"/>
      <c r="BL826" s="75"/>
      <c r="BM826" s="75"/>
      <c r="BN826" s="73"/>
      <c r="BO826" s="75"/>
      <c r="BP826" s="75"/>
      <c r="BQ826" s="75"/>
      <c r="BR826" s="75"/>
      <c r="BS826" s="75"/>
      <c r="BT826" s="75"/>
      <c r="BU826" s="75"/>
      <c r="BV826" s="75"/>
      <c r="BW826" s="75"/>
      <c r="BX826" s="75"/>
      <c r="BY826" s="75"/>
      <c r="BZ826" s="75"/>
      <c r="CA826" s="73"/>
      <c r="CB826" s="75"/>
      <c r="CC826" s="75"/>
      <c r="CD826" s="75"/>
      <c r="CE826" s="73"/>
      <c r="CF826" s="75"/>
      <c r="CG826" s="75"/>
      <c r="CH826" s="75"/>
      <c r="CI826" s="73"/>
      <c r="CJ826" s="75"/>
      <c r="CK826" s="75"/>
      <c r="CL826" s="75"/>
      <c r="CM826" s="73"/>
      <c r="CN826" s="75"/>
      <c r="CO826" s="75"/>
      <c r="CP826" s="75"/>
      <c r="CQ826" s="73"/>
      <c r="CR826" s="75"/>
      <c r="CS826" s="75"/>
      <c r="CT826" s="75"/>
      <c r="CU826" s="73"/>
      <c r="CV826" s="75"/>
      <c r="CW826" s="75"/>
      <c r="CX826" s="75"/>
      <c r="CY826" s="73"/>
      <c r="CZ826" s="75"/>
      <c r="DA826" s="75"/>
      <c r="DB826" s="75"/>
      <c r="DC826" s="73"/>
      <c r="DD826" s="75"/>
      <c r="DE826" s="75"/>
      <c r="DF826" s="75"/>
      <c r="DG826" s="73"/>
      <c r="DH826" s="75"/>
      <c r="DI826" s="75"/>
      <c r="DJ826" s="75"/>
      <c r="DK826" s="76"/>
    </row>
    <row r="827" spans="63:115" x14ac:dyDescent="0.25">
      <c r="BK827" s="75"/>
      <c r="BL827" s="75"/>
      <c r="BM827" s="75"/>
      <c r="BN827" s="73"/>
      <c r="BO827" s="75"/>
      <c r="BP827" s="75"/>
      <c r="BQ827" s="75"/>
      <c r="BR827" s="75"/>
      <c r="BS827" s="75"/>
      <c r="BT827" s="75"/>
      <c r="BU827" s="75"/>
      <c r="BV827" s="75"/>
      <c r="BW827" s="75"/>
      <c r="BX827" s="75"/>
      <c r="BY827" s="75"/>
      <c r="BZ827" s="75"/>
      <c r="CA827" s="73"/>
      <c r="CB827" s="75"/>
      <c r="CC827" s="75"/>
      <c r="CD827" s="75"/>
      <c r="CE827" s="73"/>
      <c r="CF827" s="75"/>
      <c r="CG827" s="75"/>
      <c r="CH827" s="75"/>
      <c r="CI827" s="73"/>
      <c r="CJ827" s="75"/>
      <c r="CK827" s="75"/>
      <c r="CL827" s="75"/>
      <c r="CM827" s="73"/>
      <c r="CN827" s="75"/>
      <c r="CO827" s="75"/>
      <c r="CP827" s="75"/>
      <c r="CQ827" s="73"/>
      <c r="CR827" s="75"/>
      <c r="CS827" s="75"/>
      <c r="CT827" s="75"/>
      <c r="CU827" s="73"/>
      <c r="CV827" s="75"/>
      <c r="CW827" s="75"/>
      <c r="CX827" s="75"/>
      <c r="CY827" s="73"/>
      <c r="CZ827" s="75"/>
      <c r="DA827" s="75"/>
      <c r="DB827" s="75"/>
      <c r="DC827" s="73"/>
      <c r="DD827" s="75"/>
      <c r="DE827" s="75"/>
      <c r="DF827" s="75"/>
      <c r="DG827" s="73"/>
      <c r="DH827" s="75"/>
      <c r="DI827" s="75"/>
      <c r="DJ827" s="75"/>
      <c r="DK827" s="76"/>
    </row>
    <row r="828" spans="63:115" x14ac:dyDescent="0.25">
      <c r="BK828" s="75"/>
      <c r="BL828" s="75"/>
      <c r="BM828" s="75"/>
      <c r="BN828" s="73"/>
      <c r="BO828" s="75"/>
      <c r="BP828" s="75"/>
      <c r="BQ828" s="75"/>
      <c r="BR828" s="75"/>
      <c r="BS828" s="75"/>
      <c r="BT828" s="75"/>
      <c r="BU828" s="75"/>
      <c r="BV828" s="75"/>
      <c r="BW828" s="75"/>
      <c r="BX828" s="75"/>
      <c r="BY828" s="75"/>
      <c r="BZ828" s="75"/>
      <c r="CA828" s="73"/>
      <c r="CB828" s="75"/>
      <c r="CC828" s="75"/>
      <c r="CD828" s="75"/>
      <c r="CE828" s="73"/>
      <c r="CF828" s="75"/>
      <c r="CG828" s="75"/>
      <c r="CH828" s="75"/>
      <c r="CI828" s="73"/>
      <c r="CJ828" s="75"/>
      <c r="CK828" s="75"/>
      <c r="CL828" s="75"/>
      <c r="CM828" s="73"/>
      <c r="CN828" s="75"/>
      <c r="CO828" s="75"/>
      <c r="CP828" s="75"/>
      <c r="CQ828" s="73"/>
      <c r="CR828" s="75"/>
      <c r="CS828" s="75"/>
      <c r="CT828" s="75"/>
      <c r="CU828" s="73"/>
      <c r="CV828" s="75"/>
      <c r="CW828" s="75"/>
      <c r="CX828" s="75"/>
      <c r="CY828" s="73"/>
      <c r="CZ828" s="75"/>
      <c r="DA828" s="75"/>
      <c r="DB828" s="75"/>
      <c r="DC828" s="73"/>
      <c r="DD828" s="75"/>
      <c r="DE828" s="75"/>
      <c r="DF828" s="75"/>
      <c r="DG828" s="73"/>
      <c r="DH828" s="75"/>
      <c r="DI828" s="75"/>
      <c r="DJ828" s="75"/>
      <c r="DK828" s="76"/>
    </row>
    <row r="829" spans="63:115" x14ac:dyDescent="0.25">
      <c r="BK829" s="75"/>
      <c r="BL829" s="75"/>
      <c r="BM829" s="75"/>
      <c r="BN829" s="73"/>
      <c r="BO829" s="75"/>
      <c r="BP829" s="75"/>
      <c r="BQ829" s="75"/>
      <c r="BR829" s="75"/>
      <c r="BS829" s="75"/>
      <c r="BT829" s="75"/>
      <c r="BU829" s="75"/>
      <c r="BV829" s="75"/>
      <c r="BW829" s="75"/>
      <c r="BX829" s="75"/>
      <c r="BY829" s="75"/>
      <c r="BZ829" s="75"/>
      <c r="CA829" s="73"/>
      <c r="CB829" s="75"/>
      <c r="CC829" s="75"/>
      <c r="CD829" s="75"/>
      <c r="CE829" s="73"/>
      <c r="CF829" s="75"/>
      <c r="CG829" s="75"/>
      <c r="CH829" s="75"/>
      <c r="CI829" s="73"/>
      <c r="CJ829" s="75"/>
      <c r="CK829" s="75"/>
      <c r="CL829" s="75"/>
      <c r="CM829" s="73"/>
      <c r="CN829" s="75"/>
      <c r="CO829" s="75"/>
      <c r="CP829" s="75"/>
      <c r="CQ829" s="73"/>
      <c r="CR829" s="75"/>
      <c r="CS829" s="75"/>
      <c r="CT829" s="75"/>
      <c r="CU829" s="73"/>
      <c r="CV829" s="75"/>
      <c r="CW829" s="75"/>
      <c r="CX829" s="75"/>
      <c r="CY829" s="73"/>
      <c r="CZ829" s="75"/>
      <c r="DA829" s="75"/>
      <c r="DB829" s="75"/>
      <c r="DC829" s="73"/>
      <c r="DD829" s="75"/>
      <c r="DE829" s="75"/>
      <c r="DF829" s="75"/>
      <c r="DG829" s="73"/>
      <c r="DH829" s="75"/>
      <c r="DI829" s="75"/>
      <c r="DJ829" s="75"/>
      <c r="DK829" s="76"/>
    </row>
    <row r="830" spans="63:115" x14ac:dyDescent="0.25">
      <c r="BK830" s="75"/>
      <c r="BL830" s="75"/>
      <c r="BM830" s="75"/>
      <c r="BN830" s="73"/>
      <c r="BO830" s="75"/>
      <c r="BP830" s="75"/>
      <c r="BQ830" s="75"/>
      <c r="BR830" s="75"/>
      <c r="BS830" s="75"/>
      <c r="BT830" s="75"/>
      <c r="BU830" s="75"/>
      <c r="BV830" s="75"/>
      <c r="BW830" s="75"/>
      <c r="BX830" s="75"/>
      <c r="BY830" s="75"/>
      <c r="BZ830" s="75"/>
      <c r="CA830" s="73"/>
      <c r="CB830" s="75"/>
      <c r="CC830" s="75"/>
      <c r="CD830" s="75"/>
      <c r="CE830" s="73"/>
      <c r="CF830" s="75"/>
      <c r="CG830" s="75"/>
      <c r="CH830" s="75"/>
      <c r="CI830" s="73"/>
      <c r="CJ830" s="75"/>
      <c r="CK830" s="75"/>
      <c r="CL830" s="75"/>
      <c r="CM830" s="73"/>
      <c r="CN830" s="75"/>
      <c r="CO830" s="75"/>
      <c r="CP830" s="75"/>
      <c r="CQ830" s="73"/>
      <c r="CR830" s="75"/>
      <c r="CS830" s="75"/>
      <c r="CT830" s="75"/>
      <c r="CU830" s="73"/>
      <c r="CV830" s="75"/>
      <c r="CW830" s="75"/>
      <c r="CX830" s="75"/>
      <c r="CY830" s="73"/>
      <c r="CZ830" s="75"/>
      <c r="DA830" s="75"/>
      <c r="DB830" s="75"/>
      <c r="DC830" s="73"/>
      <c r="DD830" s="75"/>
      <c r="DE830" s="75"/>
      <c r="DF830" s="75"/>
      <c r="DG830" s="73"/>
      <c r="DH830" s="75"/>
      <c r="DI830" s="75"/>
      <c r="DJ830" s="75"/>
      <c r="DK830" s="76"/>
    </row>
    <row r="831" spans="63:115" x14ac:dyDescent="0.25">
      <c r="BK831" s="75"/>
      <c r="BL831" s="75"/>
      <c r="BM831" s="75"/>
      <c r="BN831" s="73"/>
      <c r="BO831" s="75"/>
      <c r="BP831" s="75"/>
      <c r="BQ831" s="75"/>
      <c r="BR831" s="75"/>
      <c r="BS831" s="75"/>
      <c r="BT831" s="75"/>
      <c r="BU831" s="75"/>
      <c r="BV831" s="75"/>
      <c r="BW831" s="75"/>
      <c r="BX831" s="75"/>
      <c r="BY831" s="75"/>
      <c r="BZ831" s="75"/>
      <c r="CA831" s="73"/>
      <c r="CB831" s="75"/>
      <c r="CC831" s="75"/>
      <c r="CD831" s="75"/>
      <c r="CE831" s="73"/>
      <c r="CF831" s="75"/>
      <c r="CG831" s="75"/>
      <c r="CH831" s="75"/>
      <c r="CI831" s="73"/>
      <c r="CJ831" s="75"/>
      <c r="CK831" s="75"/>
      <c r="CL831" s="75"/>
      <c r="CM831" s="73"/>
      <c r="CN831" s="75"/>
      <c r="CO831" s="75"/>
      <c r="CP831" s="75"/>
      <c r="CQ831" s="73"/>
      <c r="CR831" s="75"/>
      <c r="CS831" s="75"/>
      <c r="CT831" s="75"/>
      <c r="CU831" s="73"/>
      <c r="CV831" s="75"/>
      <c r="CW831" s="75"/>
      <c r="CX831" s="75"/>
      <c r="CY831" s="73"/>
      <c r="CZ831" s="75"/>
      <c r="DA831" s="75"/>
      <c r="DB831" s="75"/>
      <c r="DC831" s="73"/>
      <c r="DD831" s="75"/>
      <c r="DE831" s="75"/>
      <c r="DF831" s="75"/>
      <c r="DG831" s="73"/>
      <c r="DH831" s="75"/>
      <c r="DI831" s="75"/>
      <c r="DJ831" s="75"/>
      <c r="DK831" s="76"/>
    </row>
    <row r="832" spans="63:115" x14ac:dyDescent="0.25">
      <c r="BK832" s="75"/>
      <c r="BL832" s="75"/>
      <c r="BM832" s="75"/>
      <c r="BN832" s="73"/>
      <c r="BO832" s="75"/>
      <c r="BP832" s="75"/>
      <c r="BQ832" s="75"/>
      <c r="BR832" s="75"/>
      <c r="BS832" s="75"/>
      <c r="BT832" s="75"/>
      <c r="BU832" s="75"/>
      <c r="BV832" s="75"/>
      <c r="BW832" s="75"/>
      <c r="BX832" s="75"/>
      <c r="BY832" s="75"/>
      <c r="BZ832" s="75"/>
      <c r="CA832" s="73"/>
      <c r="CB832" s="75"/>
      <c r="CC832" s="75"/>
      <c r="CD832" s="75"/>
      <c r="CE832" s="73"/>
      <c r="CF832" s="75"/>
      <c r="CG832" s="75"/>
      <c r="CH832" s="75"/>
      <c r="CI832" s="73"/>
      <c r="CJ832" s="75"/>
      <c r="CK832" s="75"/>
      <c r="CL832" s="75"/>
      <c r="CM832" s="73"/>
      <c r="CN832" s="75"/>
      <c r="CO832" s="75"/>
      <c r="CP832" s="75"/>
      <c r="CQ832" s="73"/>
      <c r="CR832" s="75"/>
      <c r="CS832" s="75"/>
      <c r="CT832" s="75"/>
      <c r="CU832" s="73"/>
      <c r="CV832" s="75"/>
      <c r="CW832" s="75"/>
      <c r="CX832" s="75"/>
      <c r="CY832" s="73"/>
      <c r="CZ832" s="75"/>
      <c r="DA832" s="75"/>
      <c r="DB832" s="75"/>
      <c r="DC832" s="73"/>
      <c r="DD832" s="75"/>
      <c r="DE832" s="75"/>
      <c r="DF832" s="75"/>
      <c r="DG832" s="73"/>
      <c r="DH832" s="75"/>
      <c r="DI832" s="75"/>
      <c r="DJ832" s="75"/>
      <c r="DK832" s="76"/>
    </row>
    <row r="833" spans="63:115" x14ac:dyDescent="0.25">
      <c r="BK833" s="75"/>
      <c r="BL833" s="75"/>
      <c r="BM833" s="75"/>
      <c r="BN833" s="73"/>
      <c r="BO833" s="75"/>
      <c r="BP833" s="75"/>
      <c r="BQ833" s="75"/>
      <c r="BR833" s="75"/>
      <c r="BS833" s="75"/>
      <c r="BT833" s="75"/>
      <c r="BU833" s="75"/>
      <c r="BV833" s="75"/>
      <c r="BW833" s="75"/>
      <c r="BX833" s="75"/>
      <c r="BY833" s="75"/>
      <c r="BZ833" s="75"/>
      <c r="CA833" s="73"/>
      <c r="CB833" s="75"/>
      <c r="CC833" s="75"/>
      <c r="CD833" s="75"/>
      <c r="CE833" s="73"/>
      <c r="CF833" s="75"/>
      <c r="CG833" s="75"/>
      <c r="CH833" s="75"/>
      <c r="CI833" s="73"/>
      <c r="CJ833" s="75"/>
      <c r="CK833" s="75"/>
      <c r="CL833" s="75"/>
      <c r="CM833" s="73"/>
      <c r="CN833" s="75"/>
      <c r="CO833" s="75"/>
      <c r="CP833" s="75"/>
      <c r="CQ833" s="73"/>
      <c r="CR833" s="75"/>
      <c r="CS833" s="75"/>
      <c r="CT833" s="75"/>
      <c r="CU833" s="73"/>
      <c r="CV833" s="75"/>
      <c r="CW833" s="75"/>
      <c r="CX833" s="75"/>
      <c r="CY833" s="73"/>
      <c r="CZ833" s="75"/>
      <c r="DA833" s="75"/>
      <c r="DB833" s="75"/>
      <c r="DC833" s="73"/>
      <c r="DD833" s="75"/>
      <c r="DE833" s="75"/>
      <c r="DF833" s="75"/>
      <c r="DG833" s="73"/>
      <c r="DH833" s="75"/>
      <c r="DI833" s="75"/>
      <c r="DJ833" s="75"/>
      <c r="DK833" s="76"/>
    </row>
    <row r="834" spans="63:115" x14ac:dyDescent="0.25">
      <c r="BK834" s="75"/>
      <c r="BL834" s="75"/>
      <c r="BM834" s="75"/>
      <c r="BN834" s="73"/>
      <c r="BO834" s="75"/>
      <c r="BP834" s="75"/>
      <c r="BQ834" s="75"/>
      <c r="BR834" s="75"/>
      <c r="BS834" s="75"/>
      <c r="BT834" s="75"/>
      <c r="BU834" s="75"/>
      <c r="BV834" s="75"/>
      <c r="BW834" s="75"/>
      <c r="BX834" s="75"/>
      <c r="BY834" s="75"/>
      <c r="BZ834" s="75"/>
      <c r="CA834" s="73"/>
      <c r="CB834" s="75"/>
      <c r="CC834" s="75"/>
      <c r="CD834" s="75"/>
      <c r="CE834" s="73"/>
      <c r="CF834" s="75"/>
      <c r="CG834" s="75"/>
      <c r="CH834" s="75"/>
      <c r="CI834" s="73"/>
      <c r="CJ834" s="75"/>
      <c r="CK834" s="75"/>
      <c r="CL834" s="75"/>
      <c r="CM834" s="73"/>
      <c r="CN834" s="75"/>
      <c r="CO834" s="75"/>
      <c r="CP834" s="75"/>
      <c r="CQ834" s="73"/>
      <c r="CR834" s="75"/>
      <c r="CS834" s="75"/>
      <c r="CT834" s="75"/>
      <c r="CU834" s="73"/>
      <c r="CV834" s="75"/>
      <c r="CW834" s="75"/>
      <c r="CX834" s="75"/>
      <c r="CY834" s="73"/>
      <c r="CZ834" s="75"/>
      <c r="DA834" s="75"/>
      <c r="DB834" s="75"/>
      <c r="DC834" s="73"/>
      <c r="DD834" s="75"/>
      <c r="DE834" s="75"/>
      <c r="DF834" s="75"/>
      <c r="DG834" s="73"/>
      <c r="DH834" s="75"/>
      <c r="DI834" s="75"/>
      <c r="DJ834" s="75"/>
      <c r="DK834" s="76"/>
    </row>
    <row r="835" spans="63:115" x14ac:dyDescent="0.25">
      <c r="BK835" s="75"/>
      <c r="BL835" s="75"/>
      <c r="BM835" s="75"/>
      <c r="BN835" s="73"/>
      <c r="BO835" s="75"/>
      <c r="BP835" s="75"/>
      <c r="BQ835" s="75"/>
      <c r="BR835" s="75"/>
      <c r="BS835" s="75"/>
      <c r="BT835" s="75"/>
      <c r="BU835" s="75"/>
      <c r="BV835" s="75"/>
      <c r="BW835" s="75"/>
      <c r="BX835" s="75"/>
      <c r="BY835" s="75"/>
      <c r="BZ835" s="75"/>
      <c r="CA835" s="73"/>
      <c r="CB835" s="75"/>
      <c r="CC835" s="75"/>
      <c r="CD835" s="75"/>
      <c r="CE835" s="73"/>
      <c r="CF835" s="75"/>
      <c r="CG835" s="75"/>
      <c r="CH835" s="75"/>
      <c r="CI835" s="73"/>
      <c r="CJ835" s="75"/>
      <c r="CK835" s="75"/>
      <c r="CL835" s="75"/>
      <c r="CM835" s="73"/>
      <c r="CN835" s="75"/>
      <c r="CO835" s="75"/>
      <c r="CP835" s="75"/>
      <c r="CQ835" s="73"/>
      <c r="CR835" s="75"/>
      <c r="CS835" s="75"/>
      <c r="CT835" s="75"/>
      <c r="CU835" s="73"/>
      <c r="CV835" s="75"/>
      <c r="CW835" s="75"/>
      <c r="CX835" s="75"/>
      <c r="CY835" s="73"/>
      <c r="CZ835" s="75"/>
      <c r="DA835" s="75"/>
      <c r="DB835" s="75"/>
      <c r="DC835" s="73"/>
      <c r="DD835" s="75"/>
      <c r="DE835" s="75"/>
      <c r="DF835" s="75"/>
      <c r="DG835" s="73"/>
      <c r="DH835" s="75"/>
      <c r="DI835" s="75"/>
      <c r="DJ835" s="75"/>
      <c r="DK835" s="76"/>
    </row>
    <row r="836" spans="63:115" x14ac:dyDescent="0.25">
      <c r="BK836" s="75"/>
      <c r="BL836" s="75"/>
      <c r="BM836" s="75"/>
      <c r="BN836" s="73"/>
      <c r="BO836" s="75"/>
      <c r="BP836" s="75"/>
      <c r="BQ836" s="75"/>
      <c r="BR836" s="75"/>
      <c r="BS836" s="75"/>
      <c r="BT836" s="75"/>
      <c r="BU836" s="75"/>
      <c r="BV836" s="75"/>
      <c r="BW836" s="75"/>
      <c r="BX836" s="75"/>
      <c r="BY836" s="75"/>
      <c r="BZ836" s="75"/>
      <c r="CA836" s="73"/>
      <c r="CB836" s="75"/>
      <c r="CC836" s="75"/>
      <c r="CD836" s="75"/>
      <c r="CE836" s="73"/>
      <c r="CF836" s="75"/>
      <c r="CG836" s="75"/>
      <c r="CH836" s="75"/>
      <c r="CI836" s="73"/>
      <c r="CJ836" s="75"/>
      <c r="CK836" s="75"/>
      <c r="CL836" s="75"/>
      <c r="CM836" s="73"/>
      <c r="CN836" s="75"/>
      <c r="CO836" s="75"/>
      <c r="CP836" s="75"/>
      <c r="CQ836" s="73"/>
      <c r="CR836" s="75"/>
      <c r="CS836" s="75"/>
      <c r="CT836" s="75"/>
      <c r="CU836" s="73"/>
      <c r="CV836" s="75"/>
      <c r="CW836" s="75"/>
      <c r="CX836" s="75"/>
      <c r="CY836" s="73"/>
      <c r="CZ836" s="75"/>
      <c r="DA836" s="75"/>
      <c r="DB836" s="75"/>
      <c r="DC836" s="73"/>
      <c r="DD836" s="75"/>
      <c r="DE836" s="75"/>
      <c r="DF836" s="75"/>
      <c r="DG836" s="73"/>
      <c r="DH836" s="75"/>
      <c r="DI836" s="75"/>
      <c r="DJ836" s="75"/>
      <c r="DK836" s="76"/>
    </row>
    <row r="837" spans="63:115" x14ac:dyDescent="0.25">
      <c r="BK837" s="75"/>
      <c r="BL837" s="75"/>
      <c r="BM837" s="75"/>
      <c r="BN837" s="73"/>
      <c r="BO837" s="75"/>
      <c r="BP837" s="75"/>
      <c r="BQ837" s="75"/>
      <c r="BR837" s="75"/>
      <c r="BS837" s="75"/>
      <c r="BT837" s="75"/>
      <c r="BU837" s="75"/>
      <c r="BV837" s="75"/>
      <c r="BW837" s="75"/>
      <c r="BX837" s="75"/>
      <c r="BY837" s="75"/>
      <c r="BZ837" s="75"/>
      <c r="CA837" s="73"/>
      <c r="CB837" s="75"/>
      <c r="CC837" s="75"/>
      <c r="CD837" s="75"/>
      <c r="CE837" s="73"/>
      <c r="CF837" s="75"/>
      <c r="CG837" s="75"/>
      <c r="CH837" s="75"/>
      <c r="CI837" s="73"/>
      <c r="CJ837" s="75"/>
      <c r="CK837" s="75"/>
      <c r="CL837" s="75"/>
      <c r="CM837" s="73"/>
      <c r="CN837" s="75"/>
      <c r="CO837" s="75"/>
      <c r="CP837" s="75"/>
      <c r="CQ837" s="73"/>
      <c r="CR837" s="75"/>
      <c r="CS837" s="75"/>
      <c r="CT837" s="75"/>
      <c r="CU837" s="73"/>
      <c r="CV837" s="75"/>
      <c r="CW837" s="75"/>
      <c r="CX837" s="75"/>
      <c r="CY837" s="73"/>
      <c r="CZ837" s="75"/>
      <c r="DA837" s="75"/>
      <c r="DB837" s="75"/>
      <c r="DC837" s="73"/>
      <c r="DD837" s="75"/>
      <c r="DE837" s="75"/>
      <c r="DF837" s="75"/>
      <c r="DG837" s="73"/>
      <c r="DH837" s="75"/>
      <c r="DI837" s="75"/>
      <c r="DJ837" s="75"/>
      <c r="DK837" s="76"/>
    </row>
    <row r="838" spans="63:115" x14ac:dyDescent="0.25">
      <c r="BK838" s="75"/>
      <c r="BL838" s="75"/>
      <c r="BM838" s="75"/>
      <c r="BN838" s="73"/>
      <c r="BO838" s="75"/>
      <c r="BP838" s="75"/>
      <c r="BQ838" s="75"/>
      <c r="BR838" s="75"/>
      <c r="BS838" s="75"/>
      <c r="BT838" s="75"/>
      <c r="BU838" s="75"/>
      <c r="BV838" s="75"/>
      <c r="BW838" s="75"/>
      <c r="BX838" s="75"/>
      <c r="BY838" s="75"/>
      <c r="BZ838" s="75"/>
      <c r="CA838" s="73"/>
      <c r="CB838" s="75"/>
      <c r="CC838" s="75"/>
      <c r="CD838" s="75"/>
      <c r="CE838" s="73"/>
      <c r="CF838" s="75"/>
      <c r="CG838" s="75"/>
      <c r="CH838" s="75"/>
      <c r="CI838" s="73"/>
      <c r="CJ838" s="75"/>
      <c r="CK838" s="75"/>
      <c r="CL838" s="75"/>
      <c r="CM838" s="73"/>
      <c r="CN838" s="75"/>
      <c r="CO838" s="75"/>
      <c r="CP838" s="75"/>
      <c r="CQ838" s="73"/>
      <c r="CR838" s="75"/>
      <c r="CS838" s="75"/>
      <c r="CT838" s="75"/>
      <c r="CU838" s="73"/>
      <c r="CV838" s="75"/>
      <c r="CW838" s="75"/>
      <c r="CX838" s="75"/>
      <c r="CY838" s="73"/>
      <c r="CZ838" s="75"/>
      <c r="DA838" s="75"/>
      <c r="DB838" s="75"/>
      <c r="DC838" s="73"/>
      <c r="DD838" s="75"/>
      <c r="DE838" s="75"/>
      <c r="DF838" s="75"/>
      <c r="DG838" s="73"/>
      <c r="DH838" s="75"/>
      <c r="DI838" s="75"/>
      <c r="DJ838" s="75"/>
      <c r="DK838" s="76"/>
    </row>
    <row r="839" spans="63:115" x14ac:dyDescent="0.25">
      <c r="BK839" s="75"/>
      <c r="BL839" s="75"/>
      <c r="BM839" s="75"/>
      <c r="BN839" s="73"/>
      <c r="BO839" s="75"/>
      <c r="BP839" s="75"/>
      <c r="BQ839" s="75"/>
      <c r="BR839" s="75"/>
      <c r="BS839" s="75"/>
      <c r="BT839" s="75"/>
      <c r="BU839" s="75"/>
      <c r="BV839" s="75"/>
      <c r="BW839" s="75"/>
      <c r="BX839" s="75"/>
      <c r="BY839" s="75"/>
      <c r="BZ839" s="75"/>
      <c r="CA839" s="73"/>
      <c r="CB839" s="75"/>
      <c r="CC839" s="75"/>
      <c r="CD839" s="75"/>
      <c r="CE839" s="73"/>
      <c r="CF839" s="75"/>
      <c r="CG839" s="75"/>
      <c r="CH839" s="75"/>
      <c r="CI839" s="73"/>
      <c r="CJ839" s="75"/>
      <c r="CK839" s="75"/>
      <c r="CL839" s="75"/>
      <c r="CM839" s="73"/>
      <c r="CN839" s="75"/>
      <c r="CO839" s="75"/>
      <c r="CP839" s="75"/>
      <c r="CQ839" s="73"/>
      <c r="CR839" s="75"/>
      <c r="CS839" s="75"/>
      <c r="CT839" s="75"/>
      <c r="CU839" s="73"/>
      <c r="CV839" s="75"/>
      <c r="CW839" s="75"/>
      <c r="CX839" s="75"/>
      <c r="CY839" s="73"/>
      <c r="CZ839" s="75"/>
      <c r="DA839" s="75"/>
      <c r="DB839" s="75"/>
      <c r="DC839" s="73"/>
      <c r="DD839" s="75"/>
      <c r="DE839" s="75"/>
      <c r="DF839" s="75"/>
      <c r="DG839" s="73"/>
      <c r="DH839" s="75"/>
      <c r="DI839" s="75"/>
      <c r="DJ839" s="75"/>
      <c r="DK839" s="76"/>
    </row>
    <row r="840" spans="63:115" x14ac:dyDescent="0.25">
      <c r="BK840" s="75"/>
      <c r="BL840" s="75"/>
      <c r="BM840" s="75"/>
      <c r="BN840" s="73"/>
      <c r="BO840" s="75"/>
      <c r="BP840" s="75"/>
      <c r="BQ840" s="75"/>
      <c r="BR840" s="75"/>
      <c r="BS840" s="75"/>
      <c r="BT840" s="75"/>
      <c r="BU840" s="75"/>
      <c r="BV840" s="75"/>
      <c r="BW840" s="75"/>
      <c r="BX840" s="75"/>
      <c r="BY840" s="75"/>
      <c r="BZ840" s="75"/>
      <c r="CA840" s="73"/>
      <c r="CB840" s="75"/>
      <c r="CC840" s="75"/>
      <c r="CD840" s="75"/>
      <c r="CE840" s="73"/>
      <c r="CF840" s="75"/>
      <c r="CG840" s="75"/>
      <c r="CH840" s="75"/>
      <c r="CI840" s="73"/>
      <c r="CJ840" s="75"/>
      <c r="CK840" s="75"/>
      <c r="CL840" s="75"/>
      <c r="CM840" s="73"/>
      <c r="CN840" s="75"/>
      <c r="CO840" s="75"/>
      <c r="CP840" s="75"/>
      <c r="CQ840" s="73"/>
      <c r="CR840" s="75"/>
      <c r="CS840" s="75"/>
      <c r="CT840" s="75"/>
      <c r="CU840" s="73"/>
      <c r="CV840" s="75"/>
      <c r="CW840" s="75"/>
      <c r="CX840" s="75"/>
      <c r="CY840" s="73"/>
      <c r="CZ840" s="75"/>
      <c r="DA840" s="75"/>
      <c r="DB840" s="75"/>
      <c r="DC840" s="73"/>
      <c r="DD840" s="75"/>
      <c r="DE840" s="75"/>
      <c r="DF840" s="75"/>
      <c r="DG840" s="73"/>
      <c r="DH840" s="75"/>
      <c r="DI840" s="75"/>
      <c r="DJ840" s="75"/>
      <c r="DK840" s="76"/>
    </row>
    <row r="841" spans="63:115" x14ac:dyDescent="0.25">
      <c r="BK841" s="75"/>
      <c r="BL841" s="75"/>
      <c r="BM841" s="75"/>
      <c r="BN841" s="73"/>
      <c r="BO841" s="75"/>
      <c r="BP841" s="75"/>
      <c r="BQ841" s="75"/>
      <c r="BR841" s="75"/>
      <c r="BS841" s="75"/>
      <c r="BT841" s="75"/>
      <c r="BU841" s="75"/>
      <c r="BV841" s="75"/>
      <c r="BW841" s="75"/>
      <c r="BX841" s="75"/>
      <c r="BY841" s="75"/>
      <c r="BZ841" s="75"/>
      <c r="CA841" s="73"/>
      <c r="CB841" s="75"/>
      <c r="CC841" s="75"/>
      <c r="CD841" s="75"/>
      <c r="CE841" s="73"/>
      <c r="CF841" s="75"/>
      <c r="CG841" s="75"/>
      <c r="CH841" s="75"/>
      <c r="CI841" s="73"/>
      <c r="CJ841" s="75"/>
      <c r="CK841" s="75"/>
      <c r="CL841" s="75"/>
      <c r="CM841" s="73"/>
      <c r="CN841" s="75"/>
      <c r="CO841" s="75"/>
      <c r="CP841" s="75"/>
      <c r="CQ841" s="73"/>
      <c r="CR841" s="75"/>
      <c r="CS841" s="75"/>
      <c r="CT841" s="75"/>
      <c r="CU841" s="73"/>
      <c r="CV841" s="75"/>
      <c r="CW841" s="75"/>
      <c r="CX841" s="75"/>
      <c r="CY841" s="73"/>
      <c r="CZ841" s="75"/>
      <c r="DA841" s="75"/>
      <c r="DB841" s="75"/>
      <c r="DC841" s="73"/>
      <c r="DD841" s="75"/>
      <c r="DE841" s="75"/>
      <c r="DF841" s="75"/>
      <c r="DG841" s="73"/>
      <c r="DH841" s="75"/>
      <c r="DI841" s="75"/>
      <c r="DJ841" s="75"/>
      <c r="DK841" s="76"/>
    </row>
    <row r="842" spans="63:115" x14ac:dyDescent="0.25">
      <c r="BK842" s="75"/>
      <c r="BL842" s="75"/>
      <c r="BM842" s="75"/>
      <c r="BN842" s="73"/>
      <c r="BO842" s="75"/>
      <c r="BP842" s="75"/>
      <c r="BQ842" s="75"/>
      <c r="BR842" s="75"/>
      <c r="BS842" s="75"/>
      <c r="BT842" s="75"/>
      <c r="BU842" s="75"/>
      <c r="BV842" s="75"/>
      <c r="BW842" s="75"/>
      <c r="BX842" s="75"/>
      <c r="BY842" s="75"/>
      <c r="BZ842" s="75"/>
      <c r="CA842" s="73"/>
      <c r="CB842" s="75"/>
      <c r="CC842" s="75"/>
      <c r="CD842" s="75"/>
      <c r="CE842" s="73"/>
      <c r="CF842" s="75"/>
      <c r="CG842" s="75"/>
      <c r="CH842" s="75"/>
      <c r="CI842" s="73"/>
      <c r="CJ842" s="75"/>
      <c r="CK842" s="75"/>
      <c r="CL842" s="75"/>
      <c r="CM842" s="73"/>
      <c r="CN842" s="75"/>
      <c r="CO842" s="75"/>
      <c r="CP842" s="75"/>
      <c r="CQ842" s="73"/>
      <c r="CR842" s="75"/>
      <c r="CS842" s="75"/>
      <c r="CT842" s="75"/>
      <c r="CU842" s="73"/>
      <c r="CV842" s="75"/>
      <c r="CW842" s="75"/>
      <c r="CX842" s="75"/>
      <c r="CY842" s="73"/>
      <c r="CZ842" s="75"/>
      <c r="DA842" s="75"/>
      <c r="DB842" s="75"/>
      <c r="DC842" s="73"/>
      <c r="DD842" s="75"/>
      <c r="DE842" s="75"/>
      <c r="DF842" s="75"/>
      <c r="DG842" s="73"/>
      <c r="DH842" s="75"/>
      <c r="DI842" s="75"/>
      <c r="DJ842" s="75"/>
      <c r="DK842" s="76"/>
    </row>
    <row r="843" spans="63:115" x14ac:dyDescent="0.25">
      <c r="BK843" s="75"/>
      <c r="BL843" s="75"/>
      <c r="BM843" s="75"/>
      <c r="BN843" s="73"/>
      <c r="BO843" s="75"/>
      <c r="BP843" s="75"/>
      <c r="BQ843" s="75"/>
      <c r="BR843" s="75"/>
      <c r="BS843" s="75"/>
      <c r="BT843" s="75"/>
      <c r="BU843" s="75"/>
      <c r="BV843" s="75"/>
      <c r="BW843" s="75"/>
      <c r="BX843" s="75"/>
      <c r="BY843" s="75"/>
      <c r="BZ843" s="75"/>
      <c r="CA843" s="73"/>
      <c r="CB843" s="75"/>
      <c r="CC843" s="75"/>
      <c r="CD843" s="75"/>
      <c r="CE843" s="73"/>
      <c r="CF843" s="75"/>
      <c r="CG843" s="75"/>
      <c r="CH843" s="75"/>
      <c r="CI843" s="73"/>
      <c r="CJ843" s="75"/>
      <c r="CK843" s="75"/>
      <c r="CL843" s="75"/>
      <c r="CM843" s="73"/>
      <c r="CN843" s="75"/>
      <c r="CO843" s="75"/>
      <c r="CP843" s="75"/>
      <c r="CQ843" s="73"/>
      <c r="CR843" s="75"/>
      <c r="CS843" s="75"/>
      <c r="CT843" s="75"/>
      <c r="CU843" s="73"/>
      <c r="CV843" s="75"/>
      <c r="CW843" s="75"/>
      <c r="CX843" s="75"/>
      <c r="CY843" s="73"/>
      <c r="CZ843" s="75"/>
      <c r="DA843" s="75"/>
      <c r="DB843" s="75"/>
      <c r="DC843" s="73"/>
      <c r="DD843" s="75"/>
      <c r="DE843" s="75"/>
      <c r="DF843" s="75"/>
      <c r="DG843" s="73"/>
      <c r="DH843" s="75"/>
      <c r="DI843" s="75"/>
      <c r="DJ843" s="75"/>
      <c r="DK843" s="76"/>
    </row>
    <row r="844" spans="63:115" x14ac:dyDescent="0.25">
      <c r="BK844" s="75"/>
      <c r="BL844" s="75"/>
      <c r="BM844" s="75"/>
      <c r="BN844" s="73"/>
      <c r="BO844" s="75"/>
      <c r="BP844" s="75"/>
      <c r="BQ844" s="75"/>
      <c r="BR844" s="75"/>
      <c r="BS844" s="75"/>
      <c r="BT844" s="75"/>
      <c r="BU844" s="75"/>
      <c r="BV844" s="75"/>
      <c r="BW844" s="75"/>
      <c r="BX844" s="75"/>
      <c r="BY844" s="75"/>
      <c r="BZ844" s="75"/>
      <c r="CA844" s="73"/>
      <c r="CB844" s="75"/>
      <c r="CC844" s="75"/>
      <c r="CD844" s="75"/>
      <c r="CE844" s="73"/>
      <c r="CF844" s="75"/>
      <c r="CG844" s="75"/>
      <c r="CH844" s="75"/>
      <c r="CI844" s="73"/>
      <c r="CJ844" s="75"/>
      <c r="CK844" s="75"/>
      <c r="CL844" s="75"/>
      <c r="CM844" s="73"/>
      <c r="CN844" s="75"/>
      <c r="CO844" s="75"/>
      <c r="CP844" s="75"/>
      <c r="CQ844" s="73"/>
      <c r="CR844" s="75"/>
      <c r="CS844" s="75"/>
      <c r="CT844" s="75"/>
      <c r="CU844" s="73"/>
      <c r="CV844" s="75"/>
      <c r="CW844" s="75"/>
      <c r="CX844" s="75"/>
      <c r="CY844" s="73"/>
      <c r="CZ844" s="75"/>
      <c r="DA844" s="75"/>
      <c r="DB844" s="75"/>
      <c r="DC844" s="73"/>
      <c r="DD844" s="75"/>
      <c r="DE844" s="75"/>
      <c r="DF844" s="75"/>
      <c r="DG844" s="73"/>
      <c r="DH844" s="75"/>
      <c r="DI844" s="75"/>
      <c r="DJ844" s="75"/>
      <c r="DK844" s="76"/>
    </row>
    <row r="845" spans="63:115" x14ac:dyDescent="0.25">
      <c r="BK845" s="75"/>
      <c r="BL845" s="75"/>
      <c r="BM845" s="75"/>
      <c r="BN845" s="73"/>
      <c r="BO845" s="75"/>
      <c r="BP845" s="75"/>
      <c r="BQ845" s="75"/>
      <c r="BR845" s="75"/>
      <c r="BS845" s="75"/>
      <c r="BT845" s="75"/>
      <c r="BU845" s="75"/>
      <c r="BV845" s="75"/>
      <c r="BW845" s="75"/>
      <c r="BX845" s="75"/>
      <c r="BY845" s="75"/>
      <c r="BZ845" s="75"/>
      <c r="CA845" s="73"/>
      <c r="CB845" s="75"/>
      <c r="CC845" s="75"/>
      <c r="CD845" s="75"/>
      <c r="CE845" s="73"/>
      <c r="CF845" s="75"/>
      <c r="CG845" s="75"/>
      <c r="CH845" s="75"/>
      <c r="CI845" s="73"/>
      <c r="CJ845" s="75"/>
      <c r="CK845" s="75"/>
      <c r="CL845" s="75"/>
      <c r="CM845" s="73"/>
      <c r="CN845" s="75"/>
      <c r="CO845" s="75"/>
      <c r="CP845" s="75"/>
      <c r="CQ845" s="73"/>
      <c r="CR845" s="75"/>
      <c r="CS845" s="75"/>
      <c r="CT845" s="75"/>
      <c r="CU845" s="73"/>
      <c r="CV845" s="75"/>
      <c r="CW845" s="75"/>
      <c r="CX845" s="75"/>
      <c r="CY845" s="73"/>
      <c r="CZ845" s="75"/>
      <c r="DA845" s="75"/>
      <c r="DB845" s="75"/>
      <c r="DC845" s="73"/>
      <c r="DD845" s="75"/>
      <c r="DE845" s="75"/>
      <c r="DF845" s="75"/>
      <c r="DG845" s="73"/>
      <c r="DH845" s="75"/>
      <c r="DI845" s="75"/>
      <c r="DJ845" s="75"/>
      <c r="DK845" s="76"/>
    </row>
    <row r="846" spans="63:115" x14ac:dyDescent="0.25">
      <c r="BK846" s="75"/>
      <c r="BL846" s="75"/>
      <c r="BM846" s="75"/>
      <c r="BN846" s="73"/>
      <c r="BO846" s="75"/>
      <c r="BP846" s="75"/>
      <c r="BQ846" s="75"/>
      <c r="BR846" s="75"/>
      <c r="BS846" s="75"/>
      <c r="BT846" s="75"/>
      <c r="BU846" s="75"/>
      <c r="BV846" s="75"/>
      <c r="BW846" s="75"/>
      <c r="BX846" s="75"/>
      <c r="BY846" s="75"/>
      <c r="BZ846" s="75"/>
      <c r="CA846" s="73"/>
      <c r="CB846" s="75"/>
      <c r="CC846" s="75"/>
      <c r="CD846" s="75"/>
      <c r="CE846" s="73"/>
      <c r="CF846" s="75"/>
      <c r="CG846" s="75"/>
      <c r="CH846" s="75"/>
      <c r="CI846" s="73"/>
      <c r="CJ846" s="75"/>
      <c r="CK846" s="75"/>
      <c r="CL846" s="75"/>
      <c r="CM846" s="73"/>
      <c r="CN846" s="75"/>
      <c r="CO846" s="75"/>
      <c r="CP846" s="75"/>
      <c r="CQ846" s="73"/>
      <c r="CR846" s="75"/>
      <c r="CS846" s="75"/>
      <c r="CT846" s="75"/>
      <c r="CU846" s="73"/>
      <c r="CV846" s="75"/>
      <c r="CW846" s="75"/>
      <c r="CX846" s="75"/>
      <c r="CY846" s="73"/>
      <c r="CZ846" s="75"/>
      <c r="DA846" s="75"/>
      <c r="DB846" s="75"/>
      <c r="DC846" s="73"/>
      <c r="DD846" s="75"/>
      <c r="DE846" s="75"/>
      <c r="DF846" s="75"/>
      <c r="DG846" s="73"/>
      <c r="DH846" s="75"/>
      <c r="DI846" s="75"/>
      <c r="DJ846" s="75"/>
      <c r="DK846" s="76"/>
    </row>
    <row r="847" spans="63:115" x14ac:dyDescent="0.25">
      <c r="BK847" s="75"/>
      <c r="BL847" s="75"/>
      <c r="BM847" s="75"/>
      <c r="BN847" s="73"/>
      <c r="BO847" s="75"/>
      <c r="BP847" s="75"/>
      <c r="BQ847" s="75"/>
      <c r="BR847" s="75"/>
      <c r="BS847" s="75"/>
      <c r="BT847" s="75"/>
      <c r="BU847" s="75"/>
      <c r="BV847" s="75"/>
      <c r="BW847" s="75"/>
      <c r="BX847" s="75"/>
      <c r="BY847" s="75"/>
      <c r="BZ847" s="75"/>
      <c r="CA847" s="73"/>
      <c r="CB847" s="75"/>
      <c r="CC847" s="75"/>
      <c r="CD847" s="75"/>
      <c r="CE847" s="73"/>
      <c r="CF847" s="75"/>
      <c r="CG847" s="75"/>
      <c r="CH847" s="75"/>
      <c r="CI847" s="73"/>
      <c r="CJ847" s="75"/>
      <c r="CK847" s="75"/>
      <c r="CL847" s="75"/>
      <c r="CM847" s="73"/>
      <c r="CN847" s="75"/>
      <c r="CO847" s="75"/>
      <c r="CP847" s="75"/>
      <c r="CQ847" s="73"/>
      <c r="CR847" s="75"/>
      <c r="CS847" s="75"/>
      <c r="CT847" s="75"/>
      <c r="CU847" s="73"/>
      <c r="CV847" s="75"/>
      <c r="CW847" s="75"/>
      <c r="CX847" s="75"/>
      <c r="CY847" s="73"/>
      <c r="CZ847" s="75"/>
      <c r="DA847" s="75"/>
      <c r="DB847" s="75"/>
      <c r="DC847" s="73"/>
      <c r="DD847" s="75"/>
      <c r="DE847" s="75"/>
      <c r="DF847" s="75"/>
      <c r="DG847" s="73"/>
      <c r="DH847" s="75"/>
      <c r="DI847" s="75"/>
      <c r="DJ847" s="75"/>
      <c r="DK847" s="76"/>
    </row>
    <row r="848" spans="63:115" x14ac:dyDescent="0.25">
      <c r="BK848" s="75"/>
      <c r="BL848" s="75"/>
      <c r="BM848" s="75"/>
      <c r="BN848" s="73"/>
      <c r="BO848" s="75"/>
      <c r="BP848" s="75"/>
      <c r="BQ848" s="75"/>
      <c r="BR848" s="75"/>
      <c r="BS848" s="75"/>
      <c r="BT848" s="75"/>
      <c r="BU848" s="75"/>
      <c r="BV848" s="75"/>
      <c r="BW848" s="75"/>
      <c r="BX848" s="75"/>
      <c r="BY848" s="75"/>
      <c r="BZ848" s="75"/>
      <c r="CA848" s="73"/>
      <c r="CB848" s="75"/>
      <c r="CC848" s="75"/>
      <c r="CD848" s="75"/>
      <c r="CE848" s="73"/>
      <c r="CF848" s="75"/>
      <c r="CG848" s="75"/>
      <c r="CH848" s="75"/>
      <c r="CI848" s="73"/>
      <c r="CJ848" s="75"/>
      <c r="CK848" s="75"/>
      <c r="CL848" s="75"/>
      <c r="CM848" s="73"/>
      <c r="CN848" s="75"/>
      <c r="CO848" s="75"/>
      <c r="CP848" s="75"/>
      <c r="CQ848" s="73"/>
      <c r="CR848" s="75"/>
      <c r="CS848" s="75"/>
      <c r="CT848" s="75"/>
      <c r="CU848" s="73"/>
      <c r="CV848" s="75"/>
      <c r="CW848" s="75"/>
      <c r="CX848" s="75"/>
      <c r="CY848" s="73"/>
      <c r="CZ848" s="75"/>
      <c r="DA848" s="75"/>
      <c r="DB848" s="75"/>
      <c r="DC848" s="73"/>
      <c r="DD848" s="75"/>
      <c r="DE848" s="75"/>
      <c r="DF848" s="75"/>
      <c r="DG848" s="73"/>
      <c r="DH848" s="75"/>
      <c r="DI848" s="75"/>
      <c r="DJ848" s="75"/>
      <c r="DK848" s="76"/>
    </row>
    <row r="849" spans="63:115" x14ac:dyDescent="0.25">
      <c r="BK849" s="75"/>
      <c r="BL849" s="75"/>
      <c r="BM849" s="75"/>
      <c r="BN849" s="73"/>
      <c r="BO849" s="75"/>
      <c r="BP849" s="75"/>
      <c r="BQ849" s="75"/>
      <c r="BR849" s="75"/>
      <c r="BS849" s="75"/>
      <c r="BT849" s="75"/>
      <c r="BU849" s="75"/>
      <c r="BV849" s="75"/>
      <c r="BW849" s="75"/>
      <c r="BX849" s="75"/>
      <c r="BY849" s="75"/>
      <c r="BZ849" s="75"/>
      <c r="CA849" s="73"/>
      <c r="CB849" s="75"/>
      <c r="CC849" s="75"/>
      <c r="CD849" s="75"/>
      <c r="CE849" s="73"/>
      <c r="CF849" s="75"/>
      <c r="CG849" s="75"/>
      <c r="CH849" s="75"/>
      <c r="CI849" s="73"/>
      <c r="CJ849" s="75"/>
      <c r="CK849" s="75"/>
      <c r="CL849" s="75"/>
      <c r="CM849" s="73"/>
      <c r="CN849" s="75"/>
      <c r="CO849" s="75"/>
      <c r="CP849" s="75"/>
      <c r="CQ849" s="73"/>
      <c r="CR849" s="75"/>
      <c r="CS849" s="75"/>
      <c r="CT849" s="75"/>
      <c r="CU849" s="73"/>
      <c r="CV849" s="75"/>
      <c r="CW849" s="75"/>
      <c r="CX849" s="75"/>
      <c r="CY849" s="73"/>
      <c r="CZ849" s="75"/>
      <c r="DA849" s="75"/>
      <c r="DB849" s="75"/>
      <c r="DC849" s="73"/>
      <c r="DD849" s="75"/>
      <c r="DE849" s="75"/>
      <c r="DF849" s="75"/>
      <c r="DG849" s="73"/>
      <c r="DH849" s="75"/>
      <c r="DI849" s="75"/>
      <c r="DJ849" s="75"/>
      <c r="DK849" s="76"/>
    </row>
    <row r="850" spans="63:115" x14ac:dyDescent="0.25">
      <c r="BK850" s="75"/>
      <c r="BL850" s="75"/>
      <c r="BM850" s="75"/>
      <c r="BN850" s="73"/>
      <c r="BO850" s="75"/>
      <c r="BP850" s="75"/>
      <c r="BQ850" s="75"/>
      <c r="BR850" s="75"/>
      <c r="BS850" s="75"/>
      <c r="BT850" s="75"/>
      <c r="BU850" s="75"/>
      <c r="BV850" s="75"/>
      <c r="BW850" s="75"/>
      <c r="BX850" s="75"/>
      <c r="BY850" s="75"/>
      <c r="BZ850" s="75"/>
      <c r="CA850" s="73"/>
      <c r="CB850" s="75"/>
      <c r="CC850" s="75"/>
      <c r="CD850" s="75"/>
      <c r="CE850" s="73"/>
      <c r="CF850" s="75"/>
      <c r="CG850" s="75"/>
      <c r="CH850" s="75"/>
      <c r="CI850" s="73"/>
      <c r="CJ850" s="75"/>
      <c r="CK850" s="75"/>
      <c r="CL850" s="75"/>
      <c r="CM850" s="73"/>
      <c r="CN850" s="75"/>
      <c r="CO850" s="75"/>
      <c r="CP850" s="75"/>
      <c r="CQ850" s="73"/>
      <c r="CR850" s="75"/>
      <c r="CS850" s="75"/>
      <c r="CT850" s="75"/>
      <c r="CU850" s="73"/>
      <c r="CV850" s="75"/>
      <c r="CW850" s="75"/>
      <c r="CX850" s="75"/>
      <c r="CY850" s="73"/>
      <c r="CZ850" s="75"/>
      <c r="DA850" s="75"/>
      <c r="DB850" s="75"/>
      <c r="DC850" s="73"/>
      <c r="DD850" s="75"/>
      <c r="DE850" s="75"/>
      <c r="DF850" s="75"/>
      <c r="DG850" s="73"/>
      <c r="DH850" s="75"/>
      <c r="DI850" s="75"/>
      <c r="DJ850" s="75"/>
      <c r="DK850" s="76"/>
    </row>
    <row r="851" spans="63:115" x14ac:dyDescent="0.25">
      <c r="BK851" s="75"/>
      <c r="BL851" s="75"/>
      <c r="BM851" s="75"/>
      <c r="BN851" s="73"/>
      <c r="BO851" s="75"/>
      <c r="BP851" s="75"/>
      <c r="BQ851" s="75"/>
      <c r="BR851" s="75"/>
      <c r="BS851" s="75"/>
      <c r="BT851" s="75"/>
      <c r="BU851" s="75"/>
      <c r="BV851" s="75"/>
      <c r="BW851" s="75"/>
      <c r="BX851" s="75"/>
      <c r="BY851" s="75"/>
      <c r="BZ851" s="75"/>
      <c r="CA851" s="73"/>
      <c r="CB851" s="75"/>
      <c r="CC851" s="75"/>
      <c r="CD851" s="75"/>
      <c r="CE851" s="73"/>
      <c r="CF851" s="75"/>
      <c r="CG851" s="75"/>
      <c r="CH851" s="75"/>
      <c r="CI851" s="73"/>
      <c r="CJ851" s="75"/>
      <c r="CK851" s="75"/>
      <c r="CL851" s="75"/>
      <c r="CM851" s="73"/>
      <c r="CN851" s="75"/>
      <c r="CO851" s="75"/>
      <c r="CP851" s="75"/>
      <c r="CQ851" s="73"/>
      <c r="CR851" s="75"/>
      <c r="CS851" s="75"/>
      <c r="CT851" s="75"/>
      <c r="CU851" s="73"/>
      <c r="CV851" s="75"/>
      <c r="CW851" s="75"/>
      <c r="CX851" s="75"/>
      <c r="CY851" s="73"/>
      <c r="CZ851" s="75"/>
      <c r="DA851" s="75"/>
      <c r="DB851" s="75"/>
      <c r="DC851" s="73"/>
      <c r="DD851" s="75"/>
      <c r="DE851" s="75"/>
      <c r="DF851" s="75"/>
      <c r="DG851" s="73"/>
      <c r="DH851" s="75"/>
      <c r="DI851" s="75"/>
      <c r="DJ851" s="75"/>
      <c r="DK851" s="76"/>
    </row>
    <row r="852" spans="63:115" x14ac:dyDescent="0.25">
      <c r="BK852" s="75"/>
      <c r="BL852" s="75"/>
      <c r="BM852" s="75"/>
      <c r="BN852" s="73"/>
      <c r="BO852" s="75"/>
      <c r="BP852" s="75"/>
      <c r="BQ852" s="75"/>
      <c r="BR852" s="75"/>
      <c r="BS852" s="75"/>
      <c r="BT852" s="75"/>
      <c r="BU852" s="75"/>
      <c r="BV852" s="75"/>
      <c r="BW852" s="75"/>
      <c r="BX852" s="75"/>
      <c r="BY852" s="75"/>
      <c r="BZ852" s="75"/>
      <c r="CA852" s="73"/>
      <c r="CB852" s="75"/>
      <c r="CC852" s="75"/>
      <c r="CD852" s="75"/>
      <c r="CE852" s="73"/>
      <c r="CF852" s="75"/>
      <c r="CG852" s="75"/>
      <c r="CH852" s="75"/>
      <c r="CI852" s="73"/>
      <c r="CJ852" s="75"/>
      <c r="CK852" s="75"/>
      <c r="CL852" s="75"/>
      <c r="CM852" s="73"/>
      <c r="CN852" s="75"/>
      <c r="CO852" s="75"/>
      <c r="CP852" s="75"/>
      <c r="CQ852" s="73"/>
      <c r="CR852" s="75"/>
      <c r="CS852" s="75"/>
      <c r="CT852" s="75"/>
      <c r="CU852" s="73"/>
      <c r="CV852" s="75"/>
      <c r="CW852" s="75"/>
      <c r="CX852" s="75"/>
      <c r="CY852" s="73"/>
      <c r="CZ852" s="75"/>
      <c r="DA852" s="75"/>
      <c r="DB852" s="75"/>
      <c r="DC852" s="73"/>
      <c r="DD852" s="75"/>
      <c r="DE852" s="75"/>
      <c r="DF852" s="75"/>
      <c r="DG852" s="73"/>
      <c r="DH852" s="75"/>
      <c r="DI852" s="75"/>
      <c r="DJ852" s="75"/>
      <c r="DK852" s="76"/>
    </row>
    <row r="853" spans="63:115" x14ac:dyDescent="0.25">
      <c r="BK853" s="75"/>
      <c r="BL853" s="75"/>
      <c r="BM853" s="75"/>
      <c r="BN853" s="73"/>
      <c r="BO853" s="75"/>
      <c r="BP853" s="75"/>
      <c r="BQ853" s="75"/>
      <c r="BR853" s="75"/>
      <c r="BS853" s="75"/>
      <c r="BT853" s="75"/>
      <c r="BU853" s="75"/>
      <c r="BV853" s="75"/>
      <c r="BW853" s="75"/>
      <c r="BX853" s="75"/>
      <c r="BY853" s="75"/>
      <c r="BZ853" s="75"/>
      <c r="CA853" s="73"/>
      <c r="CB853" s="75"/>
      <c r="CC853" s="75"/>
      <c r="CD853" s="75"/>
      <c r="CE853" s="73"/>
      <c r="CF853" s="75"/>
      <c r="CG853" s="75"/>
      <c r="CH853" s="75"/>
      <c r="CI853" s="73"/>
      <c r="CJ853" s="75"/>
      <c r="CK853" s="75"/>
      <c r="CL853" s="75"/>
      <c r="CM853" s="73"/>
      <c r="CN853" s="75"/>
      <c r="CO853" s="75"/>
      <c r="CP853" s="75"/>
      <c r="CQ853" s="73"/>
      <c r="CR853" s="75"/>
      <c r="CS853" s="75"/>
      <c r="CT853" s="75"/>
      <c r="CU853" s="73"/>
      <c r="CV853" s="75"/>
      <c r="CW853" s="75"/>
      <c r="CX853" s="75"/>
      <c r="CY853" s="73"/>
      <c r="CZ853" s="75"/>
      <c r="DA853" s="75"/>
      <c r="DB853" s="75"/>
      <c r="DC853" s="73"/>
      <c r="DD853" s="75"/>
      <c r="DE853" s="75"/>
      <c r="DF853" s="75"/>
      <c r="DG853" s="73"/>
      <c r="DH853" s="75"/>
      <c r="DI853" s="75"/>
      <c r="DJ853" s="75"/>
      <c r="DK853" s="76"/>
    </row>
    <row r="854" spans="63:115" x14ac:dyDescent="0.25">
      <c r="BK854" s="75"/>
      <c r="BL854" s="75"/>
      <c r="BM854" s="75"/>
      <c r="BN854" s="73"/>
      <c r="BO854" s="75"/>
      <c r="BP854" s="75"/>
      <c r="BQ854" s="75"/>
      <c r="BR854" s="75"/>
      <c r="BS854" s="75"/>
      <c r="BT854" s="75"/>
      <c r="BU854" s="75"/>
      <c r="BV854" s="75"/>
      <c r="BW854" s="75"/>
      <c r="BX854" s="75"/>
      <c r="BY854" s="75"/>
      <c r="BZ854" s="75"/>
      <c r="CA854" s="73"/>
      <c r="CB854" s="75"/>
      <c r="CC854" s="75"/>
      <c r="CD854" s="75"/>
      <c r="CE854" s="73"/>
      <c r="CF854" s="75"/>
      <c r="CG854" s="75"/>
      <c r="CH854" s="75"/>
      <c r="CI854" s="73"/>
      <c r="CJ854" s="75"/>
      <c r="CK854" s="75"/>
      <c r="CL854" s="75"/>
      <c r="CM854" s="73"/>
      <c r="CN854" s="75"/>
      <c r="CO854" s="75"/>
      <c r="CP854" s="75"/>
      <c r="CQ854" s="73"/>
      <c r="CR854" s="75"/>
      <c r="CS854" s="75"/>
      <c r="CT854" s="75"/>
      <c r="CU854" s="73"/>
      <c r="CV854" s="75"/>
      <c r="CW854" s="75"/>
      <c r="CX854" s="75"/>
      <c r="CY854" s="73"/>
      <c r="CZ854" s="75"/>
      <c r="DA854" s="75"/>
      <c r="DB854" s="75"/>
      <c r="DC854" s="73"/>
      <c r="DD854" s="75"/>
      <c r="DE854" s="75"/>
      <c r="DF854" s="75"/>
      <c r="DG854" s="73"/>
      <c r="DH854" s="75"/>
      <c r="DI854" s="75"/>
      <c r="DJ854" s="75"/>
      <c r="DK854" s="76"/>
    </row>
    <row r="855" spans="63:115" x14ac:dyDescent="0.25">
      <c r="BK855" s="75"/>
      <c r="BL855" s="75"/>
      <c r="BM855" s="75"/>
      <c r="BN855" s="73"/>
      <c r="BO855" s="75"/>
      <c r="BP855" s="75"/>
      <c r="BQ855" s="75"/>
      <c r="BR855" s="75"/>
      <c r="BS855" s="75"/>
      <c r="BT855" s="75"/>
      <c r="BU855" s="75"/>
      <c r="BV855" s="75"/>
      <c r="BW855" s="75"/>
      <c r="BX855" s="75"/>
      <c r="BY855" s="75"/>
      <c r="BZ855" s="75"/>
      <c r="CA855" s="73"/>
      <c r="CB855" s="75"/>
      <c r="CC855" s="75"/>
      <c r="CD855" s="75"/>
      <c r="CE855" s="73"/>
      <c r="CF855" s="75"/>
      <c r="CG855" s="75"/>
      <c r="CH855" s="75"/>
      <c r="CI855" s="73"/>
      <c r="CJ855" s="75"/>
      <c r="CK855" s="75"/>
      <c r="CL855" s="75"/>
      <c r="CM855" s="73"/>
      <c r="CN855" s="75"/>
      <c r="CO855" s="75"/>
      <c r="CP855" s="75"/>
      <c r="CQ855" s="73"/>
      <c r="CR855" s="75"/>
      <c r="CS855" s="75"/>
      <c r="CT855" s="75"/>
      <c r="CU855" s="73"/>
      <c r="CV855" s="75"/>
      <c r="CW855" s="75"/>
      <c r="CX855" s="75"/>
      <c r="CY855" s="73"/>
      <c r="CZ855" s="75"/>
      <c r="DA855" s="75"/>
      <c r="DB855" s="75"/>
      <c r="DC855" s="73"/>
      <c r="DD855" s="75"/>
      <c r="DE855" s="75"/>
      <c r="DF855" s="75"/>
      <c r="DG855" s="73"/>
      <c r="DH855" s="75"/>
      <c r="DI855" s="75"/>
      <c r="DJ855" s="75"/>
      <c r="DK855" s="76"/>
    </row>
    <row r="856" spans="63:115" x14ac:dyDescent="0.25">
      <c r="BK856" s="75"/>
      <c r="BL856" s="75"/>
      <c r="BM856" s="75"/>
      <c r="BN856" s="73"/>
      <c r="BO856" s="75"/>
      <c r="BP856" s="75"/>
      <c r="BQ856" s="75"/>
      <c r="BR856" s="75"/>
      <c r="BS856" s="75"/>
      <c r="BT856" s="75"/>
      <c r="BU856" s="75"/>
      <c r="BV856" s="75"/>
      <c r="BW856" s="75"/>
      <c r="BX856" s="75"/>
      <c r="BY856" s="75"/>
      <c r="BZ856" s="75"/>
      <c r="CA856" s="73"/>
      <c r="CB856" s="75"/>
      <c r="CC856" s="75"/>
      <c r="CD856" s="75"/>
      <c r="CE856" s="73"/>
      <c r="CF856" s="75"/>
      <c r="CG856" s="75"/>
      <c r="CH856" s="75"/>
      <c r="CI856" s="73"/>
      <c r="CJ856" s="75"/>
      <c r="CK856" s="75"/>
      <c r="CL856" s="75"/>
      <c r="CM856" s="73"/>
      <c r="CN856" s="75"/>
      <c r="CO856" s="75"/>
      <c r="CP856" s="75"/>
      <c r="CQ856" s="73"/>
      <c r="CR856" s="75"/>
      <c r="CS856" s="75"/>
      <c r="CT856" s="75"/>
      <c r="CU856" s="73"/>
      <c r="CV856" s="75"/>
      <c r="CW856" s="75"/>
      <c r="CX856" s="75"/>
      <c r="CY856" s="73"/>
      <c r="CZ856" s="75"/>
      <c r="DA856" s="75"/>
      <c r="DB856" s="75"/>
      <c r="DC856" s="73"/>
      <c r="DD856" s="75"/>
      <c r="DE856" s="75"/>
      <c r="DF856" s="75"/>
      <c r="DG856" s="73"/>
      <c r="DH856" s="75"/>
      <c r="DI856" s="75"/>
      <c r="DJ856" s="75"/>
      <c r="DK856" s="76"/>
    </row>
    <row r="857" spans="63:115" x14ac:dyDescent="0.25">
      <c r="BK857" s="75"/>
      <c r="BL857" s="75"/>
      <c r="BM857" s="75"/>
      <c r="BN857" s="73"/>
      <c r="BO857" s="75"/>
      <c r="BP857" s="75"/>
      <c r="BQ857" s="75"/>
      <c r="BR857" s="75"/>
      <c r="BS857" s="75"/>
      <c r="BT857" s="75"/>
      <c r="BU857" s="75"/>
      <c r="BV857" s="75"/>
      <c r="BW857" s="75"/>
      <c r="BX857" s="75"/>
      <c r="BY857" s="75"/>
      <c r="BZ857" s="75"/>
      <c r="CA857" s="73"/>
      <c r="CB857" s="75"/>
      <c r="CC857" s="75"/>
      <c r="CD857" s="75"/>
      <c r="CE857" s="73"/>
      <c r="CF857" s="75"/>
      <c r="CG857" s="75"/>
      <c r="CH857" s="75"/>
      <c r="CI857" s="73"/>
      <c r="CJ857" s="75"/>
      <c r="CK857" s="75"/>
      <c r="CL857" s="75"/>
      <c r="CM857" s="73"/>
      <c r="CN857" s="75"/>
      <c r="CO857" s="75"/>
      <c r="CP857" s="75"/>
      <c r="CQ857" s="73"/>
      <c r="CR857" s="75"/>
      <c r="CS857" s="75"/>
      <c r="CT857" s="75"/>
      <c r="CU857" s="73"/>
      <c r="CV857" s="75"/>
      <c r="CW857" s="75"/>
      <c r="CX857" s="75"/>
      <c r="CY857" s="73"/>
      <c r="CZ857" s="75"/>
      <c r="DA857" s="75"/>
      <c r="DB857" s="75"/>
      <c r="DC857" s="73"/>
      <c r="DD857" s="75"/>
      <c r="DE857" s="75"/>
      <c r="DF857" s="75"/>
      <c r="DG857" s="73"/>
      <c r="DH857" s="75"/>
      <c r="DI857" s="75"/>
      <c r="DJ857" s="75"/>
      <c r="DK857" s="76"/>
    </row>
    <row r="858" spans="63:115" x14ac:dyDescent="0.25">
      <c r="BK858" s="75"/>
      <c r="BL858" s="75"/>
      <c r="BM858" s="75"/>
      <c r="BN858" s="73"/>
      <c r="BO858" s="75"/>
      <c r="BP858" s="75"/>
      <c r="BQ858" s="75"/>
      <c r="BR858" s="75"/>
      <c r="BS858" s="75"/>
      <c r="BT858" s="75"/>
      <c r="BU858" s="75"/>
      <c r="BV858" s="75"/>
      <c r="BW858" s="75"/>
      <c r="BX858" s="75"/>
      <c r="BY858" s="75"/>
      <c r="BZ858" s="75"/>
      <c r="CA858" s="73"/>
      <c r="CB858" s="75"/>
      <c r="CC858" s="75"/>
      <c r="CD858" s="75"/>
      <c r="CE858" s="73"/>
      <c r="CF858" s="75"/>
      <c r="CG858" s="75"/>
      <c r="CH858" s="75"/>
      <c r="CI858" s="73"/>
      <c r="CJ858" s="75"/>
      <c r="CK858" s="75"/>
      <c r="CL858" s="75"/>
      <c r="CM858" s="73"/>
      <c r="CN858" s="75"/>
      <c r="CO858" s="75"/>
      <c r="CP858" s="75"/>
      <c r="CQ858" s="73"/>
      <c r="CR858" s="75"/>
      <c r="CS858" s="75"/>
      <c r="CT858" s="75"/>
      <c r="CU858" s="73"/>
      <c r="CV858" s="75"/>
      <c r="CW858" s="75"/>
      <c r="CX858" s="75"/>
      <c r="CY858" s="73"/>
      <c r="CZ858" s="75"/>
      <c r="DA858" s="75"/>
      <c r="DB858" s="75"/>
      <c r="DC858" s="73"/>
      <c r="DD858" s="75"/>
      <c r="DE858" s="75"/>
      <c r="DF858" s="75"/>
      <c r="DG858" s="73"/>
      <c r="DH858" s="75"/>
      <c r="DI858" s="75"/>
      <c r="DJ858" s="75"/>
      <c r="DK858" s="76"/>
    </row>
    <row r="859" spans="63:115" x14ac:dyDescent="0.25">
      <c r="BK859" s="75"/>
      <c r="BL859" s="75"/>
      <c r="BM859" s="75"/>
      <c r="BN859" s="73"/>
      <c r="BO859" s="75"/>
      <c r="BP859" s="75"/>
      <c r="BQ859" s="75"/>
      <c r="BR859" s="75"/>
      <c r="BS859" s="75"/>
      <c r="BT859" s="75"/>
      <c r="BU859" s="75"/>
      <c r="BV859" s="75"/>
      <c r="BW859" s="75"/>
      <c r="BX859" s="75"/>
      <c r="BY859" s="75"/>
      <c r="BZ859" s="75"/>
      <c r="CA859" s="73"/>
      <c r="CB859" s="75"/>
      <c r="CC859" s="75"/>
      <c r="CD859" s="75"/>
      <c r="CE859" s="73"/>
      <c r="CF859" s="75"/>
      <c r="CG859" s="75"/>
      <c r="CH859" s="75"/>
      <c r="CI859" s="73"/>
      <c r="CJ859" s="75"/>
      <c r="CK859" s="75"/>
      <c r="CL859" s="75"/>
      <c r="CM859" s="73"/>
      <c r="CN859" s="75"/>
      <c r="CO859" s="75"/>
      <c r="CP859" s="75"/>
      <c r="CQ859" s="73"/>
      <c r="CR859" s="75"/>
      <c r="CS859" s="75"/>
      <c r="CT859" s="75"/>
      <c r="CU859" s="73"/>
      <c r="CV859" s="75"/>
      <c r="CW859" s="75"/>
      <c r="CX859" s="75"/>
      <c r="CY859" s="73"/>
      <c r="CZ859" s="75"/>
      <c r="DA859" s="75"/>
      <c r="DB859" s="75"/>
      <c r="DC859" s="73"/>
      <c r="DD859" s="75"/>
      <c r="DE859" s="75"/>
      <c r="DF859" s="75"/>
      <c r="DG859" s="73"/>
      <c r="DH859" s="75"/>
      <c r="DI859" s="75"/>
      <c r="DJ859" s="75"/>
      <c r="DK859" s="76"/>
    </row>
    <row r="860" spans="63:115" x14ac:dyDescent="0.25">
      <c r="BK860" s="75"/>
      <c r="BL860" s="75"/>
      <c r="BM860" s="75"/>
      <c r="BN860" s="73"/>
      <c r="BO860" s="75"/>
      <c r="BP860" s="75"/>
      <c r="BQ860" s="75"/>
      <c r="BR860" s="75"/>
      <c r="BS860" s="75"/>
      <c r="BT860" s="75"/>
      <c r="BU860" s="75"/>
      <c r="BV860" s="75"/>
      <c r="BW860" s="75"/>
      <c r="BX860" s="75"/>
      <c r="BY860" s="75"/>
      <c r="BZ860" s="75"/>
      <c r="CA860" s="73"/>
      <c r="CB860" s="75"/>
      <c r="CC860" s="75"/>
      <c r="CD860" s="75"/>
      <c r="CE860" s="73"/>
      <c r="CF860" s="75"/>
      <c r="CG860" s="75"/>
      <c r="CH860" s="75"/>
      <c r="CI860" s="73"/>
      <c r="CJ860" s="75"/>
      <c r="CK860" s="75"/>
      <c r="CL860" s="75"/>
      <c r="CM860" s="73"/>
      <c r="CN860" s="75"/>
      <c r="CO860" s="75"/>
      <c r="CP860" s="75"/>
      <c r="CQ860" s="73"/>
      <c r="CR860" s="75"/>
      <c r="CS860" s="75"/>
      <c r="CT860" s="75"/>
      <c r="CU860" s="73"/>
      <c r="CV860" s="75"/>
      <c r="CW860" s="75"/>
      <c r="CX860" s="75"/>
      <c r="CY860" s="73"/>
      <c r="CZ860" s="75"/>
      <c r="DA860" s="75"/>
      <c r="DB860" s="75"/>
      <c r="DC860" s="73"/>
      <c r="DD860" s="75"/>
      <c r="DE860" s="75"/>
      <c r="DF860" s="75"/>
      <c r="DG860" s="73"/>
      <c r="DH860" s="75"/>
      <c r="DI860" s="75"/>
      <c r="DJ860" s="75"/>
      <c r="DK860" s="76"/>
    </row>
    <row r="861" spans="63:115" x14ac:dyDescent="0.25">
      <c r="BK861" s="75"/>
      <c r="BL861" s="75"/>
      <c r="BM861" s="75"/>
      <c r="BN861" s="73"/>
      <c r="BO861" s="75"/>
      <c r="BP861" s="75"/>
      <c r="BQ861" s="75"/>
      <c r="BR861" s="75"/>
      <c r="BS861" s="75"/>
      <c r="BT861" s="75"/>
      <c r="BU861" s="75"/>
      <c r="BV861" s="75"/>
      <c r="BW861" s="75"/>
      <c r="BX861" s="75"/>
      <c r="BY861" s="75"/>
      <c r="BZ861" s="75"/>
      <c r="CA861" s="73"/>
      <c r="CB861" s="75"/>
      <c r="CC861" s="75"/>
      <c r="CD861" s="75"/>
      <c r="CE861" s="73"/>
      <c r="CF861" s="75"/>
      <c r="CG861" s="75"/>
      <c r="CH861" s="75"/>
      <c r="CI861" s="73"/>
      <c r="CJ861" s="75"/>
      <c r="CK861" s="75"/>
      <c r="CL861" s="75"/>
      <c r="CM861" s="73"/>
      <c r="CN861" s="75"/>
      <c r="CO861" s="75"/>
      <c r="CP861" s="75"/>
      <c r="CQ861" s="73"/>
      <c r="CR861" s="75"/>
      <c r="CS861" s="75"/>
      <c r="CT861" s="75"/>
      <c r="CU861" s="73"/>
      <c r="CV861" s="75"/>
      <c r="CW861" s="75"/>
      <c r="CX861" s="75"/>
      <c r="CY861" s="73"/>
      <c r="CZ861" s="75"/>
      <c r="DA861" s="75"/>
      <c r="DB861" s="75"/>
      <c r="DC861" s="73"/>
      <c r="DD861" s="75"/>
      <c r="DE861" s="75"/>
      <c r="DF861" s="75"/>
      <c r="DG861" s="73"/>
      <c r="DH861" s="75"/>
      <c r="DI861" s="75"/>
      <c r="DJ861" s="75"/>
      <c r="DK861" s="76"/>
    </row>
    <row r="862" spans="63:115" x14ac:dyDescent="0.25">
      <c r="BK862" s="75"/>
      <c r="BL862" s="75"/>
      <c r="BM862" s="75"/>
      <c r="BN862" s="73"/>
      <c r="BO862" s="75"/>
      <c r="BP862" s="75"/>
      <c r="BQ862" s="75"/>
      <c r="BR862" s="75"/>
      <c r="BS862" s="75"/>
      <c r="BT862" s="75"/>
      <c r="BU862" s="75"/>
      <c r="BV862" s="75"/>
      <c r="BW862" s="75"/>
      <c r="BX862" s="75"/>
      <c r="BY862" s="75"/>
      <c r="BZ862" s="75"/>
      <c r="CA862" s="73"/>
      <c r="CB862" s="75"/>
      <c r="CC862" s="75"/>
      <c r="CD862" s="75"/>
      <c r="CE862" s="73"/>
      <c r="CF862" s="75"/>
      <c r="CG862" s="75"/>
      <c r="CH862" s="75"/>
      <c r="CI862" s="73"/>
      <c r="CJ862" s="75"/>
      <c r="CK862" s="75"/>
      <c r="CL862" s="75"/>
      <c r="CM862" s="73"/>
      <c r="CN862" s="75"/>
      <c r="CO862" s="75"/>
      <c r="CP862" s="75"/>
      <c r="CQ862" s="73"/>
      <c r="CR862" s="75"/>
      <c r="CS862" s="75"/>
      <c r="CT862" s="75"/>
      <c r="CU862" s="73"/>
      <c r="CV862" s="75"/>
      <c r="CW862" s="75"/>
      <c r="CX862" s="75"/>
      <c r="CY862" s="73"/>
      <c r="CZ862" s="75"/>
      <c r="DA862" s="75"/>
      <c r="DB862" s="75"/>
      <c r="DC862" s="73"/>
      <c r="DD862" s="75"/>
      <c r="DE862" s="75"/>
      <c r="DF862" s="75"/>
      <c r="DG862" s="73"/>
      <c r="DH862" s="75"/>
      <c r="DI862" s="75"/>
      <c r="DJ862" s="75"/>
      <c r="DK862" s="76"/>
    </row>
    <row r="863" spans="63:115" x14ac:dyDescent="0.25">
      <c r="BK863" s="75"/>
      <c r="BL863" s="75"/>
      <c r="BM863" s="75"/>
      <c r="BN863" s="73"/>
      <c r="BO863" s="75"/>
      <c r="BP863" s="75"/>
      <c r="BQ863" s="75"/>
      <c r="BR863" s="75"/>
      <c r="BS863" s="75"/>
      <c r="BT863" s="75"/>
      <c r="BU863" s="75"/>
      <c r="BV863" s="75"/>
      <c r="BW863" s="75"/>
      <c r="BX863" s="75"/>
      <c r="BY863" s="75"/>
      <c r="BZ863" s="75"/>
      <c r="CA863" s="73"/>
      <c r="CB863" s="75"/>
      <c r="CC863" s="75"/>
      <c r="CD863" s="75"/>
      <c r="CE863" s="73"/>
      <c r="CF863" s="75"/>
      <c r="CG863" s="75"/>
      <c r="CH863" s="75"/>
      <c r="CI863" s="73"/>
      <c r="CJ863" s="75"/>
      <c r="CK863" s="75"/>
      <c r="CL863" s="75"/>
      <c r="CM863" s="73"/>
      <c r="CN863" s="75"/>
      <c r="CO863" s="75"/>
      <c r="CP863" s="75"/>
      <c r="CQ863" s="73"/>
      <c r="CR863" s="75"/>
      <c r="CS863" s="75"/>
      <c r="CT863" s="75"/>
      <c r="CU863" s="73"/>
      <c r="CV863" s="75"/>
      <c r="CW863" s="75"/>
      <c r="CX863" s="75"/>
      <c r="CY863" s="73"/>
      <c r="CZ863" s="75"/>
      <c r="DA863" s="75"/>
      <c r="DB863" s="75"/>
      <c r="DC863" s="73"/>
      <c r="DD863" s="75"/>
      <c r="DE863" s="75"/>
      <c r="DF863" s="75"/>
      <c r="DG863" s="73"/>
      <c r="DH863" s="75"/>
      <c r="DI863" s="75"/>
      <c r="DJ863" s="75"/>
      <c r="DK863" s="76"/>
    </row>
    <row r="864" spans="63:115" x14ac:dyDescent="0.25">
      <c r="BK864" s="75"/>
      <c r="BL864" s="75"/>
      <c r="BM864" s="75"/>
      <c r="BN864" s="73"/>
      <c r="BO864" s="75"/>
      <c r="BP864" s="75"/>
      <c r="BQ864" s="75"/>
      <c r="BR864" s="75"/>
      <c r="BS864" s="75"/>
      <c r="BT864" s="75"/>
      <c r="BU864" s="75"/>
      <c r="BV864" s="75"/>
      <c r="BW864" s="75"/>
      <c r="BX864" s="75"/>
      <c r="BY864" s="75"/>
      <c r="BZ864" s="75"/>
      <c r="CA864" s="73"/>
      <c r="CB864" s="75"/>
      <c r="CC864" s="75"/>
      <c r="CD864" s="75"/>
      <c r="CE864" s="73"/>
      <c r="CF864" s="75"/>
      <c r="CG864" s="75"/>
      <c r="CH864" s="75"/>
      <c r="CI864" s="73"/>
      <c r="CJ864" s="75"/>
      <c r="CK864" s="75"/>
      <c r="CL864" s="75"/>
      <c r="CM864" s="73"/>
      <c r="CN864" s="75"/>
      <c r="CO864" s="75"/>
      <c r="CP864" s="75"/>
      <c r="CQ864" s="73"/>
      <c r="CR864" s="75"/>
      <c r="CS864" s="75"/>
      <c r="CT864" s="75"/>
      <c r="CU864" s="73"/>
      <c r="CV864" s="75"/>
      <c r="CW864" s="75"/>
      <c r="CX864" s="75"/>
      <c r="CY864" s="73"/>
      <c r="CZ864" s="75"/>
      <c r="DA864" s="75"/>
      <c r="DB864" s="75"/>
      <c r="DC864" s="73"/>
      <c r="DD864" s="75"/>
      <c r="DE864" s="75"/>
      <c r="DF864" s="75"/>
      <c r="DG864" s="73"/>
      <c r="DH864" s="75"/>
      <c r="DI864" s="75"/>
      <c r="DJ864" s="75"/>
      <c r="DK864" s="76"/>
    </row>
    <row r="865" spans="63:115" x14ac:dyDescent="0.25">
      <c r="BK865" s="75"/>
      <c r="BL865" s="75"/>
      <c r="BM865" s="75"/>
      <c r="BN865" s="73"/>
      <c r="BO865" s="75"/>
      <c r="BP865" s="75"/>
      <c r="BQ865" s="75"/>
      <c r="BR865" s="75"/>
      <c r="BS865" s="75"/>
      <c r="BT865" s="75"/>
      <c r="BU865" s="75"/>
      <c r="BV865" s="75"/>
      <c r="BW865" s="75"/>
      <c r="BX865" s="75"/>
      <c r="BY865" s="75"/>
      <c r="BZ865" s="75"/>
      <c r="CA865" s="73"/>
      <c r="CB865" s="75"/>
      <c r="CC865" s="75"/>
      <c r="CD865" s="75"/>
      <c r="CE865" s="73"/>
      <c r="CF865" s="75"/>
      <c r="CG865" s="75"/>
      <c r="CH865" s="75"/>
      <c r="CI865" s="73"/>
      <c r="CJ865" s="75"/>
      <c r="CK865" s="75"/>
      <c r="CL865" s="75"/>
      <c r="CM865" s="73"/>
      <c r="CN865" s="75"/>
      <c r="CO865" s="75"/>
      <c r="CP865" s="75"/>
      <c r="CQ865" s="73"/>
      <c r="CR865" s="75"/>
      <c r="CS865" s="75"/>
      <c r="CT865" s="75"/>
      <c r="CU865" s="73"/>
      <c r="CV865" s="75"/>
      <c r="CW865" s="75"/>
      <c r="CX865" s="75"/>
      <c r="CY865" s="73"/>
      <c r="CZ865" s="75"/>
      <c r="DA865" s="75"/>
      <c r="DB865" s="75"/>
      <c r="DC865" s="73"/>
      <c r="DD865" s="75"/>
      <c r="DE865" s="75"/>
      <c r="DF865" s="75"/>
      <c r="DG865" s="73"/>
      <c r="DH865" s="75"/>
      <c r="DI865" s="75"/>
      <c r="DJ865" s="75"/>
      <c r="DK865" s="76"/>
    </row>
    <row r="866" spans="63:115" x14ac:dyDescent="0.25">
      <c r="BK866" s="75"/>
      <c r="BL866" s="75"/>
      <c r="BM866" s="75"/>
      <c r="BN866" s="73"/>
      <c r="BO866" s="75"/>
      <c r="BP866" s="75"/>
      <c r="BQ866" s="75"/>
      <c r="BR866" s="75"/>
      <c r="BS866" s="75"/>
      <c r="BT866" s="75"/>
      <c r="BU866" s="75"/>
      <c r="BV866" s="75"/>
      <c r="BW866" s="75"/>
      <c r="BX866" s="75"/>
      <c r="BY866" s="75"/>
      <c r="BZ866" s="75"/>
      <c r="CA866" s="73"/>
      <c r="CB866" s="75"/>
      <c r="CC866" s="75"/>
      <c r="CD866" s="75"/>
      <c r="CE866" s="73"/>
      <c r="CF866" s="75"/>
      <c r="CG866" s="75"/>
      <c r="CH866" s="75"/>
      <c r="CI866" s="73"/>
      <c r="CJ866" s="75"/>
      <c r="CK866" s="75"/>
      <c r="CL866" s="75"/>
      <c r="CM866" s="73"/>
      <c r="CN866" s="75"/>
      <c r="CO866" s="75"/>
      <c r="CP866" s="75"/>
      <c r="CQ866" s="73"/>
      <c r="CR866" s="75"/>
      <c r="CS866" s="75"/>
      <c r="CT866" s="75"/>
      <c r="CU866" s="73"/>
      <c r="CV866" s="75"/>
      <c r="CW866" s="75"/>
      <c r="CX866" s="75"/>
      <c r="CY866" s="73"/>
      <c r="CZ866" s="75"/>
      <c r="DA866" s="75"/>
      <c r="DB866" s="75"/>
      <c r="DC866" s="73"/>
      <c r="DD866" s="75"/>
      <c r="DE866" s="75"/>
      <c r="DF866" s="75"/>
      <c r="DG866" s="73"/>
      <c r="DH866" s="75"/>
      <c r="DI866" s="75"/>
      <c r="DJ866" s="75"/>
      <c r="DK866" s="76"/>
    </row>
    <row r="867" spans="63:115" x14ac:dyDescent="0.25">
      <c r="BK867" s="75"/>
      <c r="BL867" s="75"/>
      <c r="BM867" s="75"/>
      <c r="BN867" s="73"/>
      <c r="BO867" s="75"/>
      <c r="BP867" s="75"/>
      <c r="BQ867" s="75"/>
      <c r="BR867" s="75"/>
      <c r="BS867" s="75"/>
      <c r="BT867" s="75"/>
      <c r="BU867" s="75"/>
      <c r="BV867" s="75"/>
      <c r="BW867" s="75"/>
      <c r="BX867" s="75"/>
      <c r="BY867" s="75"/>
      <c r="BZ867" s="75"/>
      <c r="CA867" s="73"/>
      <c r="CB867" s="75"/>
      <c r="CC867" s="75"/>
      <c r="CD867" s="75"/>
      <c r="CE867" s="73"/>
      <c r="CF867" s="75"/>
      <c r="CG867" s="75"/>
      <c r="CH867" s="75"/>
      <c r="CI867" s="73"/>
      <c r="CJ867" s="75"/>
      <c r="CK867" s="75"/>
      <c r="CL867" s="75"/>
      <c r="CM867" s="73"/>
      <c r="CN867" s="75"/>
      <c r="CO867" s="75"/>
      <c r="CP867" s="75"/>
      <c r="CQ867" s="73"/>
      <c r="CR867" s="75"/>
      <c r="CS867" s="75"/>
      <c r="CT867" s="75"/>
      <c r="CU867" s="73"/>
      <c r="CV867" s="75"/>
      <c r="CW867" s="75"/>
      <c r="CX867" s="75"/>
      <c r="CY867" s="73"/>
      <c r="CZ867" s="75"/>
      <c r="DA867" s="75"/>
      <c r="DB867" s="75"/>
      <c r="DC867" s="73"/>
      <c r="DD867" s="75"/>
      <c r="DE867" s="75"/>
      <c r="DF867" s="75"/>
      <c r="DG867" s="73"/>
      <c r="DH867" s="75"/>
      <c r="DI867" s="75"/>
      <c r="DJ867" s="75"/>
      <c r="DK867" s="76"/>
    </row>
    <row r="868" spans="63:115" x14ac:dyDescent="0.25">
      <c r="BK868" s="75"/>
      <c r="BL868" s="75"/>
      <c r="BM868" s="75"/>
      <c r="BN868" s="73"/>
      <c r="BO868" s="75"/>
      <c r="BP868" s="75"/>
      <c r="BQ868" s="75"/>
      <c r="BR868" s="75"/>
      <c r="BS868" s="75"/>
      <c r="BT868" s="75"/>
      <c r="BU868" s="75"/>
      <c r="BV868" s="75"/>
      <c r="BW868" s="75"/>
      <c r="BX868" s="75"/>
      <c r="BY868" s="75"/>
      <c r="BZ868" s="75"/>
      <c r="CA868" s="73"/>
      <c r="CB868" s="75"/>
      <c r="CC868" s="75"/>
      <c r="CD868" s="75"/>
      <c r="CE868" s="73"/>
      <c r="CF868" s="75"/>
      <c r="CG868" s="75"/>
      <c r="CH868" s="75"/>
      <c r="CI868" s="73"/>
      <c r="CJ868" s="75"/>
      <c r="CK868" s="75"/>
      <c r="CL868" s="75"/>
      <c r="CM868" s="73"/>
      <c r="CN868" s="75"/>
      <c r="CO868" s="75"/>
      <c r="CP868" s="75"/>
      <c r="CQ868" s="73"/>
      <c r="CR868" s="75"/>
      <c r="CS868" s="75"/>
      <c r="CT868" s="75"/>
      <c r="CU868" s="73"/>
      <c r="CV868" s="75"/>
      <c r="CW868" s="75"/>
      <c r="CX868" s="75"/>
      <c r="CY868" s="73"/>
      <c r="CZ868" s="75"/>
      <c r="DA868" s="75"/>
      <c r="DB868" s="75"/>
      <c r="DC868" s="73"/>
      <c r="DD868" s="75"/>
      <c r="DE868" s="75"/>
      <c r="DF868" s="75"/>
      <c r="DG868" s="73"/>
      <c r="DH868" s="75"/>
      <c r="DI868" s="75"/>
      <c r="DJ868" s="75"/>
      <c r="DK868" s="76"/>
    </row>
    <row r="869" spans="63:115" x14ac:dyDescent="0.25">
      <c r="BK869" s="75"/>
      <c r="BL869" s="75"/>
      <c r="BM869" s="75"/>
      <c r="BN869" s="73"/>
      <c r="BO869" s="75"/>
      <c r="BP869" s="75"/>
      <c r="BQ869" s="75"/>
      <c r="BR869" s="75"/>
      <c r="BS869" s="75"/>
      <c r="BT869" s="75"/>
      <c r="BU869" s="75"/>
      <c r="BV869" s="75"/>
      <c r="BW869" s="75"/>
      <c r="BX869" s="75"/>
      <c r="BY869" s="75"/>
      <c r="BZ869" s="75"/>
      <c r="CA869" s="73"/>
      <c r="CB869" s="75"/>
      <c r="CC869" s="75"/>
      <c r="CD869" s="75"/>
      <c r="CE869" s="73"/>
      <c r="CF869" s="75"/>
      <c r="CG869" s="75"/>
      <c r="CH869" s="75"/>
      <c r="CI869" s="73"/>
      <c r="CJ869" s="75"/>
      <c r="CK869" s="75"/>
      <c r="CL869" s="75"/>
      <c r="CM869" s="73"/>
      <c r="CN869" s="75"/>
      <c r="CO869" s="75"/>
      <c r="CP869" s="75"/>
      <c r="CQ869" s="73"/>
      <c r="CR869" s="75"/>
      <c r="CS869" s="75"/>
      <c r="CT869" s="75"/>
      <c r="CU869" s="73"/>
      <c r="CV869" s="75"/>
      <c r="CW869" s="75"/>
      <c r="CX869" s="75"/>
      <c r="CY869" s="73"/>
      <c r="CZ869" s="75"/>
      <c r="DA869" s="75"/>
      <c r="DB869" s="75"/>
      <c r="DC869" s="73"/>
      <c r="DD869" s="75"/>
      <c r="DE869" s="75"/>
      <c r="DF869" s="75"/>
      <c r="DG869" s="73"/>
      <c r="DH869" s="75"/>
      <c r="DI869" s="75"/>
      <c r="DJ869" s="75"/>
      <c r="DK869" s="76"/>
    </row>
    <row r="870" spans="63:115" x14ac:dyDescent="0.25">
      <c r="BK870" s="75"/>
      <c r="BL870" s="75"/>
      <c r="BM870" s="75"/>
      <c r="BN870" s="73"/>
      <c r="BO870" s="75"/>
      <c r="BP870" s="75"/>
      <c r="BQ870" s="75"/>
      <c r="BR870" s="75"/>
      <c r="BS870" s="75"/>
      <c r="BT870" s="75"/>
      <c r="BU870" s="75"/>
      <c r="BV870" s="75"/>
      <c r="BW870" s="75"/>
      <c r="BX870" s="75"/>
      <c r="BY870" s="75"/>
      <c r="BZ870" s="75"/>
      <c r="CA870" s="73"/>
      <c r="CB870" s="75"/>
      <c r="CC870" s="75"/>
      <c r="CD870" s="75"/>
      <c r="CE870" s="73"/>
      <c r="CF870" s="75"/>
      <c r="CG870" s="75"/>
      <c r="CH870" s="75"/>
      <c r="CI870" s="73"/>
      <c r="CJ870" s="75"/>
      <c r="CK870" s="75"/>
      <c r="CL870" s="75"/>
      <c r="CM870" s="73"/>
      <c r="CN870" s="75"/>
      <c r="CO870" s="75"/>
      <c r="CP870" s="75"/>
      <c r="CQ870" s="73"/>
      <c r="CR870" s="75"/>
      <c r="CS870" s="75"/>
      <c r="CT870" s="75"/>
      <c r="CU870" s="73"/>
      <c r="CV870" s="75"/>
      <c r="CW870" s="75"/>
      <c r="CX870" s="75"/>
      <c r="CY870" s="73"/>
      <c r="CZ870" s="75"/>
      <c r="DA870" s="75"/>
      <c r="DB870" s="75"/>
      <c r="DC870" s="73"/>
      <c r="DD870" s="75"/>
      <c r="DE870" s="75"/>
      <c r="DF870" s="75"/>
      <c r="DG870" s="73"/>
      <c r="DH870" s="75"/>
      <c r="DI870" s="75"/>
      <c r="DJ870" s="75"/>
      <c r="DK870" s="76"/>
    </row>
    <row r="871" spans="63:115" x14ac:dyDescent="0.25">
      <c r="BK871" s="75"/>
      <c r="BL871" s="75"/>
      <c r="BM871" s="75"/>
      <c r="BN871" s="73"/>
      <c r="BO871" s="75"/>
      <c r="BP871" s="75"/>
      <c r="BQ871" s="75"/>
      <c r="BR871" s="75"/>
      <c r="BS871" s="75"/>
      <c r="BT871" s="75"/>
      <c r="BU871" s="75"/>
      <c r="BV871" s="75"/>
      <c r="BW871" s="75"/>
      <c r="BX871" s="75"/>
      <c r="BY871" s="75"/>
      <c r="BZ871" s="75"/>
      <c r="CA871" s="73"/>
      <c r="CB871" s="75"/>
      <c r="CC871" s="75"/>
      <c r="CD871" s="75"/>
      <c r="CE871" s="73"/>
      <c r="CF871" s="75"/>
      <c r="CG871" s="75"/>
      <c r="CH871" s="75"/>
      <c r="CI871" s="73"/>
      <c r="CJ871" s="75"/>
      <c r="CK871" s="75"/>
      <c r="CL871" s="75"/>
      <c r="CM871" s="73"/>
      <c r="CN871" s="75"/>
      <c r="CO871" s="75"/>
      <c r="CP871" s="75"/>
      <c r="CQ871" s="73"/>
      <c r="CR871" s="75"/>
      <c r="CS871" s="75"/>
      <c r="CT871" s="75"/>
      <c r="CU871" s="73"/>
      <c r="CV871" s="75"/>
      <c r="CW871" s="75"/>
      <c r="CX871" s="75"/>
      <c r="CY871" s="73"/>
      <c r="CZ871" s="75"/>
      <c r="DA871" s="75"/>
      <c r="DB871" s="75"/>
      <c r="DC871" s="73"/>
      <c r="DD871" s="75"/>
      <c r="DE871" s="75"/>
      <c r="DF871" s="75"/>
      <c r="DG871" s="73"/>
      <c r="DH871" s="75"/>
      <c r="DI871" s="75"/>
      <c r="DJ871" s="75"/>
      <c r="DK871" s="76"/>
    </row>
    <row r="872" spans="63:115" x14ac:dyDescent="0.25">
      <c r="BK872" s="75"/>
      <c r="BL872" s="75"/>
      <c r="BM872" s="75"/>
      <c r="BN872" s="73"/>
      <c r="BO872" s="75"/>
      <c r="BP872" s="75"/>
      <c r="BQ872" s="75"/>
      <c r="BR872" s="75"/>
      <c r="BS872" s="75"/>
      <c r="BT872" s="75"/>
      <c r="BU872" s="75"/>
      <c r="BV872" s="75"/>
      <c r="BW872" s="75"/>
      <c r="BX872" s="75"/>
      <c r="BY872" s="75"/>
      <c r="BZ872" s="75"/>
      <c r="CA872" s="73"/>
      <c r="CB872" s="75"/>
      <c r="CC872" s="75"/>
      <c r="CD872" s="75"/>
      <c r="CE872" s="73"/>
      <c r="CF872" s="75"/>
      <c r="CG872" s="75"/>
      <c r="CH872" s="75"/>
      <c r="CI872" s="73"/>
      <c r="CJ872" s="75"/>
      <c r="CK872" s="75"/>
      <c r="CL872" s="75"/>
      <c r="CM872" s="73"/>
      <c r="CN872" s="75"/>
      <c r="CO872" s="75"/>
      <c r="CP872" s="75"/>
      <c r="CQ872" s="73"/>
      <c r="CR872" s="75"/>
      <c r="CS872" s="75"/>
      <c r="CT872" s="75"/>
      <c r="CU872" s="73"/>
      <c r="CV872" s="75"/>
      <c r="CW872" s="75"/>
      <c r="CX872" s="75"/>
      <c r="CY872" s="73"/>
      <c r="CZ872" s="75"/>
      <c r="DA872" s="75"/>
      <c r="DB872" s="75"/>
      <c r="DC872" s="73"/>
      <c r="DD872" s="75"/>
      <c r="DE872" s="75"/>
      <c r="DF872" s="75"/>
      <c r="DG872" s="73"/>
      <c r="DH872" s="75"/>
      <c r="DI872" s="75"/>
      <c r="DJ872" s="75"/>
      <c r="DK872" s="76"/>
    </row>
    <row r="873" spans="63:115" x14ac:dyDescent="0.25">
      <c r="BK873" s="75"/>
      <c r="BL873" s="75"/>
      <c r="BM873" s="75"/>
      <c r="BN873" s="73"/>
      <c r="BO873" s="75"/>
      <c r="BP873" s="75"/>
      <c r="BQ873" s="75"/>
      <c r="BR873" s="75"/>
      <c r="BS873" s="75"/>
      <c r="BT873" s="75"/>
      <c r="BU873" s="75"/>
      <c r="BV873" s="75"/>
      <c r="BW873" s="75"/>
      <c r="BX873" s="75"/>
      <c r="BY873" s="75"/>
      <c r="BZ873" s="75"/>
      <c r="CA873" s="73"/>
      <c r="CB873" s="75"/>
      <c r="CC873" s="75"/>
      <c r="CD873" s="75"/>
      <c r="CE873" s="73"/>
      <c r="CF873" s="75"/>
      <c r="CG873" s="75"/>
      <c r="CH873" s="75"/>
      <c r="CI873" s="73"/>
      <c r="CJ873" s="75"/>
      <c r="CK873" s="75"/>
      <c r="CL873" s="75"/>
      <c r="CM873" s="73"/>
      <c r="CN873" s="75"/>
      <c r="CO873" s="75"/>
      <c r="CP873" s="75"/>
      <c r="CQ873" s="73"/>
      <c r="CR873" s="75"/>
      <c r="CS873" s="75"/>
      <c r="CT873" s="75"/>
      <c r="CU873" s="73"/>
      <c r="CV873" s="75"/>
      <c r="CW873" s="75"/>
      <c r="CX873" s="75"/>
      <c r="CY873" s="73"/>
      <c r="CZ873" s="75"/>
      <c r="DA873" s="75"/>
      <c r="DB873" s="75"/>
      <c r="DC873" s="73"/>
      <c r="DD873" s="75"/>
      <c r="DE873" s="75"/>
      <c r="DF873" s="75"/>
      <c r="DG873" s="73"/>
      <c r="DH873" s="75"/>
      <c r="DI873" s="75"/>
      <c r="DJ873" s="75"/>
      <c r="DK873" s="76"/>
    </row>
    <row r="874" spans="63:115" x14ac:dyDescent="0.25">
      <c r="BK874" s="75"/>
      <c r="BL874" s="75"/>
      <c r="BM874" s="75"/>
      <c r="BN874" s="73"/>
      <c r="BO874" s="75"/>
      <c r="BP874" s="75"/>
      <c r="BQ874" s="75"/>
      <c r="BR874" s="75"/>
      <c r="BS874" s="75"/>
      <c r="BT874" s="75"/>
      <c r="BU874" s="75"/>
      <c r="BV874" s="75"/>
      <c r="BW874" s="75"/>
      <c r="BX874" s="75"/>
      <c r="BY874" s="75"/>
      <c r="BZ874" s="75"/>
      <c r="CA874" s="73"/>
      <c r="CB874" s="75"/>
      <c r="CC874" s="75"/>
      <c r="CD874" s="75"/>
      <c r="CE874" s="73"/>
      <c r="CF874" s="75"/>
      <c r="CG874" s="75"/>
      <c r="CH874" s="75"/>
      <c r="CI874" s="73"/>
      <c r="CJ874" s="75"/>
      <c r="CK874" s="75"/>
      <c r="CL874" s="75"/>
      <c r="CM874" s="73"/>
      <c r="CN874" s="75"/>
      <c r="CO874" s="75"/>
      <c r="CP874" s="75"/>
      <c r="CQ874" s="73"/>
      <c r="CR874" s="75"/>
      <c r="CS874" s="75"/>
      <c r="CT874" s="75"/>
      <c r="CU874" s="73"/>
      <c r="CV874" s="75"/>
      <c r="CW874" s="75"/>
      <c r="CX874" s="75"/>
      <c r="CY874" s="73"/>
      <c r="CZ874" s="75"/>
      <c r="DA874" s="75"/>
      <c r="DB874" s="75"/>
      <c r="DC874" s="73"/>
      <c r="DD874" s="75"/>
      <c r="DE874" s="75"/>
      <c r="DF874" s="75"/>
      <c r="DG874" s="73"/>
      <c r="DH874" s="75"/>
      <c r="DI874" s="75"/>
      <c r="DJ874" s="75"/>
      <c r="DK874" s="76"/>
    </row>
    <row r="875" spans="63:115" x14ac:dyDescent="0.25">
      <c r="BK875" s="75"/>
      <c r="BL875" s="75"/>
      <c r="BM875" s="75"/>
      <c r="BN875" s="73"/>
      <c r="BO875" s="75"/>
      <c r="BP875" s="75"/>
      <c r="BQ875" s="75"/>
      <c r="BR875" s="75"/>
      <c r="BS875" s="75"/>
      <c r="BT875" s="75"/>
      <c r="BU875" s="75"/>
      <c r="BV875" s="75"/>
      <c r="BW875" s="75"/>
      <c r="BX875" s="75"/>
      <c r="BY875" s="75"/>
      <c r="BZ875" s="75"/>
      <c r="CA875" s="73"/>
      <c r="CB875" s="75"/>
      <c r="CC875" s="75"/>
      <c r="CD875" s="75"/>
      <c r="CE875" s="73"/>
      <c r="CF875" s="75"/>
      <c r="CG875" s="75"/>
      <c r="CH875" s="75"/>
      <c r="CI875" s="73"/>
      <c r="CJ875" s="75"/>
      <c r="CK875" s="75"/>
      <c r="CL875" s="75"/>
      <c r="CM875" s="73"/>
      <c r="CN875" s="75"/>
      <c r="CO875" s="75"/>
      <c r="CP875" s="75"/>
      <c r="CQ875" s="73"/>
      <c r="CR875" s="75"/>
      <c r="CS875" s="75"/>
      <c r="CT875" s="75"/>
      <c r="CU875" s="73"/>
      <c r="CV875" s="75"/>
      <c r="CW875" s="75"/>
      <c r="CX875" s="75"/>
      <c r="CY875" s="73"/>
      <c r="CZ875" s="75"/>
      <c r="DA875" s="75"/>
      <c r="DB875" s="75"/>
      <c r="DC875" s="73"/>
      <c r="DD875" s="75"/>
      <c r="DE875" s="75"/>
      <c r="DF875" s="75"/>
      <c r="DG875" s="73"/>
      <c r="DH875" s="75"/>
      <c r="DI875" s="75"/>
      <c r="DJ875" s="75"/>
      <c r="DK875" s="76"/>
    </row>
    <row r="876" spans="63:115" x14ac:dyDescent="0.25">
      <c r="BK876" s="75"/>
      <c r="BL876" s="75"/>
      <c r="BM876" s="75"/>
      <c r="BN876" s="73"/>
      <c r="BO876" s="75"/>
      <c r="BP876" s="75"/>
      <c r="BQ876" s="75"/>
      <c r="BR876" s="75"/>
      <c r="BS876" s="75"/>
      <c r="BT876" s="75"/>
      <c r="BU876" s="75"/>
      <c r="BV876" s="75"/>
      <c r="BW876" s="75"/>
      <c r="BX876" s="75"/>
      <c r="BY876" s="75"/>
      <c r="BZ876" s="75"/>
      <c r="CA876" s="73"/>
      <c r="CB876" s="75"/>
      <c r="CC876" s="75"/>
      <c r="CD876" s="75"/>
      <c r="CE876" s="73"/>
      <c r="CF876" s="75"/>
      <c r="CG876" s="75"/>
      <c r="CH876" s="75"/>
      <c r="CI876" s="73"/>
      <c r="CJ876" s="75"/>
      <c r="CK876" s="75"/>
      <c r="CL876" s="75"/>
      <c r="CM876" s="73"/>
      <c r="CN876" s="75"/>
      <c r="CO876" s="75"/>
      <c r="CP876" s="75"/>
      <c r="CQ876" s="73"/>
      <c r="CR876" s="75"/>
      <c r="CS876" s="75"/>
      <c r="CT876" s="75"/>
      <c r="CU876" s="73"/>
      <c r="CV876" s="75"/>
      <c r="CW876" s="75"/>
      <c r="CX876" s="75"/>
      <c r="CY876" s="73"/>
      <c r="CZ876" s="75"/>
      <c r="DA876" s="75"/>
      <c r="DB876" s="75"/>
      <c r="DC876" s="73"/>
      <c r="DD876" s="75"/>
      <c r="DE876" s="75"/>
      <c r="DF876" s="75"/>
      <c r="DG876" s="73"/>
      <c r="DH876" s="75"/>
      <c r="DI876" s="75"/>
      <c r="DJ876" s="75"/>
      <c r="DK876" s="76"/>
    </row>
    <row r="877" spans="63:115" x14ac:dyDescent="0.25">
      <c r="BK877" s="75"/>
      <c r="BL877" s="75"/>
      <c r="BM877" s="75"/>
      <c r="BN877" s="73"/>
      <c r="BO877" s="75"/>
      <c r="BP877" s="75"/>
      <c r="BQ877" s="75"/>
      <c r="BR877" s="75"/>
      <c r="BS877" s="75"/>
      <c r="BT877" s="75"/>
      <c r="BU877" s="75"/>
      <c r="BV877" s="75"/>
      <c r="BW877" s="75"/>
      <c r="BX877" s="75"/>
      <c r="BY877" s="75"/>
      <c r="BZ877" s="75"/>
      <c r="CA877" s="73"/>
      <c r="CB877" s="75"/>
      <c r="CC877" s="75"/>
      <c r="CD877" s="75"/>
      <c r="CE877" s="73"/>
      <c r="CF877" s="75"/>
      <c r="CG877" s="75"/>
      <c r="CH877" s="75"/>
      <c r="CI877" s="73"/>
      <c r="CJ877" s="75"/>
      <c r="CK877" s="75"/>
      <c r="CL877" s="75"/>
      <c r="CM877" s="73"/>
      <c r="CN877" s="75"/>
      <c r="CO877" s="75"/>
      <c r="CP877" s="75"/>
      <c r="CQ877" s="73"/>
      <c r="CR877" s="75"/>
      <c r="CS877" s="75"/>
      <c r="CT877" s="75"/>
      <c r="CU877" s="73"/>
      <c r="CV877" s="75"/>
      <c r="CW877" s="75"/>
      <c r="CX877" s="75"/>
      <c r="CY877" s="73"/>
      <c r="CZ877" s="75"/>
      <c r="DA877" s="75"/>
      <c r="DB877" s="75"/>
      <c r="DC877" s="73"/>
      <c r="DD877" s="75"/>
      <c r="DE877" s="75"/>
      <c r="DF877" s="75"/>
      <c r="DG877" s="73"/>
      <c r="DH877" s="75"/>
      <c r="DI877" s="75"/>
      <c r="DJ877" s="75"/>
      <c r="DK877" s="76"/>
    </row>
    <row r="878" spans="63:115" x14ac:dyDescent="0.25">
      <c r="BK878" s="75"/>
      <c r="BL878" s="75"/>
      <c r="BM878" s="75"/>
      <c r="BN878" s="73"/>
      <c r="BO878" s="75"/>
      <c r="BP878" s="75"/>
      <c r="BQ878" s="75"/>
      <c r="BR878" s="75"/>
      <c r="BS878" s="75"/>
      <c r="BT878" s="75"/>
      <c r="BU878" s="75"/>
      <c r="BV878" s="75"/>
      <c r="BW878" s="75"/>
      <c r="BX878" s="75"/>
      <c r="BY878" s="75"/>
      <c r="BZ878" s="75"/>
      <c r="CA878" s="73"/>
      <c r="CB878" s="75"/>
      <c r="CC878" s="75"/>
      <c r="CD878" s="75"/>
      <c r="CE878" s="73"/>
      <c r="CF878" s="75"/>
      <c r="CG878" s="75"/>
      <c r="CH878" s="75"/>
      <c r="CI878" s="73"/>
      <c r="CJ878" s="75"/>
      <c r="CK878" s="75"/>
      <c r="CL878" s="75"/>
      <c r="CM878" s="73"/>
      <c r="CN878" s="75"/>
      <c r="CO878" s="75"/>
      <c r="CP878" s="75"/>
      <c r="CQ878" s="73"/>
      <c r="CR878" s="75"/>
      <c r="CS878" s="75"/>
      <c r="CT878" s="75"/>
      <c r="CU878" s="73"/>
      <c r="CV878" s="75"/>
      <c r="CW878" s="75"/>
      <c r="CX878" s="75"/>
      <c r="CY878" s="73"/>
      <c r="CZ878" s="75"/>
      <c r="DA878" s="75"/>
      <c r="DB878" s="75"/>
      <c r="DC878" s="73"/>
      <c r="DD878" s="75"/>
      <c r="DE878" s="75"/>
      <c r="DF878" s="75"/>
      <c r="DG878" s="73"/>
      <c r="DH878" s="75"/>
      <c r="DI878" s="75"/>
      <c r="DJ878" s="75"/>
      <c r="DK878" s="76"/>
    </row>
    <row r="879" spans="63:115" x14ac:dyDescent="0.25">
      <c r="BK879" s="75"/>
      <c r="BL879" s="75"/>
      <c r="BM879" s="75"/>
      <c r="BN879" s="73"/>
      <c r="BO879" s="75"/>
      <c r="BP879" s="75"/>
      <c r="BQ879" s="75"/>
      <c r="BR879" s="75"/>
      <c r="BS879" s="75"/>
      <c r="BT879" s="75"/>
      <c r="BU879" s="75"/>
      <c r="BV879" s="75"/>
      <c r="BW879" s="75"/>
      <c r="BX879" s="75"/>
      <c r="BY879" s="75"/>
      <c r="BZ879" s="75"/>
      <c r="CA879" s="73"/>
      <c r="CB879" s="75"/>
      <c r="CC879" s="75"/>
      <c r="CD879" s="75"/>
      <c r="CE879" s="73"/>
      <c r="CF879" s="75"/>
      <c r="CG879" s="75"/>
      <c r="CH879" s="75"/>
      <c r="CI879" s="73"/>
      <c r="CJ879" s="75"/>
      <c r="CK879" s="75"/>
      <c r="CL879" s="75"/>
      <c r="CM879" s="73"/>
      <c r="CN879" s="75"/>
      <c r="CO879" s="75"/>
      <c r="CP879" s="75"/>
      <c r="CQ879" s="73"/>
      <c r="CR879" s="75"/>
      <c r="CS879" s="75"/>
      <c r="CT879" s="75"/>
      <c r="CU879" s="73"/>
      <c r="CV879" s="75"/>
      <c r="CW879" s="75"/>
      <c r="CX879" s="75"/>
      <c r="CY879" s="73"/>
      <c r="CZ879" s="75"/>
      <c r="DA879" s="75"/>
      <c r="DB879" s="75"/>
      <c r="DC879" s="73"/>
      <c r="DD879" s="75"/>
      <c r="DE879" s="75"/>
      <c r="DF879" s="75"/>
      <c r="DG879" s="73"/>
      <c r="DH879" s="75"/>
      <c r="DI879" s="75"/>
      <c r="DJ879" s="75"/>
      <c r="DK879" s="76"/>
    </row>
    <row r="880" spans="63:115" x14ac:dyDescent="0.25">
      <c r="BK880" s="75"/>
      <c r="BL880" s="75"/>
      <c r="BM880" s="75"/>
      <c r="BN880" s="73"/>
      <c r="BO880" s="75"/>
      <c r="BP880" s="75"/>
      <c r="BQ880" s="75"/>
      <c r="BR880" s="75"/>
      <c r="BS880" s="75"/>
      <c r="BT880" s="75"/>
      <c r="BU880" s="75"/>
      <c r="BV880" s="75"/>
      <c r="BW880" s="75"/>
      <c r="BX880" s="75"/>
      <c r="BY880" s="75"/>
      <c r="BZ880" s="75"/>
      <c r="CA880" s="73"/>
      <c r="CB880" s="75"/>
      <c r="CC880" s="75"/>
      <c r="CD880" s="75"/>
      <c r="CE880" s="73"/>
      <c r="CF880" s="75"/>
      <c r="CG880" s="75"/>
      <c r="CH880" s="75"/>
      <c r="CI880" s="73"/>
      <c r="CJ880" s="75"/>
      <c r="CK880" s="75"/>
      <c r="CL880" s="75"/>
      <c r="CM880" s="73"/>
      <c r="CN880" s="75"/>
      <c r="CO880" s="75"/>
      <c r="CP880" s="75"/>
      <c r="CQ880" s="73"/>
      <c r="CR880" s="75"/>
      <c r="CS880" s="75"/>
      <c r="CT880" s="75"/>
      <c r="CU880" s="73"/>
      <c r="CV880" s="75"/>
      <c r="CW880" s="75"/>
      <c r="CX880" s="75"/>
      <c r="CY880" s="73"/>
      <c r="CZ880" s="75"/>
      <c r="DA880" s="75"/>
      <c r="DB880" s="75"/>
      <c r="DC880" s="73"/>
      <c r="DD880" s="75"/>
      <c r="DE880" s="75"/>
      <c r="DF880" s="75"/>
      <c r="DG880" s="73"/>
      <c r="DH880" s="75"/>
      <c r="DI880" s="75"/>
      <c r="DJ880" s="75"/>
      <c r="DK880" s="76"/>
    </row>
    <row r="881" spans="63:115" x14ac:dyDescent="0.25">
      <c r="BK881" s="75"/>
      <c r="BL881" s="75"/>
      <c r="BM881" s="75"/>
      <c r="BN881" s="73"/>
      <c r="BO881" s="75"/>
      <c r="BP881" s="75"/>
      <c r="BQ881" s="75"/>
      <c r="BR881" s="75"/>
      <c r="BS881" s="75"/>
      <c r="BT881" s="75"/>
      <c r="BU881" s="75"/>
      <c r="BV881" s="75"/>
      <c r="BW881" s="75"/>
      <c r="BX881" s="75"/>
      <c r="BY881" s="75"/>
      <c r="BZ881" s="75"/>
      <c r="CA881" s="73"/>
      <c r="CB881" s="75"/>
      <c r="CC881" s="75"/>
      <c r="CD881" s="75"/>
      <c r="CE881" s="73"/>
      <c r="CF881" s="75"/>
      <c r="CG881" s="75"/>
      <c r="CH881" s="75"/>
      <c r="CI881" s="73"/>
      <c r="CJ881" s="75"/>
      <c r="CK881" s="75"/>
      <c r="CL881" s="75"/>
      <c r="CM881" s="73"/>
      <c r="CN881" s="75"/>
      <c r="CO881" s="75"/>
      <c r="CP881" s="75"/>
      <c r="CQ881" s="73"/>
      <c r="CR881" s="75"/>
      <c r="CS881" s="75"/>
      <c r="CT881" s="75"/>
      <c r="CU881" s="73"/>
      <c r="CV881" s="75"/>
      <c r="CW881" s="75"/>
      <c r="CX881" s="75"/>
      <c r="CY881" s="73"/>
      <c r="CZ881" s="75"/>
      <c r="DA881" s="75"/>
      <c r="DB881" s="75"/>
      <c r="DC881" s="73"/>
      <c r="DD881" s="75"/>
      <c r="DE881" s="75"/>
      <c r="DF881" s="75"/>
      <c r="DG881" s="73"/>
      <c r="DH881" s="75"/>
      <c r="DI881" s="75"/>
      <c r="DJ881" s="75"/>
      <c r="DK881" s="76"/>
    </row>
    <row r="882" spans="63:115" x14ac:dyDescent="0.25">
      <c r="BK882" s="75"/>
      <c r="BL882" s="75"/>
      <c r="BM882" s="75"/>
      <c r="BN882" s="73"/>
      <c r="BO882" s="75"/>
      <c r="BP882" s="75"/>
      <c r="BQ882" s="75"/>
      <c r="BR882" s="75"/>
      <c r="BS882" s="75"/>
      <c r="BT882" s="75"/>
      <c r="BU882" s="75"/>
      <c r="BV882" s="75"/>
      <c r="BW882" s="75"/>
      <c r="BX882" s="75"/>
      <c r="BY882" s="75"/>
      <c r="BZ882" s="75"/>
      <c r="CA882" s="73"/>
      <c r="CB882" s="75"/>
      <c r="CC882" s="75"/>
      <c r="CD882" s="75"/>
      <c r="CE882" s="73"/>
      <c r="CF882" s="75"/>
      <c r="CG882" s="75"/>
      <c r="CH882" s="75"/>
      <c r="CI882" s="73"/>
      <c r="CJ882" s="75"/>
      <c r="CK882" s="75"/>
      <c r="CL882" s="75"/>
      <c r="CM882" s="73"/>
      <c r="CN882" s="75"/>
      <c r="CO882" s="75"/>
      <c r="CP882" s="75"/>
      <c r="CQ882" s="73"/>
      <c r="CR882" s="75"/>
      <c r="CS882" s="75"/>
      <c r="CT882" s="75"/>
      <c r="CU882" s="73"/>
      <c r="CV882" s="75"/>
      <c r="CW882" s="75"/>
      <c r="CX882" s="75"/>
      <c r="CY882" s="73"/>
      <c r="CZ882" s="75"/>
      <c r="DA882" s="75"/>
      <c r="DB882" s="75"/>
      <c r="DC882" s="73"/>
      <c r="DD882" s="75"/>
      <c r="DE882" s="75"/>
      <c r="DF882" s="75"/>
      <c r="DG882" s="73"/>
      <c r="DH882" s="75"/>
      <c r="DI882" s="75"/>
      <c r="DJ882" s="75"/>
      <c r="DK882" s="76"/>
    </row>
    <row r="883" spans="63:115" x14ac:dyDescent="0.25">
      <c r="BK883" s="75"/>
      <c r="BL883" s="75"/>
      <c r="BM883" s="75"/>
      <c r="BN883" s="73"/>
      <c r="BO883" s="75"/>
      <c r="BP883" s="75"/>
      <c r="BQ883" s="75"/>
      <c r="BR883" s="75"/>
      <c r="BS883" s="75"/>
      <c r="BT883" s="75"/>
      <c r="BU883" s="75"/>
      <c r="BV883" s="75"/>
      <c r="BW883" s="75"/>
      <c r="BX883" s="75"/>
      <c r="BY883" s="75"/>
      <c r="BZ883" s="75"/>
      <c r="CA883" s="73"/>
      <c r="CB883" s="75"/>
      <c r="CC883" s="75"/>
      <c r="CD883" s="75"/>
      <c r="CE883" s="73"/>
      <c r="CF883" s="75"/>
      <c r="CG883" s="75"/>
      <c r="CH883" s="75"/>
      <c r="CI883" s="73"/>
      <c r="CJ883" s="75"/>
      <c r="CK883" s="75"/>
      <c r="CL883" s="75"/>
      <c r="CM883" s="73"/>
      <c r="CN883" s="75"/>
      <c r="CO883" s="75"/>
      <c r="CP883" s="75"/>
      <c r="CQ883" s="73"/>
      <c r="CR883" s="75"/>
      <c r="CS883" s="75"/>
      <c r="CT883" s="75"/>
      <c r="CU883" s="73"/>
      <c r="CV883" s="75"/>
      <c r="CW883" s="75"/>
      <c r="CX883" s="75"/>
      <c r="CY883" s="73"/>
      <c r="CZ883" s="75"/>
      <c r="DA883" s="75"/>
      <c r="DB883" s="75"/>
      <c r="DC883" s="73"/>
      <c r="DD883" s="75"/>
      <c r="DE883" s="75"/>
      <c r="DF883" s="75"/>
      <c r="DG883" s="73"/>
      <c r="DH883" s="75"/>
      <c r="DI883" s="75"/>
      <c r="DJ883" s="75"/>
      <c r="DK883" s="76"/>
    </row>
    <row r="884" spans="63:115" x14ac:dyDescent="0.25">
      <c r="BK884" s="75"/>
      <c r="BL884" s="75"/>
      <c r="BM884" s="75"/>
      <c r="BN884" s="73"/>
      <c r="BO884" s="75"/>
      <c r="BP884" s="75"/>
      <c r="BQ884" s="75"/>
      <c r="BR884" s="75"/>
      <c r="BS884" s="75"/>
      <c r="BT884" s="75"/>
      <c r="BU884" s="75"/>
      <c r="BV884" s="75"/>
      <c r="BW884" s="75"/>
      <c r="BX884" s="75"/>
      <c r="BY884" s="75"/>
      <c r="BZ884" s="75"/>
      <c r="CA884" s="73"/>
      <c r="CB884" s="75"/>
      <c r="CC884" s="75"/>
      <c r="CD884" s="75"/>
      <c r="CE884" s="73"/>
      <c r="CF884" s="75"/>
      <c r="CG884" s="75"/>
      <c r="CH884" s="75"/>
      <c r="CI884" s="73"/>
      <c r="CJ884" s="75"/>
      <c r="CK884" s="75"/>
      <c r="CL884" s="75"/>
      <c r="CM884" s="73"/>
      <c r="CN884" s="75"/>
      <c r="CO884" s="75"/>
      <c r="CP884" s="75"/>
      <c r="CQ884" s="73"/>
      <c r="CR884" s="75"/>
      <c r="CS884" s="75"/>
      <c r="CT884" s="75"/>
      <c r="CU884" s="73"/>
      <c r="CV884" s="75"/>
      <c r="CW884" s="75"/>
      <c r="CX884" s="75"/>
      <c r="CY884" s="73"/>
      <c r="CZ884" s="75"/>
      <c r="DA884" s="75"/>
      <c r="DB884" s="75"/>
      <c r="DC884" s="73"/>
      <c r="DD884" s="75"/>
      <c r="DE884" s="75"/>
      <c r="DF884" s="75"/>
      <c r="DG884" s="73"/>
      <c r="DH884" s="75"/>
      <c r="DI884" s="75"/>
      <c r="DJ884" s="75"/>
      <c r="DK884" s="76"/>
    </row>
    <row r="885" spans="63:115" x14ac:dyDescent="0.25">
      <c r="BK885" s="75"/>
      <c r="BL885" s="75"/>
      <c r="BM885" s="75"/>
      <c r="BN885" s="73"/>
      <c r="BO885" s="75"/>
      <c r="BP885" s="75"/>
      <c r="BQ885" s="75"/>
      <c r="BR885" s="75"/>
      <c r="BS885" s="75"/>
      <c r="BT885" s="75"/>
      <c r="BU885" s="75"/>
      <c r="BV885" s="75"/>
      <c r="BW885" s="75"/>
      <c r="BX885" s="75"/>
      <c r="BY885" s="75"/>
      <c r="BZ885" s="75"/>
      <c r="CA885" s="73"/>
      <c r="CB885" s="75"/>
      <c r="CC885" s="75"/>
      <c r="CD885" s="75"/>
      <c r="CE885" s="73"/>
      <c r="CF885" s="75"/>
      <c r="CG885" s="75"/>
      <c r="CH885" s="75"/>
      <c r="CI885" s="73"/>
      <c r="CJ885" s="75"/>
      <c r="CK885" s="75"/>
      <c r="CL885" s="75"/>
      <c r="CM885" s="73"/>
      <c r="CN885" s="75"/>
      <c r="CO885" s="75"/>
      <c r="CP885" s="75"/>
      <c r="CQ885" s="73"/>
      <c r="CR885" s="75"/>
      <c r="CS885" s="75"/>
      <c r="CT885" s="75"/>
      <c r="CU885" s="73"/>
      <c r="CV885" s="75"/>
      <c r="CW885" s="75"/>
      <c r="CX885" s="75"/>
      <c r="CY885" s="73"/>
      <c r="CZ885" s="75"/>
      <c r="DA885" s="75"/>
      <c r="DB885" s="75"/>
      <c r="DC885" s="73"/>
      <c r="DD885" s="75"/>
      <c r="DE885" s="75"/>
      <c r="DF885" s="75"/>
      <c r="DG885" s="73"/>
      <c r="DH885" s="75"/>
      <c r="DI885" s="75"/>
      <c r="DJ885" s="75"/>
      <c r="DK885" s="76"/>
    </row>
    <row r="886" spans="63:115" x14ac:dyDescent="0.25">
      <c r="BK886" s="75"/>
      <c r="BL886" s="75"/>
      <c r="BM886" s="75"/>
      <c r="BN886" s="73"/>
      <c r="BO886" s="75"/>
      <c r="BP886" s="75"/>
      <c r="BQ886" s="75"/>
      <c r="BR886" s="75"/>
      <c r="BS886" s="75"/>
      <c r="BT886" s="75"/>
      <c r="BU886" s="75"/>
      <c r="BV886" s="75"/>
      <c r="BW886" s="75"/>
      <c r="BX886" s="75"/>
      <c r="BY886" s="75"/>
      <c r="BZ886" s="75"/>
      <c r="CA886" s="73"/>
      <c r="CB886" s="75"/>
      <c r="CC886" s="75"/>
      <c r="CD886" s="75"/>
      <c r="CE886" s="73"/>
      <c r="CF886" s="75"/>
      <c r="CG886" s="75"/>
      <c r="CH886" s="75"/>
      <c r="CI886" s="73"/>
      <c r="CJ886" s="75"/>
      <c r="CK886" s="75"/>
      <c r="CL886" s="75"/>
      <c r="CM886" s="73"/>
      <c r="CN886" s="75"/>
      <c r="CO886" s="75"/>
      <c r="CP886" s="75"/>
      <c r="CQ886" s="73"/>
      <c r="CR886" s="75"/>
      <c r="CS886" s="75"/>
      <c r="CT886" s="75"/>
      <c r="CU886" s="73"/>
      <c r="CV886" s="75"/>
      <c r="CW886" s="75"/>
      <c r="CX886" s="75"/>
      <c r="CY886" s="73"/>
      <c r="CZ886" s="75"/>
      <c r="DA886" s="75"/>
      <c r="DB886" s="75"/>
      <c r="DC886" s="73"/>
      <c r="DD886" s="75"/>
      <c r="DE886" s="75"/>
      <c r="DF886" s="75"/>
      <c r="DG886" s="73"/>
      <c r="DH886" s="75"/>
      <c r="DI886" s="75"/>
      <c r="DJ886" s="75"/>
      <c r="DK886" s="76"/>
    </row>
    <row r="887" spans="63:115" x14ac:dyDescent="0.25">
      <c r="BK887" s="75"/>
      <c r="BL887" s="75"/>
      <c r="BM887" s="75"/>
      <c r="BN887" s="73"/>
      <c r="BO887" s="75"/>
      <c r="BP887" s="75"/>
      <c r="BQ887" s="75"/>
      <c r="BR887" s="75"/>
      <c r="BS887" s="75"/>
      <c r="BT887" s="75"/>
      <c r="BU887" s="75"/>
      <c r="BV887" s="75"/>
      <c r="BW887" s="75"/>
      <c r="BX887" s="75"/>
      <c r="BY887" s="75"/>
      <c r="BZ887" s="75"/>
      <c r="CA887" s="73"/>
      <c r="CB887" s="75"/>
      <c r="CC887" s="75"/>
      <c r="CD887" s="75"/>
      <c r="CE887" s="73"/>
      <c r="CF887" s="75"/>
      <c r="CG887" s="75"/>
      <c r="CH887" s="75"/>
      <c r="CI887" s="73"/>
      <c r="CJ887" s="75"/>
      <c r="CK887" s="75"/>
      <c r="CL887" s="75"/>
      <c r="CM887" s="73"/>
      <c r="CN887" s="75"/>
      <c r="CO887" s="75"/>
      <c r="CP887" s="75"/>
      <c r="CQ887" s="73"/>
      <c r="CR887" s="75"/>
      <c r="CS887" s="75"/>
      <c r="CT887" s="75"/>
      <c r="CU887" s="73"/>
      <c r="CV887" s="75"/>
      <c r="CW887" s="75"/>
      <c r="CX887" s="75"/>
      <c r="CY887" s="73"/>
      <c r="CZ887" s="75"/>
      <c r="DA887" s="75"/>
      <c r="DB887" s="75"/>
      <c r="DC887" s="73"/>
      <c r="DD887" s="75"/>
      <c r="DE887" s="75"/>
      <c r="DF887" s="75"/>
      <c r="DG887" s="73"/>
      <c r="DH887" s="75"/>
      <c r="DI887" s="75"/>
      <c r="DJ887" s="75"/>
      <c r="DK887" s="76"/>
    </row>
    <row r="888" spans="63:115" x14ac:dyDescent="0.25">
      <c r="BK888" s="75"/>
      <c r="BL888" s="75"/>
      <c r="BM888" s="75"/>
      <c r="BN888" s="73"/>
      <c r="BO888" s="75"/>
      <c r="BP888" s="75"/>
      <c r="BQ888" s="75"/>
      <c r="BR888" s="75"/>
      <c r="BS888" s="75"/>
      <c r="BT888" s="75"/>
      <c r="BU888" s="75"/>
      <c r="BV888" s="75"/>
      <c r="BW888" s="75"/>
      <c r="BX888" s="75"/>
      <c r="BY888" s="75"/>
      <c r="BZ888" s="75"/>
      <c r="CA888" s="73"/>
      <c r="CB888" s="75"/>
      <c r="CC888" s="75"/>
      <c r="CD888" s="75"/>
      <c r="CE888" s="73"/>
      <c r="CF888" s="75"/>
      <c r="CG888" s="75"/>
      <c r="CH888" s="75"/>
      <c r="CI888" s="73"/>
      <c r="CJ888" s="75"/>
      <c r="CK888" s="75"/>
      <c r="CL888" s="75"/>
      <c r="CM888" s="73"/>
      <c r="CN888" s="75"/>
      <c r="CO888" s="75"/>
      <c r="CP888" s="75"/>
      <c r="CQ888" s="73"/>
      <c r="CR888" s="75"/>
      <c r="CS888" s="75"/>
      <c r="CT888" s="75"/>
      <c r="CU888" s="73"/>
      <c r="CV888" s="75"/>
      <c r="CW888" s="75"/>
      <c r="CX888" s="75"/>
      <c r="CY888" s="73"/>
      <c r="CZ888" s="75"/>
      <c r="DA888" s="75"/>
      <c r="DB888" s="75"/>
      <c r="DC888" s="73"/>
      <c r="DD888" s="75"/>
      <c r="DE888" s="75"/>
      <c r="DF888" s="75"/>
      <c r="DG888" s="73"/>
      <c r="DH888" s="75"/>
      <c r="DI888" s="75"/>
      <c r="DJ888" s="75"/>
      <c r="DK888" s="76"/>
    </row>
    <row r="889" spans="63:115" x14ac:dyDescent="0.25">
      <c r="BK889" s="75"/>
      <c r="BL889" s="75"/>
      <c r="BM889" s="75"/>
      <c r="BN889" s="73"/>
      <c r="BO889" s="75"/>
      <c r="BP889" s="75"/>
      <c r="BQ889" s="75"/>
      <c r="BR889" s="75"/>
      <c r="BS889" s="75"/>
      <c r="BT889" s="75"/>
      <c r="BU889" s="75"/>
      <c r="BV889" s="75"/>
      <c r="BW889" s="75"/>
      <c r="BX889" s="75"/>
      <c r="BY889" s="75"/>
      <c r="BZ889" s="75"/>
      <c r="CA889" s="73"/>
      <c r="CB889" s="75"/>
      <c r="CC889" s="75"/>
      <c r="CD889" s="75"/>
      <c r="CE889" s="73"/>
      <c r="CF889" s="75"/>
      <c r="CG889" s="75"/>
      <c r="CH889" s="75"/>
      <c r="CI889" s="73"/>
      <c r="CJ889" s="75"/>
      <c r="CK889" s="75"/>
      <c r="CL889" s="75"/>
      <c r="CM889" s="73"/>
      <c r="CN889" s="75"/>
      <c r="CO889" s="75"/>
      <c r="CP889" s="75"/>
      <c r="CQ889" s="73"/>
      <c r="CR889" s="75"/>
      <c r="CS889" s="75"/>
      <c r="CT889" s="75"/>
      <c r="CU889" s="73"/>
      <c r="CV889" s="75"/>
      <c r="CW889" s="75"/>
      <c r="CX889" s="75"/>
      <c r="CY889" s="73"/>
      <c r="CZ889" s="75"/>
      <c r="DA889" s="75"/>
      <c r="DB889" s="75"/>
      <c r="DC889" s="73"/>
      <c r="DD889" s="75"/>
      <c r="DE889" s="75"/>
      <c r="DF889" s="75"/>
      <c r="DG889" s="73"/>
      <c r="DH889" s="75"/>
      <c r="DI889" s="75"/>
      <c r="DJ889" s="75"/>
      <c r="DK889" s="76"/>
    </row>
    <row r="890" spans="63:115" x14ac:dyDescent="0.25">
      <c r="BK890" s="75"/>
      <c r="BL890" s="75"/>
      <c r="BM890" s="75"/>
      <c r="BN890" s="73"/>
      <c r="BO890" s="75"/>
      <c r="BP890" s="75"/>
      <c r="BQ890" s="75"/>
      <c r="BR890" s="75"/>
      <c r="BS890" s="75"/>
      <c r="BT890" s="75"/>
      <c r="BU890" s="75"/>
      <c r="BV890" s="75"/>
      <c r="BW890" s="75"/>
      <c r="BX890" s="75"/>
      <c r="BY890" s="75"/>
      <c r="BZ890" s="75"/>
      <c r="CA890" s="73"/>
      <c r="CB890" s="75"/>
      <c r="CC890" s="75"/>
      <c r="CD890" s="75"/>
      <c r="CE890" s="73"/>
      <c r="CF890" s="75"/>
      <c r="CG890" s="75"/>
      <c r="CH890" s="75"/>
      <c r="CI890" s="73"/>
      <c r="CJ890" s="75"/>
      <c r="CK890" s="75"/>
      <c r="CL890" s="75"/>
      <c r="CM890" s="73"/>
      <c r="CN890" s="75"/>
      <c r="CO890" s="75"/>
      <c r="CP890" s="75"/>
      <c r="CQ890" s="73"/>
      <c r="CR890" s="75"/>
      <c r="CS890" s="75"/>
      <c r="CT890" s="75"/>
      <c r="CU890" s="73"/>
      <c r="CV890" s="75"/>
      <c r="CW890" s="75"/>
      <c r="CX890" s="75"/>
      <c r="CY890" s="73"/>
      <c r="CZ890" s="75"/>
      <c r="DA890" s="75"/>
      <c r="DB890" s="75"/>
      <c r="DC890" s="73"/>
      <c r="DD890" s="75"/>
      <c r="DE890" s="75"/>
      <c r="DF890" s="75"/>
      <c r="DG890" s="73"/>
      <c r="DH890" s="75"/>
      <c r="DI890" s="75"/>
      <c r="DJ890" s="75"/>
      <c r="DK890" s="76"/>
    </row>
    <row r="891" spans="63:115" x14ac:dyDescent="0.25">
      <c r="BK891" s="75"/>
      <c r="BL891" s="75"/>
      <c r="BM891" s="75"/>
      <c r="BN891" s="73"/>
      <c r="BO891" s="75"/>
      <c r="BP891" s="75"/>
      <c r="BQ891" s="75"/>
      <c r="BR891" s="75"/>
      <c r="BS891" s="75"/>
      <c r="BT891" s="75"/>
      <c r="BU891" s="75"/>
      <c r="BV891" s="75"/>
      <c r="BW891" s="75"/>
      <c r="BX891" s="75"/>
      <c r="BY891" s="75"/>
      <c r="BZ891" s="75"/>
      <c r="CA891" s="73"/>
      <c r="CB891" s="75"/>
      <c r="CC891" s="75"/>
      <c r="CD891" s="75"/>
      <c r="CE891" s="73"/>
      <c r="CF891" s="75"/>
      <c r="CG891" s="75"/>
      <c r="CH891" s="75"/>
      <c r="CI891" s="73"/>
      <c r="CJ891" s="75"/>
      <c r="CK891" s="75"/>
      <c r="CL891" s="75"/>
      <c r="CM891" s="73"/>
      <c r="CN891" s="75"/>
      <c r="CO891" s="75"/>
      <c r="CP891" s="75"/>
      <c r="CQ891" s="73"/>
      <c r="CR891" s="75"/>
      <c r="CS891" s="75"/>
      <c r="CT891" s="75"/>
      <c r="CU891" s="73"/>
      <c r="CV891" s="75"/>
      <c r="CW891" s="75"/>
      <c r="CX891" s="75"/>
      <c r="CY891" s="73"/>
      <c r="CZ891" s="75"/>
      <c r="DA891" s="75"/>
      <c r="DB891" s="75"/>
      <c r="DC891" s="73"/>
      <c r="DD891" s="75"/>
      <c r="DE891" s="75"/>
      <c r="DF891" s="75"/>
      <c r="DG891" s="73"/>
      <c r="DH891" s="75"/>
      <c r="DI891" s="75"/>
      <c r="DJ891" s="75"/>
      <c r="DK891" s="76"/>
    </row>
    <row r="892" spans="63:115" x14ac:dyDescent="0.25">
      <c r="BK892" s="75"/>
      <c r="BL892" s="75"/>
      <c r="BM892" s="75"/>
      <c r="BN892" s="73"/>
      <c r="BO892" s="75"/>
      <c r="BP892" s="75"/>
      <c r="BQ892" s="75"/>
      <c r="BR892" s="75"/>
      <c r="BS892" s="75"/>
      <c r="BT892" s="75"/>
      <c r="BU892" s="75"/>
      <c r="BV892" s="75"/>
      <c r="BW892" s="75"/>
      <c r="BX892" s="75"/>
      <c r="BY892" s="75"/>
      <c r="BZ892" s="75"/>
      <c r="CA892" s="73"/>
      <c r="CB892" s="75"/>
      <c r="CC892" s="75"/>
      <c r="CD892" s="75"/>
      <c r="CE892" s="73"/>
      <c r="CF892" s="75"/>
      <c r="CG892" s="75"/>
      <c r="CH892" s="75"/>
      <c r="CI892" s="73"/>
      <c r="CJ892" s="75"/>
      <c r="CK892" s="75"/>
      <c r="CL892" s="75"/>
      <c r="CM892" s="73"/>
      <c r="CN892" s="75"/>
      <c r="CO892" s="75"/>
      <c r="CP892" s="75"/>
      <c r="CQ892" s="73"/>
      <c r="CR892" s="75"/>
      <c r="CS892" s="75"/>
      <c r="CT892" s="75"/>
      <c r="CU892" s="73"/>
      <c r="CV892" s="75"/>
      <c r="CW892" s="75"/>
      <c r="CX892" s="75"/>
      <c r="CY892" s="73"/>
      <c r="CZ892" s="75"/>
      <c r="DA892" s="75"/>
      <c r="DB892" s="75"/>
      <c r="DC892" s="73"/>
      <c r="DD892" s="75"/>
      <c r="DE892" s="75"/>
      <c r="DF892" s="75"/>
      <c r="DG892" s="73"/>
      <c r="DH892" s="75"/>
      <c r="DI892" s="75"/>
      <c r="DJ892" s="75"/>
      <c r="DK892" s="76"/>
    </row>
    <row r="893" spans="63:115" x14ac:dyDescent="0.25">
      <c r="BK893" s="75"/>
      <c r="BL893" s="75"/>
      <c r="BM893" s="75"/>
      <c r="BN893" s="73"/>
      <c r="BO893" s="75"/>
      <c r="BP893" s="75"/>
      <c r="BQ893" s="75"/>
      <c r="BR893" s="75"/>
      <c r="BS893" s="75"/>
      <c r="BT893" s="75"/>
      <c r="BU893" s="75"/>
      <c r="BV893" s="75"/>
      <c r="BW893" s="75"/>
      <c r="BX893" s="75"/>
      <c r="BY893" s="75"/>
      <c r="BZ893" s="75"/>
      <c r="CA893" s="73"/>
      <c r="CB893" s="75"/>
      <c r="CC893" s="75"/>
      <c r="CD893" s="75"/>
      <c r="CE893" s="73"/>
      <c r="CF893" s="75"/>
      <c r="CG893" s="75"/>
      <c r="CH893" s="75"/>
      <c r="CI893" s="73"/>
      <c r="CJ893" s="75"/>
      <c r="CK893" s="75"/>
      <c r="CL893" s="75"/>
      <c r="CM893" s="73"/>
      <c r="CN893" s="75"/>
      <c r="CO893" s="75"/>
      <c r="CP893" s="75"/>
      <c r="CQ893" s="73"/>
      <c r="CR893" s="75"/>
      <c r="CS893" s="75"/>
      <c r="CT893" s="75"/>
      <c r="CU893" s="73"/>
      <c r="CV893" s="75"/>
      <c r="CW893" s="75"/>
      <c r="CX893" s="75"/>
      <c r="CY893" s="73"/>
      <c r="CZ893" s="75"/>
      <c r="DA893" s="75"/>
      <c r="DB893" s="75"/>
      <c r="DC893" s="73"/>
      <c r="DD893" s="75"/>
      <c r="DE893" s="75"/>
      <c r="DF893" s="75"/>
      <c r="DG893" s="73"/>
      <c r="DH893" s="75"/>
      <c r="DI893" s="75"/>
      <c r="DJ893" s="75"/>
      <c r="DK893" s="76"/>
    </row>
    <row r="894" spans="63:115" x14ac:dyDescent="0.25">
      <c r="BK894" s="75"/>
      <c r="BL894" s="75"/>
      <c r="BM894" s="75"/>
      <c r="BN894" s="73"/>
      <c r="BO894" s="75"/>
      <c r="BP894" s="75"/>
      <c r="BQ894" s="75"/>
      <c r="BR894" s="75"/>
      <c r="BS894" s="75"/>
      <c r="BT894" s="75"/>
      <c r="BU894" s="75"/>
      <c r="BV894" s="75"/>
      <c r="BW894" s="75"/>
      <c r="BX894" s="75"/>
      <c r="BY894" s="75"/>
      <c r="BZ894" s="75"/>
      <c r="CA894" s="73"/>
      <c r="CB894" s="75"/>
      <c r="CC894" s="75"/>
      <c r="CD894" s="75"/>
      <c r="CE894" s="73"/>
      <c r="CF894" s="75"/>
      <c r="CG894" s="75"/>
      <c r="CH894" s="75"/>
      <c r="CI894" s="73"/>
      <c r="CJ894" s="75"/>
      <c r="CK894" s="75"/>
      <c r="CL894" s="75"/>
      <c r="CM894" s="73"/>
      <c r="CN894" s="75"/>
      <c r="CO894" s="75"/>
      <c r="CP894" s="75"/>
      <c r="CQ894" s="73"/>
      <c r="CR894" s="75"/>
      <c r="CS894" s="75"/>
      <c r="CT894" s="75"/>
      <c r="CU894" s="73"/>
      <c r="CV894" s="75"/>
      <c r="CW894" s="75"/>
      <c r="CX894" s="75"/>
      <c r="CY894" s="73"/>
      <c r="CZ894" s="75"/>
      <c r="DA894" s="75"/>
      <c r="DB894" s="75"/>
      <c r="DC894" s="73"/>
      <c r="DD894" s="75"/>
      <c r="DE894" s="75"/>
      <c r="DF894" s="75"/>
      <c r="DG894" s="73"/>
      <c r="DH894" s="75"/>
      <c r="DI894" s="75"/>
      <c r="DJ894" s="75"/>
      <c r="DK894" s="76"/>
    </row>
    <row r="895" spans="63:115" x14ac:dyDescent="0.25">
      <c r="BK895" s="75"/>
      <c r="BL895" s="75"/>
      <c r="BM895" s="75"/>
      <c r="BN895" s="73"/>
      <c r="BO895" s="75"/>
      <c r="BP895" s="75"/>
      <c r="BQ895" s="75"/>
      <c r="BR895" s="75"/>
      <c r="BS895" s="75"/>
      <c r="BT895" s="75"/>
      <c r="BU895" s="75"/>
      <c r="BV895" s="75"/>
      <c r="BW895" s="75"/>
      <c r="BX895" s="75"/>
      <c r="BY895" s="75"/>
      <c r="BZ895" s="75"/>
      <c r="CA895" s="73"/>
      <c r="CB895" s="75"/>
      <c r="CC895" s="75"/>
      <c r="CD895" s="75"/>
      <c r="CE895" s="73"/>
      <c r="CF895" s="75"/>
      <c r="CG895" s="75"/>
      <c r="CH895" s="75"/>
      <c r="CI895" s="73"/>
      <c r="CJ895" s="75"/>
      <c r="CK895" s="75"/>
      <c r="CL895" s="75"/>
      <c r="CM895" s="73"/>
      <c r="CN895" s="75"/>
      <c r="CO895" s="75"/>
      <c r="CP895" s="75"/>
      <c r="CQ895" s="73"/>
      <c r="CR895" s="75"/>
      <c r="CS895" s="75"/>
      <c r="CT895" s="75"/>
      <c r="CU895" s="73"/>
      <c r="CV895" s="75"/>
      <c r="CW895" s="75"/>
      <c r="CX895" s="75"/>
      <c r="CY895" s="73"/>
      <c r="CZ895" s="75"/>
      <c r="DA895" s="75"/>
      <c r="DB895" s="75"/>
      <c r="DC895" s="73"/>
      <c r="DD895" s="75"/>
      <c r="DE895" s="75"/>
      <c r="DF895" s="75"/>
      <c r="DG895" s="73"/>
      <c r="DH895" s="75"/>
      <c r="DI895" s="75"/>
      <c r="DJ895" s="75"/>
      <c r="DK895" s="76"/>
    </row>
    <row r="896" spans="63:115" x14ac:dyDescent="0.25">
      <c r="BK896" s="75"/>
      <c r="BL896" s="75"/>
      <c r="BM896" s="75"/>
      <c r="BN896" s="73"/>
      <c r="BO896" s="75"/>
      <c r="BP896" s="75"/>
      <c r="BQ896" s="75"/>
      <c r="BR896" s="75"/>
      <c r="BS896" s="75"/>
      <c r="BT896" s="75"/>
      <c r="BU896" s="75"/>
      <c r="BV896" s="75"/>
      <c r="BW896" s="75"/>
      <c r="BX896" s="75"/>
      <c r="BY896" s="75"/>
      <c r="BZ896" s="75"/>
      <c r="CA896" s="73"/>
      <c r="CB896" s="75"/>
      <c r="CC896" s="75"/>
      <c r="CD896" s="75"/>
      <c r="CE896" s="73"/>
      <c r="CF896" s="75"/>
      <c r="CG896" s="75"/>
      <c r="CH896" s="75"/>
      <c r="CI896" s="73"/>
      <c r="CJ896" s="75"/>
      <c r="CK896" s="75"/>
      <c r="CL896" s="75"/>
      <c r="CM896" s="73"/>
      <c r="CN896" s="75"/>
      <c r="CO896" s="75"/>
      <c r="CP896" s="75"/>
      <c r="CQ896" s="73"/>
      <c r="CR896" s="75"/>
      <c r="CS896" s="75"/>
      <c r="CT896" s="75"/>
      <c r="CU896" s="73"/>
      <c r="CV896" s="75"/>
      <c r="CW896" s="75"/>
      <c r="CX896" s="75"/>
      <c r="CY896" s="73"/>
      <c r="CZ896" s="75"/>
      <c r="DA896" s="75"/>
      <c r="DB896" s="75"/>
      <c r="DC896" s="73"/>
      <c r="DD896" s="75"/>
      <c r="DE896" s="75"/>
      <c r="DF896" s="75"/>
      <c r="DG896" s="73"/>
      <c r="DH896" s="75"/>
      <c r="DI896" s="75"/>
      <c r="DJ896" s="75"/>
      <c r="DK896" s="76"/>
    </row>
    <row r="897" spans="63:115" x14ac:dyDescent="0.25">
      <c r="BK897" s="75"/>
      <c r="BL897" s="75"/>
      <c r="BM897" s="75"/>
      <c r="BN897" s="73"/>
      <c r="BO897" s="75"/>
      <c r="BP897" s="75"/>
      <c r="BQ897" s="75"/>
      <c r="BR897" s="75"/>
      <c r="BS897" s="75"/>
      <c r="BT897" s="75"/>
      <c r="BU897" s="75"/>
      <c r="BV897" s="75"/>
      <c r="BW897" s="75"/>
      <c r="BX897" s="75"/>
      <c r="BY897" s="75"/>
      <c r="BZ897" s="75"/>
      <c r="CA897" s="73"/>
      <c r="CB897" s="75"/>
      <c r="CC897" s="75"/>
      <c r="CD897" s="75"/>
      <c r="CE897" s="73"/>
      <c r="CF897" s="75"/>
      <c r="CG897" s="75"/>
      <c r="CH897" s="75"/>
      <c r="CI897" s="73"/>
      <c r="CJ897" s="75"/>
      <c r="CK897" s="75"/>
      <c r="CL897" s="75"/>
      <c r="CM897" s="73"/>
      <c r="CN897" s="75"/>
      <c r="CO897" s="75"/>
      <c r="CP897" s="75"/>
      <c r="CQ897" s="73"/>
      <c r="CR897" s="75"/>
      <c r="CS897" s="75"/>
      <c r="CT897" s="75"/>
      <c r="CU897" s="73"/>
      <c r="CV897" s="75"/>
      <c r="CW897" s="75"/>
      <c r="CX897" s="75"/>
      <c r="CY897" s="73"/>
      <c r="CZ897" s="75"/>
      <c r="DA897" s="75"/>
      <c r="DB897" s="75"/>
      <c r="DC897" s="73"/>
      <c r="DD897" s="75"/>
      <c r="DE897" s="75"/>
      <c r="DF897" s="75"/>
      <c r="DG897" s="73"/>
      <c r="DH897" s="75"/>
      <c r="DI897" s="75"/>
      <c r="DJ897" s="75"/>
      <c r="DK897" s="76"/>
    </row>
    <row r="898" spans="63:115" x14ac:dyDescent="0.25">
      <c r="BK898" s="75"/>
      <c r="BL898" s="75"/>
      <c r="BM898" s="75"/>
      <c r="BN898" s="73"/>
      <c r="BO898" s="75"/>
      <c r="BP898" s="75"/>
      <c r="BQ898" s="75"/>
      <c r="BR898" s="75"/>
      <c r="BS898" s="75"/>
      <c r="BT898" s="75"/>
      <c r="BU898" s="75"/>
      <c r="BV898" s="75"/>
      <c r="BW898" s="75"/>
      <c r="BX898" s="75"/>
      <c r="BY898" s="75"/>
      <c r="BZ898" s="75"/>
      <c r="CA898" s="73"/>
      <c r="CB898" s="75"/>
      <c r="CC898" s="75"/>
      <c r="CD898" s="75"/>
      <c r="CE898" s="73"/>
      <c r="CF898" s="75"/>
      <c r="CG898" s="75"/>
      <c r="CH898" s="75"/>
      <c r="CI898" s="73"/>
      <c r="CJ898" s="75"/>
      <c r="CK898" s="75"/>
      <c r="CL898" s="75"/>
      <c r="CM898" s="73"/>
      <c r="CN898" s="75"/>
      <c r="CO898" s="75"/>
      <c r="CP898" s="75"/>
      <c r="CQ898" s="73"/>
      <c r="CR898" s="75"/>
      <c r="CS898" s="75"/>
      <c r="CT898" s="75"/>
      <c r="CU898" s="73"/>
      <c r="CV898" s="75"/>
      <c r="CW898" s="75"/>
      <c r="CX898" s="75"/>
      <c r="CY898" s="73"/>
      <c r="CZ898" s="75"/>
      <c r="DA898" s="75"/>
      <c r="DB898" s="75"/>
      <c r="DC898" s="73"/>
      <c r="DD898" s="75"/>
      <c r="DE898" s="75"/>
      <c r="DF898" s="75"/>
      <c r="DG898" s="73"/>
      <c r="DH898" s="75"/>
      <c r="DI898" s="75"/>
      <c r="DJ898" s="75"/>
      <c r="DK898" s="76"/>
    </row>
    <row r="899" spans="63:115" x14ac:dyDescent="0.25">
      <c r="BK899" s="75"/>
      <c r="BL899" s="75"/>
      <c r="BM899" s="75"/>
      <c r="BN899" s="73"/>
      <c r="BO899" s="75"/>
      <c r="BP899" s="75"/>
      <c r="BQ899" s="75"/>
      <c r="BR899" s="75"/>
      <c r="BS899" s="75"/>
      <c r="BT899" s="75"/>
      <c r="BU899" s="75"/>
      <c r="BV899" s="75"/>
      <c r="BW899" s="75"/>
      <c r="BX899" s="75"/>
      <c r="BY899" s="75"/>
      <c r="BZ899" s="75"/>
      <c r="CA899" s="73"/>
      <c r="CB899" s="75"/>
      <c r="CC899" s="75"/>
      <c r="CD899" s="75"/>
      <c r="CE899" s="73"/>
      <c r="CF899" s="75"/>
      <c r="CG899" s="75"/>
      <c r="CH899" s="75"/>
      <c r="CI899" s="73"/>
      <c r="CJ899" s="75"/>
      <c r="CK899" s="75"/>
      <c r="CL899" s="75"/>
      <c r="CM899" s="73"/>
      <c r="CN899" s="75"/>
      <c r="CO899" s="75"/>
      <c r="CP899" s="75"/>
      <c r="CQ899" s="73"/>
      <c r="CR899" s="75"/>
      <c r="CS899" s="75"/>
      <c r="CT899" s="75"/>
      <c r="CU899" s="73"/>
      <c r="CV899" s="75"/>
      <c r="CW899" s="75"/>
      <c r="CX899" s="75"/>
      <c r="CY899" s="73"/>
      <c r="CZ899" s="75"/>
      <c r="DA899" s="75"/>
      <c r="DB899" s="75"/>
      <c r="DC899" s="73"/>
      <c r="DD899" s="75"/>
      <c r="DE899" s="75"/>
      <c r="DF899" s="75"/>
      <c r="DG899" s="73"/>
      <c r="DH899" s="75"/>
      <c r="DI899" s="75"/>
      <c r="DJ899" s="75"/>
      <c r="DK899" s="76"/>
    </row>
    <row r="900" spans="63:115" x14ac:dyDescent="0.25">
      <c r="BK900" s="75"/>
      <c r="BL900" s="75"/>
      <c r="BM900" s="75"/>
      <c r="BN900" s="73"/>
      <c r="BO900" s="75"/>
      <c r="BP900" s="75"/>
      <c r="BQ900" s="75"/>
      <c r="BR900" s="75"/>
      <c r="BS900" s="75"/>
      <c r="BT900" s="75"/>
      <c r="BU900" s="75"/>
      <c r="BV900" s="75"/>
      <c r="BW900" s="75"/>
      <c r="BX900" s="75"/>
      <c r="BY900" s="75"/>
      <c r="BZ900" s="75"/>
      <c r="CA900" s="73"/>
      <c r="CB900" s="75"/>
      <c r="CC900" s="75"/>
      <c r="CD900" s="75"/>
      <c r="CE900" s="73"/>
      <c r="CF900" s="75"/>
      <c r="CG900" s="75"/>
      <c r="CH900" s="75"/>
      <c r="CI900" s="73"/>
      <c r="CJ900" s="75"/>
      <c r="CK900" s="75"/>
      <c r="CL900" s="75"/>
      <c r="CM900" s="73"/>
      <c r="CN900" s="75"/>
      <c r="CO900" s="75"/>
      <c r="CP900" s="75"/>
      <c r="CQ900" s="73"/>
      <c r="CR900" s="75"/>
      <c r="CS900" s="75"/>
      <c r="CT900" s="75"/>
      <c r="CU900" s="73"/>
      <c r="CV900" s="75"/>
      <c r="CW900" s="75"/>
      <c r="CX900" s="75"/>
      <c r="CY900" s="73"/>
      <c r="CZ900" s="75"/>
      <c r="DA900" s="75"/>
      <c r="DB900" s="75"/>
      <c r="DC900" s="73"/>
      <c r="DD900" s="75"/>
      <c r="DE900" s="75"/>
      <c r="DF900" s="75"/>
      <c r="DG900" s="73"/>
      <c r="DH900" s="75"/>
      <c r="DI900" s="75"/>
      <c r="DJ900" s="75"/>
      <c r="DK900" s="76"/>
    </row>
    <row r="901" spans="63:115" x14ac:dyDescent="0.25">
      <c r="BK901" s="75"/>
      <c r="BL901" s="75"/>
      <c r="BM901" s="75"/>
      <c r="BN901" s="73"/>
      <c r="BO901" s="75"/>
      <c r="BP901" s="75"/>
      <c r="BQ901" s="75"/>
      <c r="BR901" s="75"/>
      <c r="BS901" s="75"/>
      <c r="BT901" s="75"/>
      <c r="BU901" s="75"/>
      <c r="BV901" s="75"/>
      <c r="BW901" s="75"/>
      <c r="BX901" s="75"/>
      <c r="BY901" s="75"/>
      <c r="BZ901" s="75"/>
      <c r="CA901" s="73"/>
      <c r="CB901" s="75"/>
      <c r="CC901" s="75"/>
      <c r="CD901" s="75"/>
      <c r="CE901" s="73"/>
      <c r="CF901" s="75"/>
      <c r="CG901" s="75"/>
      <c r="CH901" s="75"/>
      <c r="CI901" s="73"/>
      <c r="CJ901" s="75"/>
      <c r="CK901" s="75"/>
      <c r="CL901" s="75"/>
      <c r="CM901" s="73"/>
      <c r="CN901" s="75"/>
      <c r="CO901" s="75"/>
      <c r="CP901" s="75"/>
      <c r="CQ901" s="73"/>
      <c r="CR901" s="75"/>
      <c r="CS901" s="75"/>
      <c r="CT901" s="75"/>
      <c r="CU901" s="73"/>
      <c r="CV901" s="75"/>
      <c r="CW901" s="75"/>
      <c r="CX901" s="75"/>
      <c r="CY901" s="73"/>
      <c r="CZ901" s="75"/>
      <c r="DA901" s="75"/>
      <c r="DB901" s="75"/>
      <c r="DC901" s="73"/>
      <c r="DD901" s="75"/>
      <c r="DE901" s="75"/>
      <c r="DF901" s="75"/>
      <c r="DG901" s="73"/>
      <c r="DH901" s="75"/>
      <c r="DI901" s="75"/>
      <c r="DJ901" s="75"/>
      <c r="DK901" s="76"/>
    </row>
    <row r="902" spans="63:115" x14ac:dyDescent="0.25">
      <c r="BK902" s="75"/>
      <c r="BL902" s="75"/>
      <c r="BM902" s="75"/>
      <c r="BN902" s="73"/>
      <c r="BO902" s="75"/>
      <c r="BP902" s="75"/>
      <c r="BQ902" s="75"/>
      <c r="BR902" s="75"/>
      <c r="BS902" s="75"/>
      <c r="BT902" s="75"/>
      <c r="BU902" s="75"/>
      <c r="BV902" s="75"/>
      <c r="BW902" s="75"/>
      <c r="BX902" s="75"/>
      <c r="BY902" s="75"/>
      <c r="BZ902" s="75"/>
      <c r="CA902" s="73"/>
      <c r="CB902" s="75"/>
      <c r="CC902" s="75"/>
      <c r="CD902" s="75"/>
      <c r="CE902" s="73"/>
      <c r="CF902" s="75"/>
      <c r="CG902" s="75"/>
      <c r="CH902" s="75"/>
      <c r="CI902" s="73"/>
      <c r="CJ902" s="75"/>
      <c r="CK902" s="75"/>
      <c r="CL902" s="75"/>
      <c r="CM902" s="73"/>
      <c r="CN902" s="75"/>
      <c r="CO902" s="75"/>
      <c r="CP902" s="75"/>
      <c r="CQ902" s="73"/>
      <c r="CR902" s="75"/>
      <c r="CS902" s="75"/>
      <c r="CT902" s="75"/>
      <c r="CU902" s="73"/>
      <c r="CV902" s="75"/>
      <c r="CW902" s="75"/>
      <c r="CX902" s="75"/>
      <c r="CY902" s="73"/>
      <c r="CZ902" s="75"/>
      <c r="DA902" s="75"/>
      <c r="DB902" s="75"/>
      <c r="DC902" s="73"/>
      <c r="DD902" s="75"/>
      <c r="DE902" s="75"/>
      <c r="DF902" s="75"/>
      <c r="DG902" s="73"/>
      <c r="DH902" s="75"/>
      <c r="DI902" s="75"/>
      <c r="DJ902" s="75"/>
      <c r="DK902" s="76"/>
    </row>
    <row r="903" spans="63:115" x14ac:dyDescent="0.25">
      <c r="BK903" s="75"/>
      <c r="BL903" s="75"/>
      <c r="BM903" s="75"/>
      <c r="BN903" s="73"/>
      <c r="BO903" s="75"/>
      <c r="BP903" s="75"/>
      <c r="BQ903" s="75"/>
      <c r="BR903" s="75"/>
      <c r="BS903" s="75"/>
      <c r="BT903" s="75"/>
      <c r="BU903" s="75"/>
      <c r="BV903" s="75"/>
      <c r="BW903" s="75"/>
      <c r="BX903" s="75"/>
      <c r="BY903" s="75"/>
      <c r="BZ903" s="75"/>
      <c r="CA903" s="73"/>
      <c r="CB903" s="75"/>
      <c r="CC903" s="75"/>
      <c r="CD903" s="75"/>
      <c r="CE903" s="73"/>
      <c r="CF903" s="75"/>
      <c r="CG903" s="75"/>
      <c r="CH903" s="75"/>
      <c r="CI903" s="73"/>
      <c r="CJ903" s="75"/>
      <c r="CK903" s="75"/>
      <c r="CL903" s="75"/>
      <c r="CM903" s="73"/>
      <c r="CN903" s="75"/>
      <c r="CO903" s="75"/>
      <c r="CP903" s="75"/>
      <c r="CQ903" s="73"/>
      <c r="CR903" s="75"/>
      <c r="CS903" s="75"/>
      <c r="CT903" s="75"/>
      <c r="CU903" s="73"/>
      <c r="CV903" s="75"/>
      <c r="CW903" s="75"/>
      <c r="CX903" s="75"/>
      <c r="CY903" s="73"/>
      <c r="CZ903" s="75"/>
      <c r="DA903" s="75"/>
      <c r="DB903" s="75"/>
      <c r="DC903" s="73"/>
      <c r="DD903" s="75"/>
      <c r="DE903" s="75"/>
      <c r="DF903" s="75"/>
      <c r="DG903" s="73"/>
      <c r="DH903" s="75"/>
      <c r="DI903" s="75"/>
      <c r="DJ903" s="75"/>
      <c r="DK903" s="76"/>
    </row>
    <row r="904" spans="63:115" x14ac:dyDescent="0.25">
      <c r="BK904" s="75"/>
      <c r="BL904" s="75"/>
      <c r="BM904" s="75"/>
      <c r="BN904" s="73"/>
      <c r="BO904" s="75"/>
      <c r="BP904" s="75"/>
      <c r="BQ904" s="75"/>
      <c r="BR904" s="75"/>
      <c r="BS904" s="75"/>
      <c r="BT904" s="75"/>
      <c r="BU904" s="75"/>
      <c r="BV904" s="75"/>
      <c r="BW904" s="75"/>
      <c r="BX904" s="75"/>
      <c r="BY904" s="75"/>
      <c r="BZ904" s="75"/>
      <c r="CA904" s="73"/>
      <c r="CB904" s="75"/>
      <c r="CC904" s="75"/>
      <c r="CD904" s="75"/>
      <c r="CE904" s="73"/>
      <c r="CF904" s="75"/>
      <c r="CG904" s="75"/>
      <c r="CH904" s="75"/>
      <c r="CI904" s="73"/>
      <c r="CJ904" s="75"/>
      <c r="CK904" s="75"/>
      <c r="CL904" s="75"/>
      <c r="CM904" s="73"/>
      <c r="CN904" s="75"/>
      <c r="CO904" s="75"/>
      <c r="CP904" s="75"/>
      <c r="CQ904" s="73"/>
      <c r="CR904" s="75"/>
      <c r="CS904" s="75"/>
      <c r="CT904" s="75"/>
      <c r="CU904" s="73"/>
      <c r="CV904" s="75"/>
      <c r="CW904" s="75"/>
      <c r="CX904" s="75"/>
      <c r="CY904" s="73"/>
      <c r="CZ904" s="75"/>
      <c r="DA904" s="75"/>
      <c r="DB904" s="75"/>
      <c r="DC904" s="73"/>
      <c r="DD904" s="75"/>
      <c r="DE904" s="75"/>
      <c r="DF904" s="75"/>
      <c r="DG904" s="73"/>
      <c r="DH904" s="75"/>
      <c r="DI904" s="75"/>
      <c r="DJ904" s="75"/>
      <c r="DK904" s="76"/>
    </row>
    <row r="905" spans="63:115" x14ac:dyDescent="0.25">
      <c r="BK905" s="75"/>
      <c r="BL905" s="75"/>
      <c r="BM905" s="75"/>
      <c r="BN905" s="73"/>
      <c r="BO905" s="75"/>
      <c r="BP905" s="75"/>
      <c r="BQ905" s="75"/>
      <c r="BR905" s="75"/>
      <c r="BS905" s="75"/>
      <c r="BT905" s="75"/>
      <c r="BU905" s="75"/>
      <c r="BV905" s="75"/>
      <c r="BW905" s="75"/>
      <c r="BX905" s="75"/>
      <c r="BY905" s="75"/>
      <c r="BZ905" s="75"/>
      <c r="CA905" s="73"/>
      <c r="CB905" s="75"/>
      <c r="CC905" s="75"/>
      <c r="CD905" s="75"/>
      <c r="CE905" s="73"/>
      <c r="CF905" s="75"/>
      <c r="CG905" s="75"/>
      <c r="CH905" s="75"/>
      <c r="CI905" s="73"/>
      <c r="CJ905" s="75"/>
      <c r="CK905" s="75"/>
      <c r="CL905" s="75"/>
      <c r="CM905" s="73"/>
      <c r="CN905" s="75"/>
      <c r="CO905" s="75"/>
      <c r="CP905" s="75"/>
      <c r="CQ905" s="73"/>
      <c r="CR905" s="75"/>
      <c r="CS905" s="75"/>
      <c r="CT905" s="75"/>
      <c r="CU905" s="73"/>
      <c r="CV905" s="75"/>
      <c r="CW905" s="75"/>
      <c r="CX905" s="75"/>
      <c r="CY905" s="73"/>
      <c r="CZ905" s="75"/>
      <c r="DA905" s="75"/>
      <c r="DB905" s="75"/>
      <c r="DC905" s="73"/>
      <c r="DD905" s="75"/>
      <c r="DE905" s="75"/>
      <c r="DF905" s="75"/>
      <c r="DG905" s="73"/>
      <c r="DH905" s="75"/>
      <c r="DI905" s="75"/>
      <c r="DJ905" s="75"/>
      <c r="DK905" s="76"/>
    </row>
    <row r="906" spans="63:115" x14ac:dyDescent="0.25">
      <c r="BK906" s="75"/>
      <c r="BL906" s="75"/>
      <c r="BM906" s="75"/>
      <c r="BN906" s="73"/>
      <c r="BO906" s="75"/>
      <c r="BP906" s="75"/>
      <c r="BQ906" s="75"/>
      <c r="BR906" s="75"/>
      <c r="BS906" s="75"/>
      <c r="BT906" s="75"/>
      <c r="BU906" s="75"/>
      <c r="BV906" s="75"/>
      <c r="BW906" s="75"/>
      <c r="BX906" s="75"/>
      <c r="BY906" s="75"/>
      <c r="BZ906" s="75"/>
      <c r="CA906" s="73"/>
      <c r="CB906" s="75"/>
      <c r="CC906" s="75"/>
      <c r="CD906" s="75"/>
      <c r="CE906" s="73"/>
      <c r="CF906" s="75"/>
      <c r="CG906" s="75"/>
      <c r="CH906" s="75"/>
      <c r="CI906" s="73"/>
      <c r="CJ906" s="75"/>
      <c r="CK906" s="75"/>
      <c r="CL906" s="75"/>
      <c r="CM906" s="73"/>
      <c r="CN906" s="75"/>
      <c r="CO906" s="75"/>
      <c r="CP906" s="75"/>
      <c r="CQ906" s="73"/>
      <c r="CR906" s="75"/>
      <c r="CS906" s="75"/>
      <c r="CT906" s="75"/>
      <c r="CU906" s="73"/>
      <c r="CV906" s="75"/>
      <c r="CW906" s="75"/>
      <c r="CX906" s="75"/>
      <c r="CY906" s="73"/>
      <c r="CZ906" s="75"/>
      <c r="DA906" s="75"/>
      <c r="DB906" s="75"/>
      <c r="DC906" s="73"/>
      <c r="DD906" s="75"/>
      <c r="DE906" s="75"/>
      <c r="DF906" s="75"/>
      <c r="DG906" s="73"/>
      <c r="DH906" s="75"/>
      <c r="DI906" s="75"/>
      <c r="DJ906" s="75"/>
      <c r="DK906" s="76"/>
    </row>
    <row r="907" spans="63:115" x14ac:dyDescent="0.25">
      <c r="BK907" s="75"/>
      <c r="BL907" s="75"/>
      <c r="BM907" s="75"/>
      <c r="BN907" s="73"/>
      <c r="BO907" s="75"/>
      <c r="BP907" s="75"/>
      <c r="BQ907" s="75"/>
      <c r="BR907" s="75"/>
      <c r="BS907" s="75"/>
      <c r="BT907" s="75"/>
      <c r="BU907" s="75"/>
      <c r="BV907" s="75"/>
      <c r="BW907" s="75"/>
      <c r="BX907" s="75"/>
      <c r="BY907" s="75"/>
      <c r="BZ907" s="75"/>
      <c r="CA907" s="73"/>
      <c r="CB907" s="75"/>
      <c r="CC907" s="75"/>
      <c r="CD907" s="75"/>
      <c r="CE907" s="73"/>
      <c r="CF907" s="75"/>
      <c r="CG907" s="75"/>
      <c r="CH907" s="75"/>
      <c r="CI907" s="73"/>
      <c r="CJ907" s="75"/>
      <c r="CK907" s="75"/>
      <c r="CL907" s="75"/>
      <c r="CM907" s="73"/>
      <c r="CN907" s="75"/>
      <c r="CO907" s="75"/>
      <c r="CP907" s="75"/>
      <c r="CQ907" s="73"/>
      <c r="CR907" s="75"/>
      <c r="CS907" s="75"/>
      <c r="CT907" s="75"/>
      <c r="CU907" s="73"/>
      <c r="CV907" s="75"/>
      <c r="CW907" s="75"/>
      <c r="CX907" s="75"/>
      <c r="CY907" s="73"/>
      <c r="CZ907" s="75"/>
      <c r="DA907" s="75"/>
      <c r="DB907" s="75"/>
      <c r="DC907" s="73"/>
      <c r="DD907" s="75"/>
      <c r="DE907" s="75"/>
      <c r="DF907" s="75"/>
      <c r="DG907" s="73"/>
      <c r="DH907" s="75"/>
      <c r="DI907" s="75"/>
      <c r="DJ907" s="75"/>
      <c r="DK907" s="76"/>
    </row>
    <row r="908" spans="63:115" x14ac:dyDescent="0.25">
      <c r="BK908" s="75"/>
      <c r="BL908" s="75"/>
      <c r="BM908" s="75"/>
      <c r="BN908" s="73"/>
      <c r="BO908" s="75"/>
      <c r="BP908" s="75"/>
      <c r="BQ908" s="75"/>
      <c r="BR908" s="75"/>
      <c r="BS908" s="75"/>
      <c r="BT908" s="75"/>
      <c r="BU908" s="75"/>
      <c r="BV908" s="75"/>
      <c r="BW908" s="75"/>
      <c r="BX908" s="75"/>
      <c r="BY908" s="75"/>
      <c r="BZ908" s="75"/>
      <c r="CA908" s="73"/>
      <c r="CB908" s="75"/>
      <c r="CC908" s="75"/>
      <c r="CD908" s="75"/>
      <c r="CE908" s="73"/>
      <c r="CF908" s="75"/>
      <c r="CG908" s="75"/>
      <c r="CH908" s="75"/>
      <c r="CI908" s="73"/>
      <c r="CJ908" s="75"/>
      <c r="CK908" s="75"/>
      <c r="CL908" s="75"/>
      <c r="CM908" s="73"/>
      <c r="CN908" s="75"/>
      <c r="CO908" s="75"/>
      <c r="CP908" s="75"/>
      <c r="CQ908" s="73"/>
      <c r="CR908" s="75"/>
      <c r="CS908" s="75"/>
      <c r="CT908" s="75"/>
      <c r="CU908" s="73"/>
      <c r="CV908" s="75"/>
      <c r="CW908" s="75"/>
      <c r="CX908" s="75"/>
      <c r="CY908" s="73"/>
      <c r="CZ908" s="75"/>
      <c r="DA908" s="75"/>
      <c r="DB908" s="75"/>
      <c r="DC908" s="73"/>
      <c r="DD908" s="75"/>
      <c r="DE908" s="75"/>
      <c r="DF908" s="75"/>
      <c r="DG908" s="73"/>
      <c r="DH908" s="75"/>
      <c r="DI908" s="75"/>
      <c r="DJ908" s="75"/>
      <c r="DK908" s="76"/>
    </row>
    <row r="909" spans="63:115" x14ac:dyDescent="0.25">
      <c r="BK909" s="75"/>
      <c r="BL909" s="75"/>
      <c r="BM909" s="75"/>
      <c r="BN909" s="73"/>
      <c r="BO909" s="75"/>
      <c r="BP909" s="75"/>
      <c r="BQ909" s="75"/>
      <c r="BR909" s="75"/>
      <c r="BS909" s="75"/>
      <c r="BT909" s="75"/>
      <c r="BU909" s="75"/>
      <c r="BV909" s="75"/>
      <c r="BW909" s="75"/>
      <c r="BX909" s="75"/>
      <c r="BY909" s="75"/>
      <c r="BZ909" s="75"/>
      <c r="CA909" s="73"/>
      <c r="CB909" s="75"/>
      <c r="CC909" s="75"/>
      <c r="CD909" s="75"/>
      <c r="CE909" s="73"/>
      <c r="CF909" s="75"/>
      <c r="CG909" s="75"/>
      <c r="CH909" s="75"/>
      <c r="CI909" s="73"/>
      <c r="CJ909" s="75"/>
      <c r="CK909" s="75"/>
      <c r="CL909" s="75"/>
      <c r="CM909" s="73"/>
      <c r="CN909" s="75"/>
      <c r="CO909" s="75"/>
      <c r="CP909" s="75"/>
      <c r="CQ909" s="73"/>
      <c r="CR909" s="75"/>
      <c r="CS909" s="75"/>
      <c r="CT909" s="75"/>
      <c r="CU909" s="73"/>
      <c r="CV909" s="75"/>
      <c r="CW909" s="75"/>
      <c r="CX909" s="75"/>
      <c r="CY909" s="73"/>
      <c r="CZ909" s="75"/>
      <c r="DA909" s="75"/>
      <c r="DB909" s="75"/>
      <c r="DC909" s="73"/>
      <c r="DD909" s="75"/>
      <c r="DE909" s="75"/>
      <c r="DF909" s="75"/>
      <c r="DG909" s="73"/>
      <c r="DH909" s="75"/>
      <c r="DI909" s="75"/>
      <c r="DJ909" s="75"/>
      <c r="DK909" s="76"/>
    </row>
    <row r="910" spans="63:115" x14ac:dyDescent="0.25">
      <c r="BK910" s="75"/>
      <c r="BL910" s="75"/>
      <c r="BM910" s="75"/>
      <c r="BN910" s="73"/>
      <c r="BO910" s="75"/>
      <c r="BP910" s="75"/>
      <c r="BQ910" s="75"/>
      <c r="BR910" s="75"/>
      <c r="BS910" s="75"/>
      <c r="BT910" s="75"/>
      <c r="BU910" s="75"/>
      <c r="BV910" s="75"/>
      <c r="BW910" s="75"/>
      <c r="BX910" s="75"/>
      <c r="BY910" s="75"/>
      <c r="BZ910" s="75"/>
      <c r="CA910" s="73"/>
      <c r="CB910" s="75"/>
      <c r="CC910" s="75"/>
      <c r="CD910" s="75"/>
      <c r="CE910" s="73"/>
      <c r="CF910" s="75"/>
      <c r="CG910" s="75"/>
      <c r="CH910" s="75"/>
      <c r="CI910" s="73"/>
      <c r="CJ910" s="75"/>
      <c r="CK910" s="75"/>
      <c r="CL910" s="75"/>
      <c r="CM910" s="73"/>
      <c r="CN910" s="75"/>
      <c r="CO910" s="75"/>
      <c r="CP910" s="75"/>
      <c r="CQ910" s="73"/>
      <c r="CR910" s="75"/>
      <c r="CS910" s="75"/>
      <c r="CT910" s="75"/>
      <c r="CU910" s="73"/>
      <c r="CV910" s="75"/>
      <c r="CW910" s="75"/>
      <c r="CX910" s="75"/>
      <c r="CY910" s="73"/>
      <c r="CZ910" s="75"/>
      <c r="DA910" s="75"/>
      <c r="DB910" s="75"/>
      <c r="DC910" s="73"/>
      <c r="DD910" s="75"/>
      <c r="DE910" s="75"/>
      <c r="DF910" s="75"/>
      <c r="DG910" s="73"/>
      <c r="DH910" s="75"/>
      <c r="DI910" s="75"/>
      <c r="DJ910" s="75"/>
      <c r="DK910" s="76"/>
    </row>
    <row r="911" spans="63:115" x14ac:dyDescent="0.25">
      <c r="BK911" s="75"/>
      <c r="BL911" s="75"/>
      <c r="BM911" s="75"/>
      <c r="BN911" s="73"/>
      <c r="BO911" s="75"/>
      <c r="BP911" s="75"/>
      <c r="BQ911" s="75"/>
      <c r="BR911" s="75"/>
      <c r="BS911" s="75"/>
      <c r="BT911" s="75"/>
      <c r="BU911" s="75"/>
      <c r="BV911" s="75"/>
      <c r="BW911" s="75"/>
      <c r="BX911" s="75"/>
      <c r="BY911" s="75"/>
      <c r="BZ911" s="75"/>
      <c r="CA911" s="73"/>
      <c r="CB911" s="75"/>
      <c r="CC911" s="75"/>
      <c r="CD911" s="75"/>
      <c r="CE911" s="73"/>
      <c r="CF911" s="75"/>
      <c r="CG911" s="75"/>
      <c r="CH911" s="75"/>
      <c r="CI911" s="73"/>
      <c r="CJ911" s="75"/>
      <c r="CK911" s="75"/>
      <c r="CL911" s="75"/>
      <c r="CM911" s="73"/>
      <c r="CN911" s="75"/>
      <c r="CO911" s="75"/>
      <c r="CP911" s="75"/>
      <c r="CQ911" s="73"/>
      <c r="CR911" s="75"/>
      <c r="CS911" s="75"/>
      <c r="CT911" s="75"/>
      <c r="CU911" s="73"/>
      <c r="CV911" s="75"/>
      <c r="CW911" s="75"/>
      <c r="CX911" s="75"/>
      <c r="CY911" s="73"/>
      <c r="CZ911" s="75"/>
      <c r="DA911" s="75"/>
      <c r="DB911" s="75"/>
      <c r="DC911" s="73"/>
      <c r="DD911" s="75"/>
      <c r="DE911" s="75"/>
      <c r="DF911" s="75"/>
      <c r="DG911" s="73"/>
      <c r="DH911" s="75"/>
      <c r="DI911" s="75"/>
      <c r="DJ911" s="75"/>
      <c r="DK911" s="76"/>
    </row>
    <row r="912" spans="63:115" x14ac:dyDescent="0.25">
      <c r="BK912" s="75"/>
      <c r="BL912" s="75"/>
      <c r="BM912" s="75"/>
      <c r="BN912" s="73"/>
      <c r="BO912" s="75"/>
      <c r="BP912" s="75"/>
      <c r="BQ912" s="75"/>
      <c r="BR912" s="75"/>
      <c r="BS912" s="75"/>
      <c r="BT912" s="75"/>
      <c r="BU912" s="75"/>
      <c r="BV912" s="75"/>
      <c r="BW912" s="75"/>
      <c r="BX912" s="75"/>
      <c r="BY912" s="75"/>
      <c r="BZ912" s="75"/>
      <c r="CA912" s="73"/>
      <c r="CB912" s="75"/>
      <c r="CC912" s="75"/>
      <c r="CD912" s="75"/>
      <c r="CE912" s="73"/>
      <c r="CF912" s="75"/>
      <c r="CG912" s="75"/>
      <c r="CH912" s="75"/>
      <c r="CI912" s="73"/>
      <c r="CJ912" s="75"/>
      <c r="CK912" s="75"/>
      <c r="CL912" s="75"/>
      <c r="CM912" s="73"/>
      <c r="CN912" s="75"/>
      <c r="CO912" s="75"/>
      <c r="CP912" s="75"/>
      <c r="CQ912" s="73"/>
      <c r="CR912" s="75"/>
      <c r="CS912" s="75"/>
      <c r="CT912" s="75"/>
      <c r="CU912" s="73"/>
      <c r="CV912" s="75"/>
      <c r="CW912" s="75"/>
      <c r="CX912" s="75"/>
      <c r="CY912" s="73"/>
      <c r="CZ912" s="75"/>
      <c r="DA912" s="75"/>
      <c r="DB912" s="75"/>
      <c r="DC912" s="73"/>
      <c r="DD912" s="75"/>
      <c r="DE912" s="75"/>
      <c r="DF912" s="75"/>
      <c r="DG912" s="73"/>
      <c r="DH912" s="75"/>
      <c r="DI912" s="75"/>
      <c r="DJ912" s="75"/>
      <c r="DK912" s="76"/>
    </row>
    <row r="913" spans="63:115" x14ac:dyDescent="0.25">
      <c r="BK913" s="75"/>
      <c r="BL913" s="75"/>
      <c r="BM913" s="75"/>
      <c r="BN913" s="73"/>
      <c r="BO913" s="75"/>
      <c r="BP913" s="75"/>
      <c r="BQ913" s="75"/>
      <c r="BR913" s="75"/>
      <c r="BS913" s="75"/>
      <c r="BT913" s="75"/>
      <c r="BU913" s="75"/>
      <c r="BV913" s="75"/>
      <c r="BW913" s="75"/>
      <c r="BX913" s="75"/>
      <c r="BY913" s="75"/>
      <c r="BZ913" s="75"/>
      <c r="CA913" s="73"/>
      <c r="CB913" s="75"/>
      <c r="CC913" s="75"/>
      <c r="CD913" s="75"/>
      <c r="CE913" s="73"/>
      <c r="CF913" s="75"/>
      <c r="CG913" s="75"/>
      <c r="CH913" s="75"/>
      <c r="CI913" s="73"/>
      <c r="CJ913" s="75"/>
      <c r="CK913" s="75"/>
      <c r="CL913" s="75"/>
      <c r="CM913" s="73"/>
      <c r="CN913" s="75"/>
      <c r="CO913" s="75"/>
      <c r="CP913" s="75"/>
      <c r="CQ913" s="73"/>
      <c r="CR913" s="75"/>
      <c r="CS913" s="75"/>
      <c r="CT913" s="75"/>
      <c r="CU913" s="73"/>
      <c r="CV913" s="75"/>
      <c r="CW913" s="75"/>
      <c r="CX913" s="75"/>
      <c r="CY913" s="73"/>
      <c r="CZ913" s="75"/>
      <c r="DA913" s="75"/>
      <c r="DB913" s="75"/>
      <c r="DC913" s="73"/>
      <c r="DD913" s="75"/>
      <c r="DE913" s="75"/>
      <c r="DF913" s="75"/>
      <c r="DG913" s="73"/>
      <c r="DH913" s="75"/>
      <c r="DI913" s="75"/>
      <c r="DJ913" s="75"/>
      <c r="DK913" s="76"/>
    </row>
    <row r="914" spans="63:115" x14ac:dyDescent="0.25">
      <c r="BK914" s="75"/>
      <c r="BL914" s="75"/>
      <c r="BM914" s="75"/>
      <c r="BN914" s="73"/>
      <c r="BO914" s="75"/>
      <c r="BP914" s="75"/>
      <c r="BQ914" s="75"/>
      <c r="BR914" s="75"/>
      <c r="BS914" s="75"/>
      <c r="BT914" s="75"/>
      <c r="BU914" s="75"/>
      <c r="BV914" s="75"/>
      <c r="BW914" s="75"/>
      <c r="BX914" s="75"/>
      <c r="BY914" s="75"/>
      <c r="BZ914" s="75"/>
      <c r="CA914" s="73"/>
      <c r="CB914" s="75"/>
      <c r="CC914" s="75"/>
      <c r="CD914" s="75"/>
      <c r="CE914" s="73"/>
      <c r="CF914" s="75"/>
      <c r="CG914" s="75"/>
      <c r="CH914" s="75"/>
      <c r="CI914" s="73"/>
      <c r="CJ914" s="75"/>
      <c r="CK914" s="75"/>
      <c r="CL914" s="75"/>
      <c r="CM914" s="73"/>
      <c r="CN914" s="75"/>
      <c r="CO914" s="75"/>
      <c r="CP914" s="75"/>
      <c r="CQ914" s="73"/>
      <c r="CR914" s="75"/>
      <c r="CS914" s="75"/>
      <c r="CT914" s="75"/>
      <c r="CU914" s="73"/>
      <c r="CV914" s="75"/>
      <c r="CW914" s="75"/>
      <c r="CX914" s="75"/>
      <c r="CY914" s="73"/>
      <c r="CZ914" s="75"/>
      <c r="DA914" s="75"/>
      <c r="DB914" s="75"/>
      <c r="DC914" s="73"/>
      <c r="DD914" s="75"/>
      <c r="DE914" s="75"/>
      <c r="DF914" s="75"/>
      <c r="DG914" s="73"/>
      <c r="DH914" s="75"/>
      <c r="DI914" s="75"/>
      <c r="DJ914" s="75"/>
      <c r="DK914" s="76"/>
    </row>
    <row r="915" spans="63:115" x14ac:dyDescent="0.25">
      <c r="BK915" s="75"/>
      <c r="BL915" s="75"/>
      <c r="BM915" s="75"/>
      <c r="BN915" s="73"/>
      <c r="BO915" s="75"/>
      <c r="BP915" s="75"/>
      <c r="BQ915" s="75"/>
      <c r="BR915" s="75"/>
      <c r="BS915" s="75"/>
      <c r="BT915" s="75"/>
      <c r="BU915" s="75"/>
      <c r="BV915" s="75"/>
      <c r="BW915" s="75"/>
      <c r="BX915" s="75"/>
      <c r="BY915" s="75"/>
      <c r="BZ915" s="75"/>
      <c r="CA915" s="73"/>
      <c r="CB915" s="75"/>
      <c r="CC915" s="75"/>
      <c r="CD915" s="75"/>
      <c r="CE915" s="73"/>
      <c r="CF915" s="75"/>
      <c r="CG915" s="75"/>
      <c r="CH915" s="75"/>
      <c r="CI915" s="73"/>
      <c r="CJ915" s="75"/>
      <c r="CK915" s="75"/>
      <c r="CL915" s="75"/>
      <c r="CM915" s="73"/>
      <c r="CN915" s="75"/>
      <c r="CO915" s="75"/>
      <c r="CP915" s="75"/>
      <c r="CQ915" s="73"/>
      <c r="CR915" s="75"/>
      <c r="CS915" s="75"/>
      <c r="CT915" s="75"/>
      <c r="CU915" s="73"/>
      <c r="CV915" s="75"/>
      <c r="CW915" s="75"/>
      <c r="CX915" s="75"/>
      <c r="CY915" s="73"/>
      <c r="CZ915" s="75"/>
      <c r="DA915" s="75"/>
      <c r="DB915" s="75"/>
      <c r="DC915" s="73"/>
      <c r="DD915" s="75"/>
      <c r="DE915" s="75"/>
      <c r="DF915" s="75"/>
      <c r="DG915" s="73"/>
      <c r="DH915" s="75"/>
      <c r="DI915" s="75"/>
      <c r="DJ915" s="75"/>
      <c r="DK915" s="76"/>
    </row>
    <row r="916" spans="63:115" x14ac:dyDescent="0.25">
      <c r="BK916" s="75"/>
      <c r="BL916" s="75"/>
      <c r="BM916" s="75"/>
      <c r="BN916" s="73"/>
      <c r="BO916" s="75"/>
      <c r="BP916" s="75"/>
      <c r="BQ916" s="75"/>
      <c r="BR916" s="75"/>
      <c r="BS916" s="75"/>
      <c r="BT916" s="75"/>
      <c r="BU916" s="75"/>
      <c r="BV916" s="75"/>
      <c r="BW916" s="75"/>
      <c r="BX916" s="75"/>
      <c r="BY916" s="75"/>
      <c r="BZ916" s="75"/>
      <c r="CA916" s="73"/>
      <c r="CB916" s="75"/>
      <c r="CC916" s="75"/>
      <c r="CD916" s="75"/>
      <c r="CE916" s="73"/>
      <c r="CF916" s="75"/>
      <c r="CG916" s="75"/>
      <c r="CH916" s="75"/>
      <c r="CI916" s="73"/>
      <c r="CJ916" s="75"/>
      <c r="CK916" s="75"/>
      <c r="CL916" s="75"/>
      <c r="CM916" s="73"/>
      <c r="CN916" s="75"/>
      <c r="CO916" s="75"/>
      <c r="CP916" s="75"/>
      <c r="CQ916" s="73"/>
      <c r="CR916" s="75"/>
      <c r="CS916" s="75"/>
      <c r="CT916" s="75"/>
      <c r="CU916" s="73"/>
      <c r="CV916" s="75"/>
      <c r="CW916" s="75"/>
      <c r="CX916" s="75"/>
      <c r="CY916" s="73"/>
      <c r="CZ916" s="75"/>
      <c r="DA916" s="75"/>
      <c r="DB916" s="75"/>
      <c r="DC916" s="73"/>
      <c r="DD916" s="75"/>
      <c r="DE916" s="75"/>
      <c r="DF916" s="75"/>
      <c r="DG916" s="73"/>
      <c r="DH916" s="75"/>
      <c r="DI916" s="75"/>
      <c r="DJ916" s="75"/>
      <c r="DK916" s="76"/>
    </row>
    <row r="917" spans="63:115" x14ac:dyDescent="0.25">
      <c r="BK917" s="75"/>
      <c r="BL917" s="75"/>
      <c r="BM917" s="75"/>
      <c r="BN917" s="73"/>
      <c r="BO917" s="75"/>
      <c r="BP917" s="75"/>
      <c r="BQ917" s="75"/>
      <c r="BR917" s="75"/>
      <c r="BS917" s="75"/>
      <c r="BT917" s="75"/>
      <c r="BU917" s="75"/>
      <c r="BV917" s="75"/>
      <c r="BW917" s="75"/>
      <c r="BX917" s="75"/>
      <c r="BY917" s="75"/>
      <c r="BZ917" s="75"/>
      <c r="CA917" s="73"/>
      <c r="CB917" s="75"/>
      <c r="CC917" s="75"/>
      <c r="CD917" s="75"/>
      <c r="CE917" s="73"/>
      <c r="CF917" s="75"/>
      <c r="CG917" s="75"/>
      <c r="CH917" s="75"/>
      <c r="CI917" s="73"/>
      <c r="CJ917" s="75"/>
      <c r="CK917" s="75"/>
      <c r="CL917" s="75"/>
      <c r="CM917" s="73"/>
      <c r="CN917" s="75"/>
      <c r="CO917" s="75"/>
      <c r="CP917" s="75"/>
      <c r="CQ917" s="73"/>
      <c r="CR917" s="75"/>
      <c r="CS917" s="75"/>
      <c r="CT917" s="75"/>
      <c r="CU917" s="73"/>
      <c r="CV917" s="75"/>
      <c r="CW917" s="75"/>
      <c r="CX917" s="75"/>
      <c r="CY917" s="73"/>
      <c r="CZ917" s="75"/>
      <c r="DA917" s="75"/>
      <c r="DB917" s="75"/>
      <c r="DC917" s="73"/>
      <c r="DD917" s="75"/>
      <c r="DE917" s="75"/>
      <c r="DF917" s="75"/>
      <c r="DG917" s="73"/>
      <c r="DH917" s="75"/>
      <c r="DI917" s="75"/>
      <c r="DJ917" s="75"/>
      <c r="DK917" s="76"/>
    </row>
    <row r="918" spans="63:115" x14ac:dyDescent="0.25">
      <c r="BK918" s="75"/>
      <c r="BL918" s="75"/>
      <c r="BM918" s="75"/>
      <c r="BN918" s="73"/>
      <c r="BO918" s="75"/>
      <c r="BP918" s="75"/>
      <c r="BQ918" s="75"/>
      <c r="BR918" s="75"/>
      <c r="BS918" s="75"/>
      <c r="BT918" s="75"/>
      <c r="BU918" s="75"/>
      <c r="BV918" s="75"/>
      <c r="BW918" s="75"/>
      <c r="BX918" s="75"/>
      <c r="BY918" s="75"/>
      <c r="BZ918" s="75"/>
      <c r="CA918" s="73"/>
      <c r="CB918" s="75"/>
      <c r="CC918" s="75"/>
      <c r="CD918" s="75"/>
      <c r="CE918" s="73"/>
      <c r="CF918" s="75"/>
      <c r="CG918" s="75"/>
      <c r="CH918" s="75"/>
      <c r="CI918" s="73"/>
      <c r="CJ918" s="75"/>
      <c r="CK918" s="75"/>
      <c r="CL918" s="75"/>
      <c r="CM918" s="73"/>
      <c r="CN918" s="75"/>
      <c r="CO918" s="75"/>
      <c r="CP918" s="75"/>
      <c r="CQ918" s="73"/>
      <c r="CR918" s="75"/>
      <c r="CS918" s="75"/>
      <c r="CT918" s="75"/>
      <c r="CU918" s="73"/>
      <c r="CV918" s="75"/>
      <c r="CW918" s="75"/>
      <c r="CX918" s="75"/>
      <c r="CY918" s="73"/>
      <c r="CZ918" s="75"/>
      <c r="DA918" s="75"/>
      <c r="DB918" s="75"/>
      <c r="DC918" s="73"/>
      <c r="DD918" s="75"/>
      <c r="DE918" s="75"/>
      <c r="DF918" s="75"/>
      <c r="DG918" s="73"/>
      <c r="DH918" s="75"/>
      <c r="DI918" s="75"/>
      <c r="DJ918" s="75"/>
      <c r="DK918" s="76"/>
    </row>
    <row r="919" spans="63:115" x14ac:dyDescent="0.25">
      <c r="BK919" s="75"/>
      <c r="BL919" s="75"/>
      <c r="BM919" s="75"/>
      <c r="BN919" s="73"/>
      <c r="BO919" s="75"/>
      <c r="BP919" s="75"/>
      <c r="BQ919" s="75"/>
      <c r="BR919" s="75"/>
      <c r="BS919" s="75"/>
      <c r="BT919" s="75"/>
      <c r="BU919" s="75"/>
      <c r="BV919" s="75"/>
      <c r="BW919" s="75"/>
      <c r="BX919" s="75"/>
      <c r="BY919" s="75"/>
      <c r="BZ919" s="75"/>
      <c r="CA919" s="73"/>
      <c r="CB919" s="75"/>
      <c r="CC919" s="75"/>
      <c r="CD919" s="75"/>
      <c r="CE919" s="73"/>
      <c r="CF919" s="75"/>
      <c r="CG919" s="75"/>
      <c r="CH919" s="75"/>
      <c r="CI919" s="73"/>
      <c r="CJ919" s="75"/>
      <c r="CK919" s="75"/>
      <c r="CL919" s="75"/>
      <c r="CM919" s="73"/>
      <c r="CN919" s="75"/>
      <c r="CO919" s="75"/>
      <c r="CP919" s="75"/>
      <c r="CQ919" s="73"/>
      <c r="CR919" s="75"/>
      <c r="CS919" s="75"/>
      <c r="CT919" s="75"/>
      <c r="CU919" s="73"/>
      <c r="CV919" s="75"/>
      <c r="CW919" s="75"/>
      <c r="CX919" s="75"/>
      <c r="CY919" s="73"/>
      <c r="CZ919" s="75"/>
      <c r="DA919" s="75"/>
      <c r="DB919" s="75"/>
      <c r="DC919" s="73"/>
      <c r="DD919" s="75"/>
      <c r="DE919" s="75"/>
      <c r="DF919" s="75"/>
      <c r="DG919" s="73"/>
      <c r="DH919" s="75"/>
      <c r="DI919" s="75"/>
      <c r="DJ919" s="75"/>
      <c r="DK919" s="76"/>
    </row>
    <row r="920" spans="63:115" x14ac:dyDescent="0.25">
      <c r="BK920" s="75"/>
      <c r="BL920" s="75"/>
      <c r="BM920" s="75"/>
      <c r="BN920" s="73"/>
      <c r="BO920" s="75"/>
      <c r="BP920" s="75"/>
      <c r="BQ920" s="75"/>
      <c r="BR920" s="75"/>
      <c r="BS920" s="75"/>
      <c r="BT920" s="75"/>
      <c r="BU920" s="75"/>
      <c r="BV920" s="75"/>
      <c r="BW920" s="75"/>
      <c r="BX920" s="75"/>
      <c r="BY920" s="75"/>
      <c r="BZ920" s="75"/>
      <c r="CA920" s="73"/>
      <c r="CB920" s="75"/>
      <c r="CC920" s="75"/>
      <c r="CD920" s="75"/>
      <c r="CE920" s="73"/>
      <c r="CF920" s="75"/>
      <c r="CG920" s="75"/>
      <c r="CH920" s="75"/>
      <c r="CI920" s="73"/>
      <c r="CJ920" s="75"/>
      <c r="CK920" s="75"/>
      <c r="CL920" s="75"/>
      <c r="CM920" s="73"/>
      <c r="CN920" s="75"/>
      <c r="CO920" s="75"/>
      <c r="CP920" s="75"/>
      <c r="CQ920" s="73"/>
      <c r="CR920" s="75"/>
      <c r="CS920" s="75"/>
      <c r="CT920" s="75"/>
      <c r="CU920" s="73"/>
      <c r="CV920" s="75"/>
      <c r="CW920" s="75"/>
      <c r="CX920" s="75"/>
      <c r="CY920" s="73"/>
      <c r="CZ920" s="75"/>
      <c r="DA920" s="75"/>
      <c r="DB920" s="75"/>
      <c r="DC920" s="73"/>
      <c r="DD920" s="75"/>
      <c r="DE920" s="75"/>
      <c r="DF920" s="75"/>
      <c r="DG920" s="73"/>
      <c r="DH920" s="75"/>
      <c r="DI920" s="75"/>
      <c r="DJ920" s="75"/>
      <c r="DK920" s="76"/>
    </row>
    <row r="921" spans="63:115" x14ac:dyDescent="0.25">
      <c r="BK921" s="75"/>
      <c r="BL921" s="75"/>
      <c r="BM921" s="75"/>
      <c r="BN921" s="73"/>
      <c r="BO921" s="75"/>
      <c r="BP921" s="75"/>
      <c r="BQ921" s="75"/>
      <c r="BR921" s="75"/>
      <c r="BS921" s="75"/>
      <c r="BT921" s="75"/>
      <c r="BU921" s="75"/>
      <c r="BV921" s="75"/>
      <c r="BW921" s="75"/>
      <c r="BX921" s="75"/>
      <c r="BY921" s="75"/>
      <c r="BZ921" s="75"/>
      <c r="CA921" s="73"/>
      <c r="CB921" s="75"/>
      <c r="CC921" s="75"/>
      <c r="CD921" s="75"/>
      <c r="CE921" s="73"/>
      <c r="CF921" s="75"/>
      <c r="CG921" s="75"/>
      <c r="CH921" s="75"/>
      <c r="CI921" s="73"/>
      <c r="CJ921" s="75"/>
      <c r="CK921" s="75"/>
      <c r="CL921" s="75"/>
      <c r="CM921" s="73"/>
      <c r="CN921" s="75"/>
      <c r="CO921" s="75"/>
      <c r="CP921" s="75"/>
      <c r="CQ921" s="73"/>
      <c r="CR921" s="75"/>
      <c r="CS921" s="75"/>
      <c r="CT921" s="75"/>
      <c r="CU921" s="73"/>
      <c r="CV921" s="75"/>
      <c r="CW921" s="75"/>
      <c r="CX921" s="75"/>
      <c r="CY921" s="73"/>
      <c r="CZ921" s="75"/>
      <c r="DA921" s="75"/>
      <c r="DB921" s="75"/>
      <c r="DC921" s="73"/>
      <c r="DD921" s="75"/>
      <c r="DE921" s="75"/>
      <c r="DF921" s="75"/>
      <c r="DG921" s="73"/>
      <c r="DH921" s="75"/>
      <c r="DI921" s="75"/>
      <c r="DJ921" s="75"/>
      <c r="DK921" s="76"/>
    </row>
    <row r="922" spans="63:115" x14ac:dyDescent="0.25">
      <c r="BK922" s="75"/>
      <c r="BL922" s="75"/>
      <c r="BM922" s="75"/>
      <c r="BN922" s="73"/>
      <c r="BO922" s="75"/>
      <c r="BP922" s="75"/>
      <c r="BQ922" s="75"/>
      <c r="BR922" s="75"/>
      <c r="BS922" s="75"/>
      <c r="BT922" s="75"/>
      <c r="BU922" s="75"/>
      <c r="BV922" s="75"/>
      <c r="BW922" s="75"/>
      <c r="BX922" s="75"/>
      <c r="BY922" s="75"/>
      <c r="BZ922" s="75"/>
      <c r="CA922" s="73"/>
      <c r="CB922" s="75"/>
      <c r="CC922" s="75"/>
      <c r="CD922" s="75"/>
      <c r="CE922" s="73"/>
      <c r="CF922" s="75"/>
      <c r="CG922" s="75"/>
      <c r="CH922" s="75"/>
      <c r="CI922" s="73"/>
      <c r="CJ922" s="75"/>
      <c r="CK922" s="75"/>
      <c r="CL922" s="75"/>
      <c r="CM922" s="73"/>
      <c r="CN922" s="75"/>
      <c r="CO922" s="75"/>
      <c r="CP922" s="75"/>
      <c r="CQ922" s="73"/>
      <c r="CR922" s="75"/>
      <c r="CS922" s="75"/>
      <c r="CT922" s="75"/>
      <c r="CU922" s="73"/>
      <c r="CV922" s="75"/>
      <c r="CW922" s="75"/>
      <c r="CX922" s="75"/>
      <c r="CY922" s="73"/>
      <c r="CZ922" s="75"/>
      <c r="DA922" s="75"/>
      <c r="DB922" s="75"/>
      <c r="DC922" s="73"/>
      <c r="DD922" s="75"/>
      <c r="DE922" s="75"/>
      <c r="DF922" s="75"/>
      <c r="DG922" s="73"/>
      <c r="DH922" s="75"/>
      <c r="DI922" s="75"/>
      <c r="DJ922" s="75"/>
      <c r="DK922" s="76"/>
    </row>
    <row r="923" spans="63:115" x14ac:dyDescent="0.25">
      <c r="BK923" s="75"/>
      <c r="BL923" s="75"/>
      <c r="BM923" s="75"/>
      <c r="BN923" s="73"/>
      <c r="BO923" s="75"/>
      <c r="BP923" s="75"/>
      <c r="BQ923" s="75"/>
      <c r="BR923" s="75"/>
      <c r="BS923" s="75"/>
      <c r="BT923" s="75"/>
      <c r="BU923" s="75"/>
      <c r="BV923" s="75"/>
      <c r="BW923" s="75"/>
      <c r="BX923" s="75"/>
      <c r="BY923" s="75"/>
      <c r="BZ923" s="75"/>
      <c r="CA923" s="73"/>
      <c r="CB923" s="75"/>
      <c r="CC923" s="75"/>
      <c r="CD923" s="75"/>
      <c r="CE923" s="73"/>
      <c r="CF923" s="75"/>
      <c r="CG923" s="75"/>
      <c r="CH923" s="75"/>
      <c r="CI923" s="73"/>
      <c r="CJ923" s="75"/>
      <c r="CK923" s="75"/>
      <c r="CL923" s="75"/>
      <c r="CM923" s="73"/>
      <c r="CN923" s="75"/>
      <c r="CO923" s="75"/>
      <c r="CP923" s="75"/>
      <c r="CQ923" s="73"/>
      <c r="CR923" s="75"/>
      <c r="CS923" s="75"/>
      <c r="CT923" s="75"/>
      <c r="CU923" s="73"/>
      <c r="CV923" s="75"/>
      <c r="CW923" s="75"/>
      <c r="CX923" s="75"/>
      <c r="CY923" s="73"/>
      <c r="CZ923" s="75"/>
      <c r="DA923" s="75"/>
      <c r="DB923" s="75"/>
      <c r="DC923" s="73"/>
      <c r="DD923" s="75"/>
      <c r="DE923" s="75"/>
      <c r="DF923" s="75"/>
      <c r="DG923" s="73"/>
      <c r="DH923" s="75"/>
      <c r="DI923" s="75"/>
      <c r="DJ923" s="75"/>
      <c r="DK923" s="76"/>
    </row>
    <row r="924" spans="63:115" x14ac:dyDescent="0.25">
      <c r="BK924" s="75"/>
      <c r="BL924" s="75"/>
      <c r="BM924" s="75"/>
      <c r="BN924" s="73"/>
      <c r="BO924" s="75"/>
      <c r="BP924" s="75"/>
      <c r="BQ924" s="75"/>
      <c r="BR924" s="75"/>
      <c r="BS924" s="75"/>
      <c r="BT924" s="75"/>
      <c r="BU924" s="75"/>
      <c r="BV924" s="75"/>
      <c r="BW924" s="75"/>
      <c r="BX924" s="75"/>
      <c r="BY924" s="75"/>
      <c r="BZ924" s="75"/>
      <c r="CA924" s="73"/>
      <c r="CB924" s="75"/>
      <c r="CC924" s="75"/>
      <c r="CD924" s="75"/>
      <c r="CE924" s="73"/>
      <c r="CF924" s="75"/>
      <c r="CG924" s="75"/>
      <c r="CH924" s="75"/>
      <c r="CI924" s="73"/>
      <c r="CJ924" s="75"/>
      <c r="CK924" s="75"/>
      <c r="CL924" s="75"/>
      <c r="CM924" s="73"/>
      <c r="CN924" s="75"/>
      <c r="CO924" s="75"/>
      <c r="CP924" s="75"/>
      <c r="CQ924" s="73"/>
      <c r="CR924" s="75"/>
      <c r="CS924" s="75"/>
      <c r="CT924" s="75"/>
      <c r="CU924" s="73"/>
      <c r="CV924" s="75"/>
      <c r="CW924" s="75"/>
      <c r="CX924" s="75"/>
      <c r="CY924" s="73"/>
      <c r="CZ924" s="75"/>
      <c r="DA924" s="75"/>
      <c r="DB924" s="75"/>
      <c r="DC924" s="73"/>
      <c r="DD924" s="75"/>
      <c r="DE924" s="75"/>
      <c r="DF924" s="75"/>
      <c r="DG924" s="73"/>
      <c r="DH924" s="75"/>
      <c r="DI924" s="75"/>
      <c r="DJ924" s="75"/>
      <c r="DK924" s="76"/>
    </row>
    <row r="925" spans="63:115" x14ac:dyDescent="0.25">
      <c r="BK925" s="75"/>
      <c r="BL925" s="75"/>
      <c r="BM925" s="75"/>
      <c r="BN925" s="73"/>
      <c r="BO925" s="75"/>
      <c r="BP925" s="75"/>
      <c r="BQ925" s="75"/>
      <c r="BR925" s="75"/>
      <c r="BS925" s="75"/>
      <c r="BT925" s="75"/>
      <c r="BU925" s="75"/>
      <c r="BV925" s="75"/>
      <c r="BW925" s="75"/>
      <c r="BX925" s="75"/>
      <c r="BY925" s="75"/>
      <c r="BZ925" s="75"/>
      <c r="CA925" s="73"/>
      <c r="CB925" s="75"/>
      <c r="CC925" s="75"/>
      <c r="CD925" s="75"/>
      <c r="CE925" s="73"/>
      <c r="CF925" s="75"/>
      <c r="CG925" s="75"/>
      <c r="CH925" s="75"/>
      <c r="CI925" s="73"/>
      <c r="CJ925" s="75"/>
      <c r="CK925" s="75"/>
      <c r="CL925" s="75"/>
      <c r="CM925" s="73"/>
      <c r="CN925" s="75"/>
      <c r="CO925" s="75"/>
      <c r="CP925" s="75"/>
      <c r="CQ925" s="73"/>
      <c r="CR925" s="75"/>
      <c r="CS925" s="75"/>
      <c r="CT925" s="75"/>
      <c r="CU925" s="73"/>
      <c r="CV925" s="75"/>
      <c r="CW925" s="75"/>
      <c r="CX925" s="75"/>
      <c r="CY925" s="73"/>
      <c r="CZ925" s="75"/>
      <c r="DA925" s="75"/>
      <c r="DB925" s="75"/>
      <c r="DC925" s="73"/>
      <c r="DD925" s="75"/>
      <c r="DE925" s="75"/>
      <c r="DF925" s="75"/>
      <c r="DG925" s="73"/>
      <c r="DH925" s="75"/>
      <c r="DI925" s="75"/>
      <c r="DJ925" s="75"/>
      <c r="DK925" s="76"/>
    </row>
    <row r="926" spans="63:115" x14ac:dyDescent="0.25">
      <c r="BK926" s="75"/>
      <c r="BL926" s="75"/>
      <c r="BM926" s="75"/>
      <c r="BN926" s="73"/>
      <c r="BO926" s="75"/>
      <c r="BP926" s="75"/>
      <c r="BQ926" s="75"/>
      <c r="BR926" s="75"/>
      <c r="BS926" s="75"/>
      <c r="BT926" s="75"/>
      <c r="BU926" s="75"/>
      <c r="BV926" s="75"/>
      <c r="BW926" s="75"/>
      <c r="BX926" s="75"/>
      <c r="BY926" s="75"/>
      <c r="BZ926" s="75"/>
      <c r="CA926" s="73"/>
      <c r="CB926" s="75"/>
      <c r="CC926" s="75"/>
      <c r="CD926" s="75"/>
      <c r="CE926" s="73"/>
      <c r="CF926" s="75"/>
      <c r="CG926" s="75"/>
      <c r="CH926" s="75"/>
      <c r="CI926" s="73"/>
      <c r="CJ926" s="75"/>
      <c r="CK926" s="75"/>
      <c r="CL926" s="75"/>
      <c r="CM926" s="73"/>
      <c r="CN926" s="75"/>
      <c r="CO926" s="75"/>
      <c r="CP926" s="75"/>
      <c r="CQ926" s="73"/>
      <c r="CR926" s="75"/>
      <c r="CS926" s="75"/>
      <c r="CT926" s="75"/>
      <c r="CU926" s="73"/>
      <c r="CV926" s="75"/>
      <c r="CW926" s="75"/>
      <c r="CX926" s="75"/>
      <c r="CY926" s="73"/>
      <c r="CZ926" s="75"/>
      <c r="DA926" s="75"/>
      <c r="DB926" s="75"/>
      <c r="DC926" s="73"/>
      <c r="DD926" s="75"/>
      <c r="DE926" s="75"/>
      <c r="DF926" s="75"/>
      <c r="DG926" s="73"/>
      <c r="DH926" s="75"/>
      <c r="DI926" s="75"/>
      <c r="DJ926" s="75"/>
      <c r="DK926" s="76"/>
    </row>
    <row r="927" spans="63:115" x14ac:dyDescent="0.25">
      <c r="BK927" s="75"/>
      <c r="BL927" s="75"/>
      <c r="BM927" s="75"/>
      <c r="BN927" s="73"/>
      <c r="BO927" s="75"/>
      <c r="BP927" s="75"/>
      <c r="BQ927" s="75"/>
      <c r="BR927" s="75"/>
      <c r="BS927" s="75"/>
      <c r="BT927" s="75"/>
      <c r="BU927" s="75"/>
      <c r="BV927" s="75"/>
      <c r="BW927" s="75"/>
      <c r="BX927" s="75"/>
      <c r="BY927" s="75"/>
      <c r="BZ927" s="75"/>
      <c r="CA927" s="73"/>
      <c r="CB927" s="75"/>
      <c r="CC927" s="75"/>
      <c r="CD927" s="75"/>
      <c r="CE927" s="73"/>
      <c r="CF927" s="75"/>
      <c r="CG927" s="75"/>
      <c r="CH927" s="75"/>
      <c r="CI927" s="73"/>
      <c r="CJ927" s="75"/>
      <c r="CK927" s="75"/>
      <c r="CL927" s="75"/>
      <c r="CM927" s="73"/>
      <c r="CN927" s="75"/>
      <c r="CO927" s="75"/>
      <c r="CP927" s="75"/>
      <c r="CQ927" s="73"/>
      <c r="CR927" s="75"/>
      <c r="CS927" s="75"/>
      <c r="CT927" s="75"/>
      <c r="CU927" s="73"/>
      <c r="CV927" s="75"/>
      <c r="CW927" s="75"/>
      <c r="CX927" s="75"/>
      <c r="CY927" s="73"/>
      <c r="CZ927" s="75"/>
      <c r="DA927" s="75"/>
      <c r="DB927" s="75"/>
      <c r="DC927" s="73"/>
      <c r="DD927" s="75"/>
      <c r="DE927" s="75"/>
      <c r="DF927" s="75"/>
      <c r="DG927" s="73"/>
      <c r="DH927" s="75"/>
      <c r="DI927" s="75"/>
      <c r="DJ927" s="75"/>
      <c r="DK927" s="76"/>
    </row>
    <row r="928" spans="63:115" x14ac:dyDescent="0.25">
      <c r="BK928" s="75"/>
      <c r="BL928" s="75"/>
      <c r="BM928" s="75"/>
      <c r="BN928" s="73"/>
      <c r="BO928" s="75"/>
      <c r="BP928" s="75"/>
      <c r="BQ928" s="75"/>
      <c r="BR928" s="75"/>
      <c r="BS928" s="75"/>
      <c r="BT928" s="75"/>
      <c r="BU928" s="75"/>
      <c r="BV928" s="75"/>
      <c r="BW928" s="75"/>
      <c r="BX928" s="75"/>
      <c r="BY928" s="75"/>
      <c r="BZ928" s="75"/>
      <c r="CA928" s="73"/>
      <c r="CB928" s="75"/>
      <c r="CC928" s="75"/>
      <c r="CD928" s="75"/>
      <c r="CE928" s="73"/>
      <c r="CF928" s="75"/>
      <c r="CG928" s="75"/>
      <c r="CH928" s="75"/>
      <c r="CI928" s="73"/>
      <c r="CJ928" s="75"/>
      <c r="CK928" s="75"/>
      <c r="CL928" s="75"/>
      <c r="CM928" s="73"/>
      <c r="CN928" s="75"/>
      <c r="CO928" s="75"/>
      <c r="CP928" s="75"/>
      <c r="CQ928" s="73"/>
      <c r="CR928" s="75"/>
      <c r="CS928" s="75"/>
      <c r="CT928" s="75"/>
      <c r="CU928" s="73"/>
      <c r="CV928" s="75"/>
      <c r="CW928" s="75"/>
      <c r="CX928" s="75"/>
      <c r="CY928" s="73"/>
      <c r="CZ928" s="75"/>
      <c r="DA928" s="75"/>
      <c r="DB928" s="75"/>
      <c r="DC928" s="73"/>
      <c r="DD928" s="75"/>
      <c r="DE928" s="75"/>
      <c r="DF928" s="75"/>
      <c r="DG928" s="73"/>
      <c r="DH928" s="75"/>
      <c r="DI928" s="75"/>
      <c r="DJ928" s="75"/>
      <c r="DK928" s="76"/>
    </row>
    <row r="929" spans="63:115" x14ac:dyDescent="0.25">
      <c r="BK929" s="75"/>
      <c r="BL929" s="75"/>
      <c r="BM929" s="75"/>
      <c r="BN929" s="73"/>
      <c r="BO929" s="75"/>
      <c r="BP929" s="75"/>
      <c r="BQ929" s="75"/>
      <c r="BR929" s="75"/>
      <c r="BS929" s="75"/>
      <c r="BT929" s="75"/>
      <c r="BU929" s="75"/>
      <c r="BV929" s="75"/>
      <c r="BW929" s="75"/>
      <c r="BX929" s="75"/>
      <c r="BY929" s="75"/>
      <c r="BZ929" s="75"/>
      <c r="CA929" s="73"/>
      <c r="CB929" s="75"/>
      <c r="CC929" s="75"/>
      <c r="CD929" s="75"/>
      <c r="CE929" s="73"/>
      <c r="CF929" s="75"/>
      <c r="CG929" s="75"/>
      <c r="CH929" s="75"/>
      <c r="CI929" s="73"/>
      <c r="CJ929" s="75"/>
      <c r="CK929" s="75"/>
      <c r="CL929" s="75"/>
      <c r="CM929" s="73"/>
      <c r="CN929" s="75"/>
      <c r="CO929" s="75"/>
      <c r="CP929" s="75"/>
      <c r="CQ929" s="73"/>
      <c r="CR929" s="75"/>
      <c r="CS929" s="75"/>
      <c r="CT929" s="75"/>
      <c r="CU929" s="73"/>
      <c r="CV929" s="75"/>
      <c r="CW929" s="75"/>
      <c r="CX929" s="75"/>
      <c r="CY929" s="73"/>
      <c r="CZ929" s="75"/>
      <c r="DA929" s="75"/>
      <c r="DB929" s="75"/>
      <c r="DC929" s="73"/>
      <c r="DD929" s="75"/>
      <c r="DE929" s="75"/>
      <c r="DF929" s="75"/>
      <c r="DG929" s="73"/>
      <c r="DH929" s="75"/>
      <c r="DI929" s="75"/>
      <c r="DJ929" s="75"/>
      <c r="DK929" s="76"/>
    </row>
    <row r="930" spans="63:115" x14ac:dyDescent="0.25">
      <c r="BK930" s="75"/>
      <c r="BL930" s="75"/>
      <c r="BM930" s="75"/>
      <c r="BN930" s="73"/>
      <c r="BO930" s="75"/>
      <c r="BP930" s="75"/>
      <c r="BQ930" s="75"/>
      <c r="BR930" s="75"/>
      <c r="BS930" s="75"/>
      <c r="BT930" s="75"/>
      <c r="BU930" s="75"/>
      <c r="BV930" s="75"/>
      <c r="BW930" s="75"/>
      <c r="BX930" s="75"/>
      <c r="BY930" s="75"/>
      <c r="BZ930" s="75"/>
      <c r="CA930" s="73"/>
      <c r="CB930" s="75"/>
      <c r="CC930" s="75"/>
      <c r="CD930" s="75"/>
      <c r="CE930" s="73"/>
      <c r="CF930" s="75"/>
      <c r="CG930" s="75"/>
      <c r="CH930" s="75"/>
      <c r="CI930" s="73"/>
      <c r="CJ930" s="75"/>
      <c r="CK930" s="75"/>
      <c r="CL930" s="75"/>
      <c r="CM930" s="73"/>
      <c r="CN930" s="75"/>
      <c r="CO930" s="75"/>
      <c r="CP930" s="75"/>
      <c r="CQ930" s="73"/>
      <c r="CR930" s="75"/>
      <c r="CS930" s="75"/>
      <c r="CT930" s="75"/>
      <c r="CU930" s="73"/>
      <c r="CV930" s="75"/>
      <c r="CW930" s="75"/>
      <c r="CX930" s="75"/>
      <c r="CY930" s="73"/>
      <c r="CZ930" s="75"/>
      <c r="DA930" s="75"/>
      <c r="DB930" s="75"/>
      <c r="DC930" s="73"/>
      <c r="DD930" s="75"/>
      <c r="DE930" s="75"/>
      <c r="DF930" s="75"/>
      <c r="DG930" s="73"/>
      <c r="DH930" s="75"/>
      <c r="DI930" s="75"/>
      <c r="DJ930" s="75"/>
      <c r="DK930" s="76"/>
    </row>
    <row r="931" spans="63:115" x14ac:dyDescent="0.25">
      <c r="BK931" s="75"/>
      <c r="BL931" s="75"/>
      <c r="BM931" s="75"/>
      <c r="BN931" s="73"/>
      <c r="BO931" s="75"/>
      <c r="BP931" s="75"/>
      <c r="BQ931" s="75"/>
      <c r="BR931" s="75"/>
      <c r="BS931" s="75"/>
      <c r="BT931" s="75"/>
      <c r="BU931" s="75"/>
      <c r="BV931" s="75"/>
      <c r="BW931" s="75"/>
      <c r="BX931" s="75"/>
      <c r="BY931" s="75"/>
      <c r="BZ931" s="75"/>
      <c r="CA931" s="73"/>
      <c r="CB931" s="75"/>
      <c r="CC931" s="75"/>
      <c r="CD931" s="75"/>
      <c r="CE931" s="73"/>
      <c r="CF931" s="75"/>
      <c r="CG931" s="75"/>
      <c r="CH931" s="75"/>
      <c r="CI931" s="73"/>
      <c r="CJ931" s="75"/>
      <c r="CK931" s="75"/>
      <c r="CL931" s="75"/>
      <c r="CM931" s="73"/>
      <c r="CN931" s="75"/>
      <c r="CO931" s="75"/>
      <c r="CP931" s="75"/>
      <c r="CQ931" s="73"/>
      <c r="CR931" s="75"/>
      <c r="CS931" s="75"/>
      <c r="CT931" s="75"/>
      <c r="CU931" s="73"/>
      <c r="CV931" s="75"/>
      <c r="CW931" s="75"/>
      <c r="CX931" s="75"/>
      <c r="CY931" s="73"/>
      <c r="CZ931" s="75"/>
      <c r="DA931" s="75"/>
      <c r="DB931" s="75"/>
      <c r="DC931" s="73"/>
      <c r="DD931" s="75"/>
      <c r="DE931" s="75"/>
      <c r="DF931" s="75"/>
      <c r="DG931" s="73"/>
      <c r="DH931" s="75"/>
      <c r="DI931" s="75"/>
      <c r="DJ931" s="75"/>
      <c r="DK931" s="76"/>
    </row>
    <row r="932" spans="63:115" x14ac:dyDescent="0.25">
      <c r="BK932" s="75"/>
      <c r="BL932" s="75"/>
      <c r="BM932" s="75"/>
      <c r="BN932" s="73"/>
      <c r="BO932" s="75"/>
      <c r="BP932" s="75"/>
      <c r="BQ932" s="75"/>
      <c r="BR932" s="75"/>
      <c r="BS932" s="75"/>
      <c r="BT932" s="75"/>
      <c r="BU932" s="75"/>
      <c r="BV932" s="75"/>
      <c r="BW932" s="75"/>
      <c r="BX932" s="75"/>
      <c r="BY932" s="75"/>
      <c r="BZ932" s="75"/>
      <c r="CA932" s="73"/>
      <c r="CB932" s="75"/>
      <c r="CC932" s="75"/>
      <c r="CD932" s="75"/>
      <c r="CE932" s="73"/>
      <c r="CF932" s="75"/>
      <c r="CG932" s="75"/>
      <c r="CH932" s="75"/>
      <c r="CI932" s="73"/>
      <c r="CJ932" s="75"/>
      <c r="CK932" s="75"/>
      <c r="CL932" s="75"/>
      <c r="CM932" s="73"/>
      <c r="CN932" s="75"/>
      <c r="CO932" s="75"/>
      <c r="CP932" s="75"/>
      <c r="CQ932" s="73"/>
      <c r="CR932" s="75"/>
      <c r="CS932" s="75"/>
      <c r="CT932" s="75"/>
      <c r="CU932" s="73"/>
      <c r="CV932" s="75"/>
      <c r="CW932" s="75"/>
      <c r="CX932" s="75"/>
      <c r="CY932" s="73"/>
      <c r="CZ932" s="75"/>
      <c r="DA932" s="75"/>
      <c r="DB932" s="75"/>
      <c r="DC932" s="73"/>
      <c r="DD932" s="75"/>
      <c r="DE932" s="75"/>
      <c r="DF932" s="75"/>
      <c r="DG932" s="73"/>
      <c r="DH932" s="75"/>
      <c r="DI932" s="75"/>
      <c r="DJ932" s="75"/>
      <c r="DK932" s="76"/>
    </row>
    <row r="933" spans="63:115" x14ac:dyDescent="0.25">
      <c r="BK933" s="75"/>
      <c r="BL933" s="75"/>
      <c r="BM933" s="75"/>
      <c r="BN933" s="73"/>
      <c r="BO933" s="75"/>
      <c r="BP933" s="75"/>
      <c r="BQ933" s="75"/>
      <c r="BR933" s="75"/>
      <c r="BS933" s="75"/>
      <c r="BT933" s="75"/>
      <c r="BU933" s="75"/>
      <c r="BV933" s="75"/>
      <c r="BW933" s="75"/>
      <c r="BX933" s="75"/>
      <c r="BY933" s="75"/>
      <c r="BZ933" s="75"/>
      <c r="CA933" s="73"/>
      <c r="CB933" s="75"/>
      <c r="CC933" s="75"/>
      <c r="CD933" s="75"/>
      <c r="CE933" s="73"/>
      <c r="CF933" s="75"/>
      <c r="CG933" s="75"/>
      <c r="CH933" s="75"/>
      <c r="CI933" s="73"/>
      <c r="CJ933" s="75"/>
      <c r="CK933" s="75"/>
      <c r="CL933" s="75"/>
      <c r="CM933" s="73"/>
      <c r="CN933" s="75"/>
      <c r="CO933" s="75"/>
      <c r="CP933" s="75"/>
      <c r="CQ933" s="73"/>
      <c r="CR933" s="75"/>
      <c r="CS933" s="75"/>
      <c r="CT933" s="75"/>
      <c r="CU933" s="73"/>
      <c r="CV933" s="75"/>
      <c r="CW933" s="75"/>
      <c r="CX933" s="75"/>
      <c r="CY933" s="73"/>
      <c r="CZ933" s="75"/>
      <c r="DA933" s="75"/>
      <c r="DB933" s="75"/>
      <c r="DC933" s="73"/>
      <c r="DD933" s="75"/>
      <c r="DE933" s="75"/>
      <c r="DF933" s="75"/>
      <c r="DG933" s="73"/>
      <c r="DH933" s="75"/>
      <c r="DI933" s="75"/>
      <c r="DJ933" s="75"/>
      <c r="DK933" s="76"/>
    </row>
    <row r="934" spans="63:115" x14ac:dyDescent="0.25">
      <c r="BK934" s="75"/>
      <c r="BL934" s="75"/>
      <c r="BM934" s="75"/>
      <c r="BN934" s="73"/>
      <c r="BO934" s="75"/>
      <c r="BP934" s="75"/>
      <c r="BQ934" s="75"/>
      <c r="BR934" s="75"/>
      <c r="BS934" s="75"/>
      <c r="BT934" s="75"/>
      <c r="BU934" s="75"/>
      <c r="BV934" s="75"/>
      <c r="BW934" s="75"/>
      <c r="BX934" s="75"/>
      <c r="BY934" s="75"/>
      <c r="BZ934" s="75"/>
      <c r="CA934" s="73"/>
      <c r="CB934" s="75"/>
      <c r="CC934" s="75"/>
      <c r="CD934" s="75"/>
      <c r="CE934" s="73"/>
      <c r="CF934" s="75"/>
      <c r="CG934" s="75"/>
      <c r="CH934" s="75"/>
      <c r="CI934" s="73"/>
      <c r="CJ934" s="75"/>
      <c r="CK934" s="75"/>
      <c r="CL934" s="75"/>
      <c r="CM934" s="73"/>
      <c r="CN934" s="75"/>
      <c r="CO934" s="75"/>
      <c r="CP934" s="75"/>
      <c r="CQ934" s="73"/>
      <c r="CR934" s="75"/>
      <c r="CS934" s="75"/>
      <c r="CT934" s="75"/>
      <c r="CU934" s="73"/>
      <c r="CV934" s="75"/>
      <c r="CW934" s="75"/>
      <c r="CX934" s="75"/>
      <c r="CY934" s="73"/>
      <c r="CZ934" s="75"/>
      <c r="DA934" s="75"/>
      <c r="DB934" s="75"/>
      <c r="DC934" s="73"/>
      <c r="DD934" s="75"/>
      <c r="DE934" s="75"/>
      <c r="DF934" s="75"/>
      <c r="DG934" s="73"/>
      <c r="DH934" s="75"/>
      <c r="DI934" s="75"/>
      <c r="DJ934" s="75"/>
      <c r="DK934" s="76"/>
    </row>
    <row r="935" spans="63:115" x14ac:dyDescent="0.25">
      <c r="BK935" s="75"/>
      <c r="BL935" s="75"/>
      <c r="BM935" s="75"/>
      <c r="BN935" s="73"/>
      <c r="BO935" s="75"/>
      <c r="BP935" s="75"/>
      <c r="BQ935" s="75"/>
      <c r="BR935" s="75"/>
      <c r="BS935" s="75"/>
      <c r="BT935" s="75"/>
      <c r="BU935" s="75"/>
      <c r="BV935" s="75"/>
      <c r="BW935" s="75"/>
      <c r="BX935" s="75"/>
      <c r="BY935" s="75"/>
      <c r="BZ935" s="75"/>
      <c r="CA935" s="73"/>
      <c r="CB935" s="75"/>
      <c r="CC935" s="75"/>
      <c r="CD935" s="75"/>
      <c r="CE935" s="73"/>
      <c r="CF935" s="75"/>
      <c r="CG935" s="75"/>
      <c r="CH935" s="75"/>
      <c r="CI935" s="73"/>
      <c r="CJ935" s="75"/>
      <c r="CK935" s="75"/>
      <c r="CL935" s="75"/>
      <c r="CM935" s="73"/>
      <c r="CN935" s="75"/>
      <c r="CO935" s="75"/>
      <c r="CP935" s="75"/>
      <c r="CQ935" s="73"/>
      <c r="CR935" s="75"/>
      <c r="CS935" s="75"/>
      <c r="CT935" s="75"/>
      <c r="CU935" s="73"/>
      <c r="CV935" s="75"/>
      <c r="CW935" s="75"/>
      <c r="CX935" s="75"/>
      <c r="CY935" s="73"/>
      <c r="CZ935" s="75"/>
      <c r="DA935" s="75"/>
      <c r="DB935" s="75"/>
      <c r="DC935" s="73"/>
      <c r="DD935" s="75"/>
      <c r="DE935" s="75"/>
      <c r="DF935" s="75"/>
      <c r="DG935" s="73"/>
      <c r="DH935" s="75"/>
      <c r="DI935" s="75"/>
      <c r="DJ935" s="75"/>
      <c r="DK935" s="76"/>
    </row>
    <row r="936" spans="63:115" x14ac:dyDescent="0.25">
      <c r="BK936" s="75"/>
      <c r="BL936" s="75"/>
      <c r="BM936" s="75"/>
      <c r="BN936" s="73"/>
      <c r="BO936" s="75"/>
      <c r="BP936" s="75"/>
      <c r="BQ936" s="75"/>
      <c r="BR936" s="75"/>
      <c r="BS936" s="75"/>
      <c r="BT936" s="75"/>
      <c r="BU936" s="75"/>
      <c r="BV936" s="75"/>
      <c r="BW936" s="75"/>
      <c r="BX936" s="75"/>
      <c r="BY936" s="75"/>
      <c r="BZ936" s="75"/>
      <c r="CA936" s="73"/>
      <c r="CB936" s="75"/>
      <c r="CC936" s="75"/>
      <c r="CD936" s="75"/>
      <c r="CE936" s="73"/>
      <c r="CF936" s="75"/>
      <c r="CG936" s="75"/>
      <c r="CH936" s="75"/>
      <c r="CI936" s="73"/>
      <c r="CJ936" s="75"/>
      <c r="CK936" s="75"/>
      <c r="CL936" s="75"/>
      <c r="CM936" s="73"/>
      <c r="CN936" s="75"/>
      <c r="CO936" s="75"/>
      <c r="CP936" s="75"/>
      <c r="CQ936" s="73"/>
      <c r="CR936" s="75"/>
      <c r="CS936" s="75"/>
      <c r="CT936" s="75"/>
      <c r="CU936" s="73"/>
      <c r="CV936" s="75"/>
      <c r="CW936" s="75"/>
      <c r="CX936" s="75"/>
      <c r="CY936" s="73"/>
      <c r="CZ936" s="75"/>
      <c r="DA936" s="75"/>
      <c r="DB936" s="75"/>
      <c r="DC936" s="73"/>
      <c r="DD936" s="75"/>
      <c r="DE936" s="75"/>
      <c r="DF936" s="75"/>
      <c r="DG936" s="73"/>
      <c r="DH936" s="75"/>
      <c r="DI936" s="75"/>
      <c r="DJ936" s="75"/>
      <c r="DK936" s="76"/>
    </row>
    <row r="937" spans="63:115" x14ac:dyDescent="0.25">
      <c r="BK937" s="75"/>
      <c r="BL937" s="75"/>
      <c r="BM937" s="75"/>
      <c r="BN937" s="73"/>
      <c r="BO937" s="75"/>
      <c r="BP937" s="75"/>
      <c r="BQ937" s="75"/>
      <c r="BR937" s="75"/>
      <c r="BS937" s="75"/>
      <c r="BT937" s="75"/>
      <c r="BU937" s="75"/>
      <c r="BV937" s="75"/>
      <c r="BW937" s="75"/>
      <c r="BX937" s="75"/>
      <c r="BY937" s="75"/>
      <c r="BZ937" s="75"/>
      <c r="CA937" s="73"/>
      <c r="CB937" s="75"/>
      <c r="CC937" s="75"/>
      <c r="CD937" s="75"/>
      <c r="CE937" s="73"/>
      <c r="CF937" s="75"/>
      <c r="CG937" s="75"/>
      <c r="CH937" s="75"/>
      <c r="CI937" s="73"/>
      <c r="CJ937" s="75"/>
      <c r="CK937" s="75"/>
      <c r="CL937" s="75"/>
      <c r="CM937" s="73"/>
      <c r="CN937" s="75"/>
      <c r="CO937" s="75"/>
      <c r="CP937" s="75"/>
      <c r="CQ937" s="73"/>
      <c r="CR937" s="75"/>
      <c r="CS937" s="75"/>
      <c r="CT937" s="75"/>
      <c r="CU937" s="73"/>
      <c r="CV937" s="75"/>
      <c r="CW937" s="75"/>
      <c r="CX937" s="75"/>
      <c r="CY937" s="73"/>
      <c r="CZ937" s="75"/>
      <c r="DA937" s="75"/>
      <c r="DB937" s="75"/>
      <c r="DC937" s="73"/>
      <c r="DD937" s="75"/>
      <c r="DE937" s="75"/>
      <c r="DF937" s="75"/>
      <c r="DG937" s="73"/>
      <c r="DH937" s="75"/>
      <c r="DI937" s="75"/>
      <c r="DJ937" s="75"/>
      <c r="DK937" s="76"/>
    </row>
    <row r="938" spans="63:115" x14ac:dyDescent="0.25">
      <c r="BK938" s="75"/>
      <c r="BL938" s="75"/>
      <c r="BM938" s="75"/>
      <c r="BN938" s="73"/>
      <c r="BO938" s="75"/>
      <c r="BP938" s="75"/>
      <c r="BQ938" s="75"/>
      <c r="BR938" s="75"/>
      <c r="BS938" s="75"/>
      <c r="BT938" s="75"/>
      <c r="BU938" s="75"/>
      <c r="BV938" s="75"/>
      <c r="BW938" s="75"/>
      <c r="BX938" s="75"/>
      <c r="BY938" s="75"/>
      <c r="BZ938" s="75"/>
      <c r="CA938" s="73"/>
      <c r="CB938" s="75"/>
      <c r="CC938" s="75"/>
      <c r="CD938" s="75"/>
      <c r="CE938" s="73"/>
      <c r="CF938" s="75"/>
      <c r="CG938" s="75"/>
      <c r="CH938" s="75"/>
      <c r="CI938" s="73"/>
      <c r="CJ938" s="75"/>
      <c r="CK938" s="75"/>
      <c r="CL938" s="75"/>
      <c r="CM938" s="73"/>
      <c r="CN938" s="75"/>
      <c r="CO938" s="75"/>
      <c r="CP938" s="75"/>
      <c r="CQ938" s="73"/>
      <c r="CR938" s="75"/>
      <c r="CS938" s="75"/>
      <c r="CT938" s="75"/>
      <c r="CU938" s="73"/>
      <c r="CV938" s="75"/>
      <c r="CW938" s="75"/>
      <c r="CX938" s="75"/>
      <c r="CY938" s="73"/>
      <c r="CZ938" s="75"/>
      <c r="DA938" s="75"/>
      <c r="DB938" s="75"/>
      <c r="DC938" s="73"/>
      <c r="DD938" s="75"/>
      <c r="DE938" s="75"/>
      <c r="DF938" s="75"/>
      <c r="DG938" s="73"/>
      <c r="DH938" s="75"/>
      <c r="DI938" s="75"/>
      <c r="DJ938" s="75"/>
      <c r="DK938" s="76"/>
    </row>
    <row r="939" spans="63:115" x14ac:dyDescent="0.25">
      <c r="BK939" s="75"/>
      <c r="BL939" s="75"/>
      <c r="BM939" s="75"/>
      <c r="BN939" s="73"/>
      <c r="BO939" s="75"/>
      <c r="BP939" s="75"/>
      <c r="BQ939" s="75"/>
      <c r="BR939" s="75"/>
      <c r="BS939" s="75"/>
      <c r="BT939" s="75"/>
      <c r="BU939" s="75"/>
      <c r="BV939" s="75"/>
      <c r="BW939" s="75"/>
      <c r="BX939" s="75"/>
      <c r="BY939" s="75"/>
      <c r="BZ939" s="75"/>
      <c r="CA939" s="73"/>
      <c r="CB939" s="75"/>
      <c r="CC939" s="75"/>
      <c r="CD939" s="75"/>
      <c r="CE939" s="73"/>
      <c r="CF939" s="75"/>
      <c r="CG939" s="75"/>
      <c r="CH939" s="75"/>
      <c r="CI939" s="73"/>
      <c r="CJ939" s="75"/>
      <c r="CK939" s="75"/>
      <c r="CL939" s="75"/>
      <c r="CM939" s="73"/>
      <c r="CN939" s="75"/>
      <c r="CO939" s="75"/>
      <c r="CP939" s="75"/>
      <c r="CQ939" s="73"/>
      <c r="CR939" s="75"/>
      <c r="CS939" s="75"/>
      <c r="CT939" s="75"/>
      <c r="CU939" s="73"/>
      <c r="CV939" s="75"/>
      <c r="CW939" s="75"/>
      <c r="CX939" s="75"/>
      <c r="CY939" s="73"/>
      <c r="CZ939" s="75"/>
      <c r="DA939" s="75"/>
      <c r="DB939" s="75"/>
      <c r="DC939" s="73"/>
      <c r="DD939" s="75"/>
      <c r="DE939" s="75"/>
      <c r="DF939" s="75"/>
      <c r="DG939" s="73"/>
      <c r="DH939" s="75"/>
      <c r="DI939" s="75"/>
      <c r="DJ939" s="75"/>
      <c r="DK939" s="76"/>
    </row>
    <row r="940" spans="63:115" x14ac:dyDescent="0.25">
      <c r="BK940" s="75"/>
      <c r="BL940" s="75"/>
      <c r="BM940" s="75"/>
      <c r="BN940" s="73"/>
      <c r="BO940" s="75"/>
      <c r="BP940" s="75"/>
      <c r="BQ940" s="75"/>
      <c r="BR940" s="75"/>
      <c r="BS940" s="75"/>
      <c r="BT940" s="75"/>
      <c r="BU940" s="75"/>
      <c r="BV940" s="75"/>
      <c r="BW940" s="75"/>
      <c r="BX940" s="75"/>
      <c r="BY940" s="75"/>
      <c r="BZ940" s="75"/>
      <c r="CA940" s="73"/>
      <c r="CB940" s="75"/>
      <c r="CC940" s="75"/>
      <c r="CD940" s="75"/>
      <c r="CE940" s="73"/>
      <c r="CF940" s="75"/>
      <c r="CG940" s="75"/>
      <c r="CH940" s="75"/>
      <c r="CI940" s="73"/>
      <c r="CJ940" s="75"/>
      <c r="CK940" s="75"/>
      <c r="CL940" s="75"/>
      <c r="CM940" s="73"/>
      <c r="CN940" s="75"/>
      <c r="CO940" s="75"/>
      <c r="CP940" s="75"/>
      <c r="CQ940" s="73"/>
      <c r="CR940" s="75"/>
      <c r="CS940" s="75"/>
      <c r="CT940" s="75"/>
      <c r="CU940" s="73"/>
      <c r="CV940" s="75"/>
      <c r="CW940" s="75"/>
      <c r="CX940" s="75"/>
      <c r="CY940" s="73"/>
      <c r="CZ940" s="75"/>
      <c r="DA940" s="75"/>
      <c r="DB940" s="75"/>
      <c r="DC940" s="73"/>
      <c r="DD940" s="75"/>
      <c r="DE940" s="75"/>
      <c r="DF940" s="75"/>
      <c r="DG940" s="73"/>
      <c r="DH940" s="75"/>
      <c r="DI940" s="75"/>
      <c r="DJ940" s="75"/>
      <c r="DK940" s="76"/>
    </row>
    <row r="941" spans="63:115" x14ac:dyDescent="0.25">
      <c r="BK941" s="75"/>
      <c r="BL941" s="75"/>
      <c r="BM941" s="75"/>
      <c r="BN941" s="73"/>
      <c r="BO941" s="75"/>
      <c r="BP941" s="75"/>
      <c r="BQ941" s="75"/>
      <c r="BR941" s="75"/>
      <c r="BS941" s="75"/>
      <c r="BT941" s="75"/>
      <c r="BU941" s="75"/>
      <c r="BV941" s="75"/>
      <c r="BW941" s="75"/>
      <c r="BX941" s="75"/>
      <c r="BY941" s="75"/>
      <c r="BZ941" s="75"/>
      <c r="CA941" s="73"/>
      <c r="CB941" s="75"/>
      <c r="CC941" s="75"/>
      <c r="CD941" s="75"/>
      <c r="CE941" s="73"/>
      <c r="CF941" s="75"/>
      <c r="CG941" s="75"/>
      <c r="CH941" s="75"/>
      <c r="CI941" s="73"/>
      <c r="CJ941" s="75"/>
      <c r="CK941" s="75"/>
      <c r="CL941" s="75"/>
      <c r="CM941" s="73"/>
      <c r="CN941" s="75"/>
      <c r="CO941" s="75"/>
      <c r="CP941" s="75"/>
      <c r="CQ941" s="73"/>
      <c r="CR941" s="75"/>
      <c r="CS941" s="75"/>
      <c r="CT941" s="75"/>
      <c r="CU941" s="73"/>
      <c r="CV941" s="75"/>
      <c r="CW941" s="75"/>
      <c r="CX941" s="75"/>
      <c r="CY941" s="73"/>
      <c r="CZ941" s="75"/>
      <c r="DA941" s="75"/>
      <c r="DB941" s="75"/>
      <c r="DC941" s="73"/>
      <c r="DD941" s="75"/>
      <c r="DE941" s="75"/>
      <c r="DF941" s="75"/>
      <c r="DG941" s="73"/>
      <c r="DH941" s="75"/>
      <c r="DI941" s="75"/>
      <c r="DJ941" s="75"/>
      <c r="DK941" s="76"/>
    </row>
    <row r="942" spans="63:115" x14ac:dyDescent="0.25">
      <c r="BK942" s="75"/>
      <c r="BL942" s="75"/>
      <c r="BM942" s="75"/>
      <c r="BN942" s="73"/>
      <c r="BO942" s="75"/>
      <c r="BP942" s="75"/>
      <c r="BQ942" s="75"/>
      <c r="BR942" s="75"/>
      <c r="BS942" s="75"/>
      <c r="BT942" s="75"/>
      <c r="BU942" s="75"/>
      <c r="BV942" s="75"/>
      <c r="BW942" s="75"/>
      <c r="BX942" s="75"/>
      <c r="BY942" s="75"/>
      <c r="BZ942" s="75"/>
      <c r="CA942" s="73"/>
      <c r="CB942" s="75"/>
      <c r="CC942" s="75"/>
      <c r="CD942" s="75"/>
      <c r="CE942" s="73"/>
      <c r="CF942" s="75"/>
      <c r="CG942" s="75"/>
      <c r="CH942" s="75"/>
      <c r="CI942" s="73"/>
      <c r="CJ942" s="75"/>
      <c r="CK942" s="75"/>
      <c r="CL942" s="75"/>
      <c r="CM942" s="73"/>
      <c r="CN942" s="75"/>
      <c r="CO942" s="75"/>
      <c r="CP942" s="75"/>
      <c r="CQ942" s="73"/>
      <c r="CR942" s="75"/>
      <c r="CS942" s="75"/>
      <c r="CT942" s="75"/>
      <c r="CU942" s="73"/>
      <c r="CV942" s="75"/>
      <c r="CW942" s="75"/>
      <c r="CX942" s="75"/>
      <c r="CY942" s="73"/>
      <c r="CZ942" s="75"/>
      <c r="DA942" s="75"/>
      <c r="DB942" s="75"/>
      <c r="DC942" s="73"/>
      <c r="DD942" s="75"/>
      <c r="DE942" s="75"/>
      <c r="DF942" s="75"/>
      <c r="DG942" s="73"/>
      <c r="DH942" s="75"/>
      <c r="DI942" s="75"/>
      <c r="DJ942" s="75"/>
      <c r="DK942" s="76"/>
    </row>
    <row r="943" spans="63:115" x14ac:dyDescent="0.25">
      <c r="BK943" s="75"/>
      <c r="BL943" s="75"/>
      <c r="BM943" s="75"/>
      <c r="BN943" s="73"/>
      <c r="BO943" s="75"/>
      <c r="BP943" s="75"/>
      <c r="BQ943" s="75"/>
      <c r="BR943" s="75"/>
      <c r="BS943" s="75"/>
      <c r="BT943" s="75"/>
      <c r="BU943" s="75"/>
      <c r="BV943" s="75"/>
      <c r="BW943" s="75"/>
      <c r="BX943" s="75"/>
      <c r="BY943" s="75"/>
      <c r="BZ943" s="75"/>
      <c r="CA943" s="73"/>
      <c r="CB943" s="75"/>
      <c r="CC943" s="75"/>
      <c r="CD943" s="75"/>
      <c r="CE943" s="73"/>
      <c r="CF943" s="75"/>
      <c r="CG943" s="75"/>
      <c r="CH943" s="75"/>
      <c r="CI943" s="73"/>
      <c r="CJ943" s="75"/>
      <c r="CK943" s="75"/>
      <c r="CL943" s="75"/>
      <c r="CM943" s="73"/>
      <c r="CN943" s="75"/>
      <c r="CO943" s="75"/>
      <c r="CP943" s="75"/>
      <c r="CQ943" s="73"/>
      <c r="CR943" s="75"/>
      <c r="CS943" s="75"/>
      <c r="CT943" s="75"/>
      <c r="CU943" s="73"/>
      <c r="CV943" s="75"/>
      <c r="CW943" s="75"/>
      <c r="CX943" s="75"/>
      <c r="CY943" s="73"/>
      <c r="CZ943" s="75"/>
      <c r="DA943" s="75"/>
      <c r="DB943" s="75"/>
      <c r="DC943" s="73"/>
      <c r="DD943" s="75"/>
      <c r="DE943" s="75"/>
      <c r="DF943" s="75"/>
      <c r="DG943" s="73"/>
      <c r="DH943" s="75"/>
      <c r="DI943" s="75"/>
      <c r="DJ943" s="75"/>
      <c r="DK943" s="76"/>
    </row>
    <row r="944" spans="63:115" x14ac:dyDescent="0.25">
      <c r="BK944" s="75"/>
      <c r="BL944" s="75"/>
      <c r="BM944" s="75"/>
      <c r="BN944" s="73"/>
      <c r="BO944" s="75"/>
      <c r="BP944" s="75"/>
      <c r="BQ944" s="75"/>
      <c r="BR944" s="75"/>
      <c r="BS944" s="75"/>
      <c r="BT944" s="75"/>
      <c r="BU944" s="75"/>
      <c r="BV944" s="75"/>
      <c r="BW944" s="75"/>
      <c r="BX944" s="75"/>
      <c r="BY944" s="75"/>
      <c r="BZ944" s="75"/>
      <c r="CA944" s="73"/>
      <c r="CB944" s="75"/>
      <c r="CC944" s="75"/>
      <c r="CD944" s="75"/>
      <c r="CE944" s="73"/>
      <c r="CF944" s="75"/>
      <c r="CG944" s="75"/>
      <c r="CH944" s="75"/>
      <c r="CI944" s="73"/>
      <c r="CJ944" s="75"/>
      <c r="CK944" s="75"/>
      <c r="CL944" s="75"/>
      <c r="CM944" s="73"/>
      <c r="CN944" s="75"/>
      <c r="CO944" s="75"/>
      <c r="CP944" s="75"/>
      <c r="CQ944" s="73"/>
      <c r="CR944" s="75"/>
      <c r="CS944" s="75"/>
      <c r="CT944" s="75"/>
      <c r="CU944" s="73"/>
      <c r="CV944" s="75"/>
      <c r="CW944" s="75"/>
      <c r="CX944" s="75"/>
      <c r="CY944" s="73"/>
      <c r="CZ944" s="75"/>
      <c r="DA944" s="75"/>
      <c r="DB944" s="75"/>
      <c r="DC944" s="73"/>
      <c r="DD944" s="75"/>
      <c r="DE944" s="75"/>
      <c r="DF944" s="75"/>
      <c r="DG944" s="73"/>
      <c r="DH944" s="75"/>
      <c r="DI944" s="75"/>
      <c r="DJ944" s="75"/>
      <c r="DK944" s="76"/>
    </row>
    <row r="945" spans="63:115" x14ac:dyDescent="0.25">
      <c r="BK945" s="75"/>
      <c r="BL945" s="75"/>
      <c r="BM945" s="75"/>
      <c r="BN945" s="73"/>
      <c r="BO945" s="75"/>
      <c r="BP945" s="75"/>
      <c r="BQ945" s="75"/>
      <c r="BR945" s="75"/>
      <c r="BS945" s="75"/>
      <c r="BT945" s="75"/>
      <c r="BU945" s="75"/>
      <c r="BV945" s="75"/>
      <c r="BW945" s="75"/>
      <c r="BX945" s="75"/>
      <c r="BY945" s="75"/>
      <c r="BZ945" s="75"/>
      <c r="CA945" s="73"/>
      <c r="CB945" s="75"/>
      <c r="CC945" s="75"/>
      <c r="CD945" s="75"/>
      <c r="CE945" s="73"/>
      <c r="CF945" s="75"/>
      <c r="CG945" s="75"/>
      <c r="CH945" s="75"/>
      <c r="CI945" s="73"/>
      <c r="CJ945" s="75"/>
      <c r="CK945" s="75"/>
      <c r="CL945" s="75"/>
      <c r="CM945" s="73"/>
      <c r="CN945" s="75"/>
      <c r="CO945" s="75"/>
      <c r="CP945" s="75"/>
      <c r="CQ945" s="73"/>
      <c r="CR945" s="75"/>
      <c r="CS945" s="75"/>
      <c r="CT945" s="75"/>
      <c r="CU945" s="73"/>
      <c r="CV945" s="75"/>
      <c r="CW945" s="75"/>
      <c r="CX945" s="75"/>
      <c r="CY945" s="73"/>
      <c r="CZ945" s="75"/>
      <c r="DA945" s="75"/>
      <c r="DB945" s="75"/>
      <c r="DC945" s="73"/>
      <c r="DD945" s="75"/>
      <c r="DE945" s="75"/>
      <c r="DF945" s="75"/>
      <c r="DG945" s="73"/>
      <c r="DH945" s="75"/>
      <c r="DI945" s="75"/>
      <c r="DJ945" s="75"/>
      <c r="DK945" s="76"/>
    </row>
    <row r="946" spans="63:115" x14ac:dyDescent="0.25">
      <c r="BK946" s="75"/>
      <c r="BL946" s="75"/>
      <c r="BM946" s="75"/>
      <c r="BN946" s="73"/>
      <c r="BO946" s="75"/>
      <c r="BP946" s="75"/>
      <c r="BQ946" s="75"/>
      <c r="BR946" s="75"/>
      <c r="BS946" s="75"/>
      <c r="BT946" s="75"/>
      <c r="BU946" s="75"/>
      <c r="BV946" s="75"/>
      <c r="BW946" s="75"/>
      <c r="BX946" s="75"/>
      <c r="BY946" s="75"/>
      <c r="BZ946" s="75"/>
      <c r="CA946" s="73"/>
      <c r="CB946" s="75"/>
      <c r="CC946" s="75"/>
      <c r="CD946" s="75"/>
      <c r="CE946" s="73"/>
      <c r="CF946" s="75"/>
      <c r="CG946" s="75"/>
      <c r="CH946" s="75"/>
      <c r="CI946" s="73"/>
      <c r="CJ946" s="75"/>
      <c r="CK946" s="75"/>
      <c r="CL946" s="75"/>
      <c r="CM946" s="73"/>
      <c r="CN946" s="75"/>
      <c r="CO946" s="75"/>
      <c r="CP946" s="75"/>
      <c r="CQ946" s="73"/>
      <c r="CR946" s="75"/>
      <c r="CS946" s="75"/>
      <c r="CT946" s="75"/>
      <c r="CU946" s="73"/>
      <c r="CV946" s="75"/>
      <c r="CW946" s="75"/>
      <c r="CX946" s="75"/>
      <c r="CY946" s="73"/>
      <c r="CZ946" s="75"/>
      <c r="DA946" s="75"/>
      <c r="DB946" s="75"/>
      <c r="DC946" s="73"/>
      <c r="DD946" s="75"/>
      <c r="DE946" s="75"/>
      <c r="DF946" s="75"/>
      <c r="DG946" s="73"/>
      <c r="DH946" s="75"/>
      <c r="DI946" s="75"/>
      <c r="DJ946" s="75"/>
      <c r="DK946" s="76"/>
    </row>
    <row r="947" spans="63:115" x14ac:dyDescent="0.25">
      <c r="BK947" s="75"/>
      <c r="BL947" s="75"/>
      <c r="BM947" s="75"/>
      <c r="BN947" s="73"/>
      <c r="BO947" s="75"/>
      <c r="BP947" s="75"/>
      <c r="BQ947" s="75"/>
      <c r="BR947" s="75"/>
      <c r="BS947" s="75"/>
      <c r="BT947" s="75"/>
      <c r="BU947" s="75"/>
      <c r="BV947" s="75"/>
      <c r="BW947" s="75"/>
      <c r="BX947" s="75"/>
      <c r="BY947" s="75"/>
      <c r="BZ947" s="75"/>
      <c r="CA947" s="73"/>
      <c r="CB947" s="75"/>
      <c r="CC947" s="75"/>
      <c r="CD947" s="75"/>
      <c r="CE947" s="73"/>
      <c r="CF947" s="75"/>
      <c r="CG947" s="75"/>
      <c r="CH947" s="75"/>
      <c r="CI947" s="73"/>
      <c r="CJ947" s="75"/>
      <c r="CK947" s="75"/>
      <c r="CL947" s="75"/>
      <c r="CM947" s="73"/>
      <c r="CN947" s="75"/>
      <c r="CO947" s="75"/>
      <c r="CP947" s="75"/>
      <c r="CQ947" s="73"/>
      <c r="CR947" s="75"/>
      <c r="CS947" s="75"/>
      <c r="CT947" s="75"/>
      <c r="CU947" s="73"/>
      <c r="CV947" s="75"/>
      <c r="CW947" s="75"/>
      <c r="CX947" s="75"/>
      <c r="CY947" s="73"/>
      <c r="CZ947" s="75"/>
      <c r="DA947" s="75"/>
      <c r="DB947" s="75"/>
      <c r="DC947" s="73"/>
      <c r="DD947" s="75"/>
      <c r="DE947" s="75"/>
      <c r="DF947" s="75"/>
      <c r="DG947" s="73"/>
      <c r="DH947" s="75"/>
      <c r="DI947" s="75"/>
      <c r="DJ947" s="75"/>
      <c r="DK947" s="76"/>
    </row>
    <row r="948" spans="63:115" x14ac:dyDescent="0.25">
      <c r="BK948" s="75"/>
      <c r="BL948" s="75"/>
      <c r="BM948" s="75"/>
      <c r="BN948" s="73"/>
      <c r="BO948" s="75"/>
      <c r="BP948" s="75"/>
      <c r="BQ948" s="75"/>
      <c r="BR948" s="75"/>
      <c r="BS948" s="75"/>
      <c r="BT948" s="75"/>
      <c r="BU948" s="75"/>
      <c r="BV948" s="75"/>
      <c r="BW948" s="75"/>
      <c r="BX948" s="75"/>
      <c r="BY948" s="75"/>
      <c r="BZ948" s="75"/>
      <c r="CA948" s="73"/>
      <c r="CB948" s="75"/>
      <c r="CC948" s="75"/>
      <c r="CD948" s="75"/>
      <c r="CE948" s="73"/>
      <c r="CF948" s="75"/>
      <c r="CG948" s="75"/>
      <c r="CH948" s="75"/>
      <c r="CI948" s="73"/>
      <c r="CJ948" s="75"/>
      <c r="CK948" s="75"/>
      <c r="CL948" s="75"/>
      <c r="CM948" s="73"/>
      <c r="CN948" s="75"/>
      <c r="CO948" s="75"/>
      <c r="CP948" s="75"/>
      <c r="CQ948" s="73"/>
      <c r="CR948" s="75"/>
      <c r="CS948" s="75"/>
      <c r="CT948" s="75"/>
      <c r="CU948" s="73"/>
      <c r="CV948" s="75"/>
      <c r="CW948" s="75"/>
      <c r="CX948" s="75"/>
      <c r="CY948" s="73"/>
      <c r="CZ948" s="75"/>
      <c r="DA948" s="75"/>
      <c r="DB948" s="75"/>
      <c r="DC948" s="73"/>
      <c r="DD948" s="75"/>
      <c r="DE948" s="75"/>
      <c r="DF948" s="75"/>
      <c r="DG948" s="73"/>
      <c r="DH948" s="75"/>
      <c r="DI948" s="75"/>
      <c r="DJ948" s="75"/>
      <c r="DK948" s="76"/>
    </row>
    <row r="949" spans="63:115" x14ac:dyDescent="0.25">
      <c r="BK949" s="75"/>
      <c r="BL949" s="75"/>
      <c r="BM949" s="75"/>
      <c r="BN949" s="73"/>
      <c r="BO949" s="75"/>
      <c r="BP949" s="75"/>
      <c r="BQ949" s="75"/>
      <c r="BR949" s="75"/>
      <c r="BS949" s="75"/>
      <c r="BT949" s="75"/>
      <c r="BU949" s="75"/>
      <c r="BV949" s="75"/>
      <c r="BW949" s="75"/>
      <c r="BX949" s="75"/>
      <c r="BY949" s="75"/>
      <c r="BZ949" s="75"/>
      <c r="CA949" s="73"/>
      <c r="CB949" s="75"/>
      <c r="CC949" s="75"/>
      <c r="CD949" s="75"/>
      <c r="CE949" s="73"/>
      <c r="CF949" s="75"/>
      <c r="CG949" s="75"/>
      <c r="CH949" s="75"/>
      <c r="CI949" s="73"/>
      <c r="CJ949" s="75"/>
      <c r="CK949" s="75"/>
      <c r="CL949" s="75"/>
      <c r="CM949" s="73"/>
      <c r="CN949" s="75"/>
      <c r="CO949" s="75"/>
      <c r="CP949" s="75"/>
      <c r="CQ949" s="73"/>
      <c r="CR949" s="75"/>
      <c r="CS949" s="75"/>
      <c r="CT949" s="75"/>
      <c r="CU949" s="73"/>
      <c r="CV949" s="75"/>
      <c r="CW949" s="75"/>
      <c r="CX949" s="75"/>
      <c r="CY949" s="73"/>
      <c r="CZ949" s="75"/>
      <c r="DA949" s="75"/>
      <c r="DB949" s="75"/>
      <c r="DC949" s="73"/>
      <c r="DD949" s="75"/>
      <c r="DE949" s="75"/>
      <c r="DF949" s="75"/>
      <c r="DG949" s="73"/>
      <c r="DH949" s="75"/>
      <c r="DI949" s="75"/>
      <c r="DJ949" s="75"/>
      <c r="DK949" s="76"/>
    </row>
    <row r="950" spans="63:115" x14ac:dyDescent="0.25">
      <c r="BK950" s="75"/>
      <c r="BL950" s="75"/>
      <c r="BM950" s="75"/>
      <c r="BN950" s="73"/>
      <c r="BO950" s="75"/>
      <c r="BP950" s="75"/>
      <c r="BQ950" s="75"/>
      <c r="BR950" s="75"/>
      <c r="BS950" s="75"/>
      <c r="BT950" s="75"/>
      <c r="BU950" s="75"/>
      <c r="BV950" s="75"/>
      <c r="BW950" s="75"/>
      <c r="BX950" s="75"/>
      <c r="BY950" s="75"/>
      <c r="BZ950" s="75"/>
      <c r="CA950" s="73"/>
      <c r="CB950" s="75"/>
      <c r="CC950" s="75"/>
      <c r="CD950" s="75"/>
      <c r="CE950" s="73"/>
      <c r="CF950" s="75"/>
      <c r="CG950" s="75"/>
      <c r="CH950" s="75"/>
      <c r="CI950" s="73"/>
      <c r="CJ950" s="75"/>
      <c r="CK950" s="75"/>
      <c r="CL950" s="75"/>
      <c r="CM950" s="73"/>
      <c r="CN950" s="75"/>
      <c r="CO950" s="75"/>
      <c r="CP950" s="75"/>
      <c r="CQ950" s="73"/>
      <c r="CR950" s="75"/>
      <c r="CS950" s="75"/>
      <c r="CT950" s="75"/>
      <c r="CU950" s="73"/>
      <c r="CV950" s="75"/>
      <c r="CW950" s="75"/>
      <c r="CX950" s="75"/>
      <c r="CY950" s="73"/>
      <c r="CZ950" s="75"/>
      <c r="DA950" s="75"/>
      <c r="DB950" s="75"/>
      <c r="DC950" s="73"/>
      <c r="DD950" s="75"/>
      <c r="DE950" s="75"/>
      <c r="DF950" s="75"/>
      <c r="DG950" s="73"/>
      <c r="DH950" s="75"/>
      <c r="DI950" s="75"/>
      <c r="DJ950" s="75"/>
      <c r="DK950" s="76"/>
    </row>
    <row r="951" spans="63:115" x14ac:dyDescent="0.25">
      <c r="BK951" s="75"/>
      <c r="BL951" s="75"/>
      <c r="BM951" s="75"/>
      <c r="BN951" s="73"/>
      <c r="BO951" s="75"/>
      <c r="BP951" s="75"/>
      <c r="BQ951" s="75"/>
      <c r="BR951" s="75"/>
      <c r="BS951" s="75"/>
      <c r="BT951" s="75"/>
      <c r="BU951" s="75"/>
      <c r="BV951" s="75"/>
      <c r="BW951" s="75"/>
      <c r="BX951" s="75"/>
      <c r="BY951" s="75"/>
      <c r="BZ951" s="75"/>
      <c r="CA951" s="73"/>
      <c r="CB951" s="75"/>
      <c r="CC951" s="75"/>
      <c r="CD951" s="75"/>
      <c r="CE951" s="73"/>
      <c r="CF951" s="75"/>
      <c r="CG951" s="75"/>
      <c r="CH951" s="75"/>
      <c r="CI951" s="73"/>
      <c r="CJ951" s="75"/>
      <c r="CK951" s="75"/>
      <c r="CL951" s="75"/>
      <c r="CM951" s="73"/>
      <c r="CN951" s="75"/>
      <c r="CO951" s="75"/>
      <c r="CP951" s="75"/>
      <c r="CQ951" s="73"/>
      <c r="CR951" s="75"/>
      <c r="CS951" s="75"/>
      <c r="CT951" s="75"/>
      <c r="CU951" s="73"/>
      <c r="CV951" s="75"/>
      <c r="CW951" s="75"/>
      <c r="CX951" s="75"/>
      <c r="CY951" s="73"/>
      <c r="CZ951" s="75"/>
      <c r="DA951" s="75"/>
      <c r="DB951" s="75"/>
      <c r="DC951" s="73"/>
      <c r="DD951" s="75"/>
      <c r="DE951" s="75"/>
      <c r="DF951" s="75"/>
      <c r="DG951" s="73"/>
      <c r="DH951" s="75"/>
      <c r="DI951" s="75"/>
      <c r="DJ951" s="75"/>
      <c r="DK951" s="76"/>
    </row>
    <row r="952" spans="63:115" x14ac:dyDescent="0.25">
      <c r="BK952" s="75"/>
      <c r="BL952" s="75"/>
      <c r="BM952" s="75"/>
      <c r="BN952" s="73"/>
      <c r="BO952" s="75"/>
      <c r="BP952" s="75"/>
      <c r="BQ952" s="75"/>
      <c r="BR952" s="75"/>
      <c r="BS952" s="75"/>
      <c r="BT952" s="75"/>
      <c r="BU952" s="75"/>
      <c r="BV952" s="75"/>
      <c r="BW952" s="75"/>
      <c r="BX952" s="75"/>
      <c r="BY952" s="75"/>
      <c r="BZ952" s="75"/>
      <c r="CA952" s="73"/>
      <c r="CB952" s="75"/>
      <c r="CC952" s="75"/>
      <c r="CD952" s="75"/>
      <c r="CE952" s="73"/>
      <c r="CF952" s="75"/>
      <c r="CG952" s="75"/>
      <c r="CH952" s="75"/>
      <c r="CI952" s="73"/>
      <c r="CJ952" s="75"/>
      <c r="CK952" s="75"/>
      <c r="CL952" s="75"/>
      <c r="CM952" s="73"/>
      <c r="CN952" s="75"/>
      <c r="CO952" s="75"/>
      <c r="CP952" s="75"/>
      <c r="CQ952" s="73"/>
      <c r="CR952" s="75"/>
      <c r="CS952" s="75"/>
      <c r="CT952" s="75"/>
      <c r="CU952" s="73"/>
      <c r="CV952" s="75"/>
      <c r="CW952" s="75"/>
      <c r="CX952" s="75"/>
      <c r="CY952" s="73"/>
      <c r="CZ952" s="75"/>
      <c r="DA952" s="75"/>
      <c r="DB952" s="75"/>
      <c r="DC952" s="73"/>
      <c r="DD952" s="75"/>
      <c r="DE952" s="75"/>
      <c r="DF952" s="75"/>
      <c r="DG952" s="73"/>
      <c r="DH952" s="75"/>
      <c r="DI952" s="75"/>
      <c r="DJ952" s="75"/>
      <c r="DK952" s="76"/>
    </row>
    <row r="953" spans="63:115" x14ac:dyDescent="0.25">
      <c r="BK953" s="75"/>
      <c r="BL953" s="75"/>
      <c r="BM953" s="75"/>
      <c r="BN953" s="73"/>
      <c r="BO953" s="75"/>
      <c r="BP953" s="75"/>
      <c r="BQ953" s="75"/>
      <c r="BR953" s="75"/>
      <c r="BS953" s="75"/>
      <c r="BT953" s="75"/>
      <c r="BU953" s="75"/>
      <c r="BV953" s="75"/>
      <c r="BW953" s="75"/>
      <c r="BX953" s="75"/>
      <c r="BY953" s="75"/>
      <c r="BZ953" s="75"/>
      <c r="CA953" s="73"/>
      <c r="CB953" s="75"/>
      <c r="CC953" s="75"/>
      <c r="CD953" s="75"/>
      <c r="CE953" s="73"/>
      <c r="CF953" s="75"/>
      <c r="CG953" s="75"/>
      <c r="CH953" s="75"/>
      <c r="CI953" s="73"/>
      <c r="CJ953" s="75"/>
      <c r="CK953" s="75"/>
      <c r="CL953" s="75"/>
      <c r="CM953" s="73"/>
      <c r="CN953" s="75"/>
      <c r="CO953" s="75"/>
      <c r="CP953" s="75"/>
      <c r="CQ953" s="73"/>
      <c r="CR953" s="75"/>
      <c r="CS953" s="75"/>
      <c r="CT953" s="75"/>
      <c r="CU953" s="73"/>
      <c r="CV953" s="75"/>
      <c r="CW953" s="75"/>
      <c r="CX953" s="75"/>
      <c r="CY953" s="73"/>
      <c r="CZ953" s="75"/>
      <c r="DA953" s="75"/>
      <c r="DB953" s="75"/>
      <c r="DC953" s="73"/>
      <c r="DD953" s="75"/>
      <c r="DE953" s="75"/>
      <c r="DF953" s="75"/>
      <c r="DG953" s="73"/>
      <c r="DH953" s="75"/>
      <c r="DI953" s="75"/>
      <c r="DJ953" s="75"/>
      <c r="DK953" s="76"/>
    </row>
    <row r="954" spans="63:115" x14ac:dyDescent="0.25">
      <c r="BK954" s="75"/>
      <c r="BL954" s="75"/>
      <c r="BM954" s="75"/>
      <c r="BN954" s="73"/>
      <c r="BO954" s="75"/>
      <c r="BP954" s="75"/>
      <c r="BQ954" s="75"/>
      <c r="BR954" s="75"/>
      <c r="BS954" s="75"/>
      <c r="BT954" s="75"/>
      <c r="BU954" s="75"/>
      <c r="BV954" s="75"/>
      <c r="BW954" s="75"/>
      <c r="BX954" s="75"/>
      <c r="BY954" s="75"/>
      <c r="BZ954" s="75"/>
      <c r="CA954" s="73"/>
      <c r="CB954" s="75"/>
      <c r="CC954" s="75"/>
      <c r="CD954" s="75"/>
      <c r="CE954" s="73"/>
      <c r="CF954" s="75"/>
      <c r="CG954" s="75"/>
      <c r="CH954" s="75"/>
      <c r="CI954" s="73"/>
      <c r="CJ954" s="75"/>
      <c r="CK954" s="75"/>
      <c r="CL954" s="75"/>
      <c r="CM954" s="73"/>
      <c r="CN954" s="75"/>
      <c r="CO954" s="75"/>
      <c r="CP954" s="75"/>
      <c r="CQ954" s="73"/>
      <c r="CR954" s="75"/>
      <c r="CS954" s="75"/>
      <c r="CT954" s="75"/>
      <c r="CU954" s="73"/>
      <c r="CV954" s="75"/>
      <c r="CW954" s="75"/>
      <c r="CX954" s="75"/>
      <c r="CY954" s="73"/>
      <c r="CZ954" s="75"/>
      <c r="DA954" s="75"/>
      <c r="DB954" s="75"/>
      <c r="DC954" s="73"/>
      <c r="DD954" s="75"/>
      <c r="DE954" s="75"/>
      <c r="DF954" s="75"/>
      <c r="DG954" s="73"/>
      <c r="DH954" s="75"/>
      <c r="DI954" s="75"/>
      <c r="DJ954" s="75"/>
      <c r="DK954" s="76"/>
    </row>
    <row r="955" spans="63:115" x14ac:dyDescent="0.25">
      <c r="BK955" s="75"/>
      <c r="BL955" s="75"/>
      <c r="BM955" s="75"/>
      <c r="BN955" s="73"/>
      <c r="BO955" s="75"/>
      <c r="BP955" s="75"/>
      <c r="BQ955" s="75"/>
      <c r="BR955" s="75"/>
      <c r="BS955" s="75"/>
      <c r="BT955" s="75"/>
      <c r="BU955" s="75"/>
      <c r="BV955" s="75"/>
      <c r="BW955" s="75"/>
      <c r="BX955" s="75"/>
      <c r="BY955" s="75"/>
      <c r="BZ955" s="75"/>
      <c r="CA955" s="73"/>
      <c r="CB955" s="75"/>
      <c r="CC955" s="75"/>
      <c r="CD955" s="75"/>
      <c r="CE955" s="73"/>
      <c r="CF955" s="75"/>
      <c r="CG955" s="75"/>
      <c r="CH955" s="75"/>
      <c r="CI955" s="73"/>
      <c r="CJ955" s="75"/>
      <c r="CK955" s="75"/>
      <c r="CL955" s="75"/>
      <c r="CM955" s="73"/>
      <c r="CN955" s="75"/>
      <c r="CO955" s="75"/>
      <c r="CP955" s="75"/>
      <c r="CQ955" s="73"/>
      <c r="CR955" s="75"/>
      <c r="CS955" s="75"/>
      <c r="CT955" s="75"/>
      <c r="CU955" s="73"/>
      <c r="CV955" s="75"/>
      <c r="CW955" s="75"/>
      <c r="CX955" s="75"/>
      <c r="CY955" s="73"/>
      <c r="CZ955" s="75"/>
      <c r="DA955" s="75"/>
      <c r="DB955" s="75"/>
      <c r="DC955" s="73"/>
      <c r="DD955" s="75"/>
      <c r="DE955" s="75"/>
      <c r="DF955" s="75"/>
      <c r="DG955" s="73"/>
      <c r="DH955" s="75"/>
      <c r="DI955" s="75"/>
      <c r="DJ955" s="75"/>
      <c r="DK955" s="76"/>
    </row>
    <row r="956" spans="63:115" x14ac:dyDescent="0.25">
      <c r="BK956" s="75"/>
      <c r="BL956" s="75"/>
      <c r="BM956" s="75"/>
      <c r="BN956" s="73"/>
      <c r="BO956" s="75"/>
      <c r="BP956" s="75"/>
      <c r="BQ956" s="75"/>
      <c r="BR956" s="75"/>
      <c r="BS956" s="75"/>
      <c r="BT956" s="75"/>
      <c r="BU956" s="75"/>
      <c r="BV956" s="75"/>
      <c r="BW956" s="75"/>
      <c r="BX956" s="75"/>
      <c r="BY956" s="75"/>
      <c r="BZ956" s="75"/>
      <c r="CA956" s="73"/>
      <c r="CB956" s="75"/>
      <c r="CC956" s="75"/>
      <c r="CD956" s="75"/>
      <c r="CE956" s="73"/>
      <c r="CF956" s="75"/>
      <c r="CG956" s="75"/>
      <c r="CH956" s="75"/>
      <c r="CI956" s="73"/>
      <c r="CJ956" s="75"/>
      <c r="CK956" s="75"/>
      <c r="CL956" s="75"/>
      <c r="CM956" s="73"/>
      <c r="CN956" s="75"/>
      <c r="CO956" s="75"/>
      <c r="CP956" s="75"/>
      <c r="CQ956" s="73"/>
      <c r="CR956" s="75"/>
      <c r="CS956" s="75"/>
      <c r="CT956" s="75"/>
      <c r="CU956" s="73"/>
      <c r="CV956" s="75"/>
      <c r="CW956" s="75"/>
      <c r="CX956" s="75"/>
      <c r="CY956" s="73"/>
      <c r="CZ956" s="75"/>
      <c r="DA956" s="75"/>
      <c r="DB956" s="75"/>
      <c r="DC956" s="73"/>
      <c r="DD956" s="75"/>
      <c r="DE956" s="75"/>
      <c r="DF956" s="75"/>
      <c r="DG956" s="73"/>
      <c r="DH956" s="75"/>
      <c r="DI956" s="75"/>
      <c r="DJ956" s="75"/>
      <c r="DK956" s="76"/>
    </row>
    <row r="957" spans="63:115" x14ac:dyDescent="0.25">
      <c r="BK957" s="75"/>
      <c r="BL957" s="75"/>
      <c r="BM957" s="75"/>
      <c r="BN957" s="73"/>
      <c r="BO957" s="75"/>
      <c r="BP957" s="75"/>
      <c r="BQ957" s="75"/>
      <c r="BR957" s="75"/>
      <c r="BS957" s="75"/>
      <c r="BT957" s="75"/>
      <c r="BU957" s="75"/>
      <c r="BV957" s="75"/>
      <c r="BW957" s="75"/>
      <c r="BX957" s="75"/>
      <c r="BY957" s="75"/>
      <c r="BZ957" s="75"/>
      <c r="CA957" s="73"/>
      <c r="CB957" s="75"/>
      <c r="CC957" s="75"/>
      <c r="CD957" s="75"/>
      <c r="CE957" s="73"/>
      <c r="CF957" s="75"/>
      <c r="CG957" s="75"/>
      <c r="CH957" s="75"/>
      <c r="CI957" s="73"/>
      <c r="CJ957" s="75"/>
      <c r="CK957" s="75"/>
      <c r="CL957" s="75"/>
      <c r="CM957" s="73"/>
      <c r="CN957" s="75"/>
      <c r="CO957" s="75"/>
      <c r="CP957" s="75"/>
      <c r="CQ957" s="73"/>
      <c r="CR957" s="75"/>
      <c r="CS957" s="75"/>
      <c r="CT957" s="75"/>
      <c r="CU957" s="73"/>
      <c r="CV957" s="75"/>
      <c r="CW957" s="75"/>
      <c r="CX957" s="75"/>
      <c r="CY957" s="73"/>
      <c r="CZ957" s="75"/>
      <c r="DA957" s="75"/>
      <c r="DB957" s="75"/>
      <c r="DC957" s="73"/>
      <c r="DD957" s="75"/>
      <c r="DE957" s="75"/>
      <c r="DF957" s="75"/>
      <c r="DG957" s="73"/>
      <c r="DH957" s="75"/>
      <c r="DI957" s="75"/>
      <c r="DJ957" s="75"/>
      <c r="DK957" s="76"/>
    </row>
    <row r="958" spans="63:115" x14ac:dyDescent="0.25">
      <c r="BK958" s="75"/>
      <c r="BL958" s="75"/>
      <c r="BM958" s="75"/>
      <c r="BN958" s="73"/>
      <c r="BO958" s="75"/>
      <c r="BP958" s="75"/>
      <c r="BQ958" s="75"/>
      <c r="BR958" s="75"/>
      <c r="BS958" s="75"/>
      <c r="BT958" s="75"/>
      <c r="BU958" s="75"/>
      <c r="BV958" s="75"/>
      <c r="BW958" s="75"/>
      <c r="BX958" s="75"/>
      <c r="BY958" s="75"/>
      <c r="BZ958" s="75"/>
      <c r="CA958" s="73"/>
      <c r="CB958" s="75"/>
      <c r="CC958" s="75"/>
      <c r="CD958" s="75"/>
      <c r="CE958" s="73"/>
      <c r="CF958" s="75"/>
      <c r="CG958" s="75"/>
      <c r="CH958" s="75"/>
      <c r="CI958" s="73"/>
      <c r="CJ958" s="75"/>
      <c r="CK958" s="75"/>
      <c r="CL958" s="75"/>
      <c r="CM958" s="73"/>
      <c r="CN958" s="75"/>
      <c r="CO958" s="75"/>
      <c r="CP958" s="75"/>
      <c r="CQ958" s="73"/>
      <c r="CR958" s="75"/>
      <c r="CS958" s="75"/>
      <c r="CT958" s="75"/>
      <c r="CU958" s="73"/>
      <c r="CV958" s="75"/>
      <c r="CW958" s="75"/>
      <c r="CX958" s="75"/>
      <c r="CY958" s="73"/>
      <c r="CZ958" s="75"/>
      <c r="DA958" s="75"/>
      <c r="DB958" s="75"/>
      <c r="DC958" s="73"/>
      <c r="DD958" s="75"/>
      <c r="DE958" s="75"/>
      <c r="DF958" s="75"/>
      <c r="DG958" s="73"/>
      <c r="DH958" s="75"/>
      <c r="DI958" s="75"/>
      <c r="DJ958" s="75"/>
      <c r="DK958" s="76"/>
    </row>
    <row r="959" spans="63:115" x14ac:dyDescent="0.25">
      <c r="BK959" s="75"/>
      <c r="BL959" s="75"/>
      <c r="BM959" s="75"/>
      <c r="BN959" s="73"/>
      <c r="BO959" s="75"/>
      <c r="BP959" s="75"/>
      <c r="BQ959" s="75"/>
      <c r="BR959" s="75"/>
      <c r="BS959" s="75"/>
      <c r="BT959" s="75"/>
      <c r="BU959" s="75"/>
      <c r="BV959" s="75"/>
      <c r="BW959" s="75"/>
      <c r="BX959" s="75"/>
      <c r="BY959" s="75"/>
      <c r="BZ959" s="75"/>
      <c r="CA959" s="73"/>
      <c r="CB959" s="75"/>
      <c r="CC959" s="75"/>
      <c r="CD959" s="75"/>
      <c r="CE959" s="73"/>
      <c r="CF959" s="75"/>
      <c r="CG959" s="75"/>
      <c r="CH959" s="75"/>
      <c r="CI959" s="73"/>
      <c r="CJ959" s="75"/>
      <c r="CK959" s="75"/>
      <c r="CL959" s="75"/>
      <c r="CM959" s="73"/>
      <c r="CN959" s="75"/>
      <c r="CO959" s="75"/>
      <c r="CP959" s="75"/>
      <c r="CQ959" s="73"/>
      <c r="CR959" s="75"/>
      <c r="CS959" s="75"/>
      <c r="CT959" s="75"/>
      <c r="CU959" s="73"/>
      <c r="CV959" s="75"/>
      <c r="CW959" s="75"/>
      <c r="CX959" s="75"/>
      <c r="CY959" s="73"/>
      <c r="CZ959" s="75"/>
      <c r="DA959" s="75"/>
      <c r="DB959" s="75"/>
      <c r="DC959" s="73"/>
      <c r="DD959" s="75"/>
      <c r="DE959" s="75"/>
      <c r="DF959" s="75"/>
      <c r="DG959" s="73"/>
      <c r="DH959" s="75"/>
      <c r="DI959" s="75"/>
      <c r="DJ959" s="75"/>
      <c r="DK959" s="76"/>
    </row>
    <row r="960" spans="63:115" x14ac:dyDescent="0.25">
      <c r="BK960" s="75"/>
      <c r="BL960" s="75"/>
      <c r="BM960" s="75"/>
      <c r="BN960" s="73"/>
      <c r="BO960" s="75"/>
      <c r="BP960" s="75"/>
      <c r="BQ960" s="75"/>
      <c r="BR960" s="75"/>
      <c r="BS960" s="75"/>
      <c r="BT960" s="75"/>
      <c r="BU960" s="75"/>
      <c r="BV960" s="75"/>
      <c r="BW960" s="75"/>
      <c r="BX960" s="75"/>
      <c r="BY960" s="75"/>
      <c r="BZ960" s="75"/>
      <c r="CA960" s="73"/>
      <c r="CB960" s="75"/>
      <c r="CC960" s="75"/>
      <c r="CD960" s="75"/>
      <c r="CE960" s="73"/>
      <c r="CF960" s="75"/>
      <c r="CG960" s="75"/>
      <c r="CH960" s="75"/>
      <c r="CI960" s="73"/>
      <c r="CJ960" s="75"/>
      <c r="CK960" s="75"/>
      <c r="CL960" s="75"/>
      <c r="CM960" s="73"/>
      <c r="CN960" s="75"/>
      <c r="CO960" s="75"/>
      <c r="CP960" s="75"/>
      <c r="CQ960" s="73"/>
      <c r="CR960" s="75"/>
      <c r="CS960" s="75"/>
      <c r="CT960" s="75"/>
      <c r="CU960" s="73"/>
      <c r="CV960" s="75"/>
      <c r="CW960" s="75"/>
      <c r="CX960" s="75"/>
      <c r="CY960" s="73"/>
      <c r="CZ960" s="75"/>
      <c r="DA960" s="75"/>
      <c r="DB960" s="75"/>
      <c r="DC960" s="73"/>
      <c r="DD960" s="75"/>
      <c r="DE960" s="75"/>
      <c r="DF960" s="75"/>
      <c r="DG960" s="73"/>
      <c r="DH960" s="75"/>
      <c r="DI960" s="75"/>
      <c r="DJ960" s="75"/>
      <c r="DK960" s="76"/>
    </row>
    <row r="961" spans="63:115" x14ac:dyDescent="0.25">
      <c r="BK961" s="75"/>
      <c r="BL961" s="75"/>
      <c r="BM961" s="75"/>
      <c r="BN961" s="73"/>
      <c r="BO961" s="75"/>
      <c r="BP961" s="75"/>
      <c r="BQ961" s="75"/>
      <c r="BR961" s="75"/>
      <c r="BS961" s="75"/>
      <c r="BT961" s="75"/>
      <c r="BU961" s="75"/>
      <c r="BV961" s="75"/>
      <c r="BW961" s="75"/>
      <c r="BX961" s="75"/>
      <c r="BY961" s="75"/>
      <c r="BZ961" s="75"/>
      <c r="CA961" s="73"/>
      <c r="CB961" s="75"/>
      <c r="CC961" s="75"/>
      <c r="CD961" s="75"/>
      <c r="CE961" s="73"/>
      <c r="CF961" s="75"/>
      <c r="CG961" s="75"/>
      <c r="CH961" s="75"/>
      <c r="CI961" s="73"/>
      <c r="CJ961" s="75"/>
      <c r="CK961" s="75"/>
      <c r="CL961" s="75"/>
      <c r="CM961" s="73"/>
      <c r="CN961" s="75"/>
      <c r="CO961" s="75"/>
      <c r="CP961" s="75"/>
      <c r="CQ961" s="73"/>
      <c r="CR961" s="75"/>
      <c r="CS961" s="75"/>
      <c r="CT961" s="75"/>
      <c r="CU961" s="73"/>
      <c r="CV961" s="75"/>
      <c r="CW961" s="75"/>
      <c r="CX961" s="75"/>
      <c r="CY961" s="73"/>
      <c r="CZ961" s="75"/>
      <c r="DA961" s="75"/>
      <c r="DB961" s="75"/>
      <c r="DC961" s="73"/>
      <c r="DD961" s="75"/>
      <c r="DE961" s="75"/>
      <c r="DF961" s="75"/>
      <c r="DG961" s="73"/>
      <c r="DH961" s="75"/>
      <c r="DI961" s="75"/>
      <c r="DJ961" s="75"/>
      <c r="DK961" s="76"/>
    </row>
    <row r="962" spans="63:115" x14ac:dyDescent="0.25">
      <c r="BK962" s="75"/>
      <c r="BL962" s="75"/>
      <c r="BM962" s="75"/>
      <c r="BN962" s="73"/>
      <c r="BO962" s="75"/>
      <c r="BP962" s="75"/>
      <c r="BQ962" s="75"/>
      <c r="BR962" s="75"/>
      <c r="BS962" s="75"/>
      <c r="BT962" s="75"/>
      <c r="BU962" s="75"/>
      <c r="BV962" s="75"/>
      <c r="BW962" s="75"/>
      <c r="BX962" s="75"/>
      <c r="BY962" s="75"/>
      <c r="BZ962" s="75"/>
      <c r="CA962" s="73"/>
      <c r="CB962" s="75"/>
      <c r="CC962" s="75"/>
      <c r="CD962" s="75"/>
      <c r="CE962" s="73"/>
      <c r="CF962" s="75"/>
      <c r="CG962" s="75"/>
      <c r="CH962" s="75"/>
      <c r="CI962" s="73"/>
      <c r="CJ962" s="75"/>
      <c r="CK962" s="75"/>
      <c r="CL962" s="75"/>
      <c r="CM962" s="73"/>
      <c r="CN962" s="75"/>
      <c r="CO962" s="75"/>
      <c r="CP962" s="75"/>
      <c r="CQ962" s="73"/>
      <c r="CR962" s="75"/>
      <c r="CS962" s="75"/>
      <c r="CT962" s="75"/>
      <c r="CU962" s="73"/>
      <c r="CV962" s="75"/>
      <c r="CW962" s="75"/>
      <c r="CX962" s="75"/>
      <c r="CY962" s="73"/>
      <c r="CZ962" s="75"/>
      <c r="DA962" s="75"/>
      <c r="DB962" s="75"/>
      <c r="DC962" s="73"/>
      <c r="DD962" s="75"/>
      <c r="DE962" s="75"/>
      <c r="DF962" s="75"/>
      <c r="DG962" s="73"/>
      <c r="DH962" s="75"/>
      <c r="DI962" s="75"/>
      <c r="DJ962" s="75"/>
      <c r="DK962" s="76"/>
    </row>
    <row r="963" spans="63:115" x14ac:dyDescent="0.25">
      <c r="BK963" s="75"/>
      <c r="BL963" s="75"/>
      <c r="BM963" s="75"/>
      <c r="BN963" s="73"/>
      <c r="BO963" s="75"/>
      <c r="BP963" s="75"/>
      <c r="BQ963" s="75"/>
      <c r="BR963" s="75"/>
      <c r="BS963" s="75"/>
      <c r="BT963" s="75"/>
      <c r="BU963" s="75"/>
      <c r="BV963" s="75"/>
      <c r="BW963" s="75"/>
      <c r="BX963" s="75"/>
      <c r="BY963" s="75"/>
      <c r="BZ963" s="75"/>
      <c r="CA963" s="73"/>
      <c r="CB963" s="75"/>
      <c r="CC963" s="75"/>
      <c r="CD963" s="75"/>
      <c r="CE963" s="73"/>
      <c r="CF963" s="75"/>
      <c r="CG963" s="75"/>
      <c r="CH963" s="75"/>
      <c r="CI963" s="73"/>
      <c r="CJ963" s="75"/>
      <c r="CK963" s="75"/>
      <c r="CL963" s="75"/>
      <c r="CM963" s="73"/>
      <c r="CN963" s="75"/>
      <c r="CO963" s="75"/>
      <c r="CP963" s="75"/>
      <c r="CQ963" s="73"/>
      <c r="CR963" s="75"/>
      <c r="CS963" s="75"/>
      <c r="CT963" s="75"/>
      <c r="CU963" s="73"/>
      <c r="CV963" s="75"/>
      <c r="CW963" s="75"/>
      <c r="CX963" s="75"/>
      <c r="CY963" s="73"/>
      <c r="CZ963" s="75"/>
      <c r="DA963" s="75"/>
      <c r="DB963" s="75"/>
      <c r="DC963" s="73"/>
      <c r="DD963" s="75"/>
      <c r="DE963" s="75"/>
      <c r="DF963" s="75"/>
      <c r="DG963" s="73"/>
      <c r="DH963" s="75"/>
      <c r="DI963" s="75"/>
      <c r="DJ963" s="75"/>
      <c r="DK963" s="76"/>
    </row>
    <row r="964" spans="63:115" x14ac:dyDescent="0.25">
      <c r="BK964" s="75"/>
      <c r="BL964" s="75"/>
      <c r="BM964" s="75"/>
      <c r="BN964" s="73"/>
      <c r="BO964" s="75"/>
      <c r="BP964" s="75"/>
      <c r="BQ964" s="75"/>
      <c r="BR964" s="75"/>
      <c r="BS964" s="75"/>
      <c r="BT964" s="75"/>
      <c r="BU964" s="75"/>
      <c r="BV964" s="75"/>
      <c r="BW964" s="75"/>
      <c r="BX964" s="75"/>
      <c r="BY964" s="75"/>
      <c r="BZ964" s="75"/>
      <c r="CA964" s="73"/>
      <c r="CB964" s="75"/>
      <c r="CC964" s="75"/>
      <c r="CD964" s="75"/>
      <c r="CE964" s="73"/>
      <c r="CF964" s="75"/>
      <c r="CG964" s="75"/>
      <c r="CH964" s="75"/>
      <c r="CI964" s="73"/>
      <c r="CJ964" s="75"/>
      <c r="CK964" s="75"/>
      <c r="CL964" s="75"/>
      <c r="CM964" s="73"/>
      <c r="CN964" s="75"/>
      <c r="CO964" s="75"/>
      <c r="CP964" s="75"/>
      <c r="CQ964" s="73"/>
      <c r="CR964" s="75"/>
      <c r="CS964" s="75"/>
      <c r="CT964" s="75"/>
      <c r="CU964" s="73"/>
      <c r="CV964" s="75"/>
      <c r="CW964" s="75"/>
      <c r="CX964" s="75"/>
      <c r="CY964" s="73"/>
      <c r="CZ964" s="75"/>
      <c r="DA964" s="75"/>
      <c r="DB964" s="75"/>
      <c r="DC964" s="73"/>
      <c r="DD964" s="75"/>
      <c r="DE964" s="75"/>
      <c r="DF964" s="75"/>
      <c r="DG964" s="73"/>
      <c r="DH964" s="75"/>
      <c r="DI964" s="75"/>
      <c r="DJ964" s="75"/>
      <c r="DK964" s="76"/>
    </row>
    <row r="965" spans="63:115" x14ac:dyDescent="0.25">
      <c r="BK965" s="75"/>
      <c r="BL965" s="75"/>
      <c r="BM965" s="75"/>
      <c r="BN965" s="73"/>
      <c r="BO965" s="75"/>
      <c r="BP965" s="75"/>
      <c r="BQ965" s="75"/>
      <c r="BR965" s="75"/>
      <c r="BS965" s="75"/>
      <c r="BT965" s="75"/>
      <c r="BU965" s="75"/>
      <c r="BV965" s="75"/>
      <c r="BW965" s="75"/>
      <c r="BX965" s="75"/>
      <c r="BY965" s="75"/>
      <c r="BZ965" s="75"/>
      <c r="CA965" s="73"/>
      <c r="CB965" s="75"/>
      <c r="CC965" s="75"/>
      <c r="CD965" s="75"/>
      <c r="CE965" s="73"/>
      <c r="CF965" s="75"/>
      <c r="CG965" s="75"/>
      <c r="CH965" s="75"/>
      <c r="CI965" s="73"/>
      <c r="CJ965" s="75"/>
      <c r="CK965" s="75"/>
      <c r="CL965" s="75"/>
      <c r="CM965" s="73"/>
      <c r="CN965" s="75"/>
      <c r="CO965" s="75"/>
      <c r="CP965" s="75"/>
      <c r="CQ965" s="73"/>
      <c r="CR965" s="75"/>
      <c r="CS965" s="75"/>
      <c r="CT965" s="75"/>
      <c r="CU965" s="73"/>
      <c r="CV965" s="75"/>
      <c r="CW965" s="75"/>
      <c r="CX965" s="75"/>
      <c r="CY965" s="73"/>
      <c r="CZ965" s="75"/>
      <c r="DA965" s="75"/>
      <c r="DB965" s="75"/>
      <c r="DC965" s="73"/>
      <c r="DD965" s="75"/>
      <c r="DE965" s="75"/>
      <c r="DF965" s="75"/>
      <c r="DG965" s="73"/>
      <c r="DH965" s="75"/>
      <c r="DI965" s="75"/>
      <c r="DJ965" s="75"/>
      <c r="DK965" s="76"/>
    </row>
    <row r="966" spans="63:115" x14ac:dyDescent="0.25">
      <c r="BK966" s="75"/>
      <c r="BL966" s="75"/>
      <c r="BM966" s="75"/>
      <c r="BN966" s="73"/>
      <c r="BO966" s="75"/>
      <c r="BP966" s="75"/>
      <c r="BQ966" s="75"/>
      <c r="BR966" s="75"/>
      <c r="BS966" s="75"/>
      <c r="BT966" s="75"/>
      <c r="BU966" s="75"/>
      <c r="BV966" s="75"/>
      <c r="BW966" s="75"/>
      <c r="BX966" s="75"/>
      <c r="BY966" s="75"/>
      <c r="BZ966" s="75"/>
      <c r="CA966" s="73"/>
      <c r="CB966" s="75"/>
      <c r="CC966" s="75"/>
      <c r="CD966" s="75"/>
      <c r="CE966" s="73"/>
      <c r="CF966" s="75"/>
      <c r="CG966" s="75"/>
      <c r="CH966" s="75"/>
      <c r="CI966" s="73"/>
      <c r="CJ966" s="75"/>
      <c r="CK966" s="75"/>
      <c r="CL966" s="75"/>
      <c r="CM966" s="73"/>
      <c r="CN966" s="75"/>
      <c r="CO966" s="75"/>
      <c r="CP966" s="75"/>
      <c r="CQ966" s="73"/>
      <c r="CR966" s="75"/>
      <c r="CS966" s="75"/>
      <c r="CT966" s="75"/>
      <c r="CU966" s="73"/>
      <c r="CV966" s="75"/>
      <c r="CW966" s="75"/>
      <c r="CX966" s="75"/>
      <c r="CY966" s="73"/>
      <c r="CZ966" s="75"/>
      <c r="DA966" s="75"/>
      <c r="DB966" s="75"/>
      <c r="DC966" s="73"/>
      <c r="DD966" s="75"/>
      <c r="DE966" s="75"/>
      <c r="DF966" s="75"/>
      <c r="DG966" s="73"/>
      <c r="DH966" s="75"/>
      <c r="DI966" s="75"/>
      <c r="DJ966" s="75"/>
      <c r="DK966" s="76"/>
    </row>
    <row r="967" spans="63:115" x14ac:dyDescent="0.25">
      <c r="BK967" s="75"/>
      <c r="BL967" s="75"/>
      <c r="BM967" s="75"/>
      <c r="BN967" s="73"/>
      <c r="BO967" s="75"/>
      <c r="BP967" s="75"/>
      <c r="BQ967" s="75"/>
      <c r="BR967" s="75"/>
      <c r="BS967" s="75"/>
      <c r="BT967" s="75"/>
      <c r="BU967" s="75"/>
      <c r="BV967" s="75"/>
      <c r="BW967" s="75"/>
      <c r="BX967" s="75"/>
      <c r="BY967" s="75"/>
      <c r="BZ967" s="75"/>
      <c r="CA967" s="73"/>
      <c r="CB967" s="75"/>
      <c r="CC967" s="75"/>
      <c r="CD967" s="75"/>
      <c r="CE967" s="73"/>
      <c r="CF967" s="75"/>
      <c r="CG967" s="75"/>
      <c r="CH967" s="75"/>
      <c r="CI967" s="73"/>
      <c r="CJ967" s="75"/>
      <c r="CK967" s="75"/>
      <c r="CL967" s="75"/>
      <c r="CM967" s="73"/>
      <c r="CN967" s="75"/>
      <c r="CO967" s="75"/>
      <c r="CP967" s="75"/>
      <c r="CQ967" s="73"/>
      <c r="CR967" s="75"/>
      <c r="CS967" s="75"/>
      <c r="CT967" s="75"/>
      <c r="CU967" s="73"/>
      <c r="CV967" s="75"/>
      <c r="CW967" s="75"/>
      <c r="CX967" s="75"/>
      <c r="CY967" s="73"/>
      <c r="CZ967" s="75"/>
      <c r="DA967" s="75"/>
      <c r="DB967" s="75"/>
      <c r="DC967" s="73"/>
      <c r="DD967" s="75"/>
      <c r="DE967" s="75"/>
      <c r="DF967" s="75"/>
      <c r="DG967" s="73"/>
      <c r="DH967" s="75"/>
      <c r="DI967" s="75"/>
      <c r="DJ967" s="75"/>
      <c r="DK967" s="76"/>
    </row>
    <row r="968" spans="63:115" x14ac:dyDescent="0.25">
      <c r="BK968" s="75"/>
      <c r="BL968" s="75"/>
      <c r="BM968" s="75"/>
      <c r="BN968" s="73"/>
      <c r="BO968" s="75"/>
      <c r="BP968" s="75"/>
      <c r="BQ968" s="75"/>
      <c r="BR968" s="75"/>
      <c r="BS968" s="75"/>
      <c r="BT968" s="75"/>
      <c r="BU968" s="75"/>
      <c r="BV968" s="75"/>
      <c r="BW968" s="75"/>
      <c r="BX968" s="75"/>
      <c r="BY968" s="75"/>
      <c r="BZ968" s="75"/>
      <c r="CA968" s="73"/>
      <c r="CB968" s="75"/>
      <c r="CC968" s="75"/>
      <c r="CD968" s="75"/>
      <c r="CE968" s="73"/>
      <c r="CF968" s="75"/>
      <c r="CG968" s="75"/>
      <c r="CH968" s="75"/>
      <c r="CI968" s="73"/>
      <c r="CJ968" s="75"/>
      <c r="CK968" s="75"/>
      <c r="CL968" s="75"/>
      <c r="CM968" s="73"/>
      <c r="CN968" s="75"/>
      <c r="CO968" s="75"/>
      <c r="CP968" s="75"/>
      <c r="CQ968" s="73"/>
      <c r="CR968" s="75"/>
      <c r="CS968" s="75"/>
      <c r="CT968" s="75"/>
      <c r="CU968" s="73"/>
      <c r="CV968" s="75"/>
      <c r="CW968" s="75"/>
      <c r="CX968" s="75"/>
      <c r="CY968" s="73"/>
      <c r="CZ968" s="75"/>
      <c r="DA968" s="75"/>
      <c r="DB968" s="75"/>
      <c r="DC968" s="73"/>
      <c r="DD968" s="75"/>
      <c r="DE968" s="75"/>
      <c r="DF968" s="75"/>
      <c r="DG968" s="73"/>
      <c r="DH968" s="75"/>
      <c r="DI968" s="75"/>
      <c r="DJ968" s="75"/>
      <c r="DK968" s="76"/>
    </row>
    <row r="969" spans="63:115" x14ac:dyDescent="0.25">
      <c r="BK969" s="75"/>
      <c r="BL969" s="75"/>
      <c r="BM969" s="75"/>
      <c r="BN969" s="73"/>
      <c r="BO969" s="75"/>
      <c r="BP969" s="75"/>
      <c r="BQ969" s="75"/>
      <c r="BR969" s="75"/>
      <c r="BS969" s="75"/>
      <c r="BT969" s="75"/>
      <c r="BU969" s="75"/>
      <c r="BV969" s="75"/>
      <c r="BW969" s="75"/>
      <c r="BX969" s="75"/>
      <c r="BY969" s="75"/>
      <c r="BZ969" s="75"/>
      <c r="CA969" s="73"/>
      <c r="CB969" s="75"/>
      <c r="CC969" s="75"/>
      <c r="CD969" s="75"/>
      <c r="CE969" s="73"/>
      <c r="CF969" s="75"/>
      <c r="CG969" s="75"/>
      <c r="CH969" s="75"/>
      <c r="CI969" s="73"/>
      <c r="CJ969" s="75"/>
      <c r="CK969" s="75"/>
      <c r="CL969" s="75"/>
      <c r="CM969" s="73"/>
      <c r="CN969" s="75"/>
      <c r="CO969" s="75"/>
      <c r="CP969" s="75"/>
      <c r="CQ969" s="73"/>
      <c r="CR969" s="75"/>
      <c r="CS969" s="75"/>
      <c r="CT969" s="75"/>
      <c r="CU969" s="73"/>
      <c r="CV969" s="75"/>
      <c r="CW969" s="75"/>
      <c r="CX969" s="75"/>
      <c r="CY969" s="73"/>
      <c r="CZ969" s="75"/>
      <c r="DA969" s="75"/>
      <c r="DB969" s="75"/>
      <c r="DC969" s="73"/>
      <c r="DD969" s="75"/>
      <c r="DE969" s="75"/>
      <c r="DF969" s="75"/>
      <c r="DG969" s="73"/>
      <c r="DH969" s="75"/>
      <c r="DI969" s="75"/>
      <c r="DJ969" s="75"/>
      <c r="DK969" s="76"/>
    </row>
    <row r="970" spans="63:115" x14ac:dyDescent="0.25">
      <c r="BK970" s="75"/>
      <c r="BL970" s="75"/>
      <c r="BM970" s="75"/>
      <c r="BN970" s="73"/>
      <c r="BO970" s="75"/>
      <c r="BP970" s="75"/>
      <c r="BQ970" s="75"/>
      <c r="BR970" s="75"/>
      <c r="BS970" s="75"/>
      <c r="BT970" s="75"/>
      <c r="BU970" s="75"/>
      <c r="BV970" s="75"/>
      <c r="BW970" s="75"/>
      <c r="BX970" s="75"/>
      <c r="BY970" s="75"/>
      <c r="BZ970" s="75"/>
      <c r="CA970" s="73"/>
      <c r="CB970" s="75"/>
      <c r="CC970" s="75"/>
      <c r="CD970" s="75"/>
      <c r="CE970" s="73"/>
      <c r="CF970" s="75"/>
      <c r="CG970" s="75"/>
      <c r="CH970" s="75"/>
      <c r="CI970" s="73"/>
      <c r="CJ970" s="75"/>
      <c r="CK970" s="75"/>
      <c r="CL970" s="75"/>
      <c r="CM970" s="73"/>
      <c r="CN970" s="75"/>
      <c r="CO970" s="75"/>
      <c r="CP970" s="75"/>
      <c r="CQ970" s="73"/>
      <c r="CR970" s="75"/>
      <c r="CS970" s="75"/>
      <c r="CT970" s="75"/>
      <c r="CU970" s="73"/>
      <c r="CV970" s="75"/>
      <c r="CW970" s="75"/>
      <c r="CX970" s="75"/>
      <c r="CY970" s="73"/>
      <c r="CZ970" s="75"/>
      <c r="DA970" s="75"/>
      <c r="DB970" s="75"/>
      <c r="DC970" s="73"/>
      <c r="DD970" s="75"/>
      <c r="DE970" s="75"/>
      <c r="DF970" s="75"/>
      <c r="DG970" s="73"/>
      <c r="DH970" s="75"/>
      <c r="DI970" s="75"/>
      <c r="DJ970" s="75"/>
      <c r="DK970" s="76"/>
    </row>
    <row r="971" spans="63:115" x14ac:dyDescent="0.25">
      <c r="BK971" s="75"/>
      <c r="BL971" s="75"/>
      <c r="BM971" s="75"/>
      <c r="BN971" s="73"/>
      <c r="BO971" s="75"/>
      <c r="BP971" s="75"/>
      <c r="BQ971" s="75"/>
      <c r="BR971" s="75"/>
      <c r="BS971" s="75"/>
      <c r="BT971" s="75"/>
      <c r="BU971" s="75"/>
      <c r="BV971" s="75"/>
      <c r="BW971" s="75"/>
      <c r="BX971" s="75"/>
      <c r="BY971" s="75"/>
      <c r="BZ971" s="75"/>
      <c r="CA971" s="73"/>
      <c r="CB971" s="75"/>
      <c r="CC971" s="75"/>
      <c r="CD971" s="75"/>
      <c r="CE971" s="73"/>
      <c r="CF971" s="75"/>
      <c r="CG971" s="75"/>
      <c r="CH971" s="75"/>
      <c r="CI971" s="73"/>
      <c r="CJ971" s="75"/>
      <c r="CK971" s="75"/>
      <c r="CL971" s="75"/>
      <c r="CM971" s="73"/>
      <c r="CN971" s="75"/>
      <c r="CO971" s="75"/>
      <c r="CP971" s="75"/>
      <c r="CQ971" s="73"/>
      <c r="CR971" s="75"/>
      <c r="CS971" s="75"/>
      <c r="CT971" s="75"/>
      <c r="CU971" s="73"/>
      <c r="CV971" s="75"/>
      <c r="CW971" s="75"/>
      <c r="CX971" s="75"/>
      <c r="CY971" s="73"/>
      <c r="CZ971" s="75"/>
      <c r="DA971" s="75"/>
      <c r="DB971" s="75"/>
      <c r="DC971" s="73"/>
      <c r="DD971" s="75"/>
      <c r="DE971" s="75"/>
      <c r="DF971" s="75"/>
      <c r="DG971" s="73"/>
      <c r="DH971" s="75"/>
      <c r="DI971" s="75"/>
      <c r="DJ971" s="75"/>
      <c r="DK971" s="76"/>
    </row>
    <row r="972" spans="63:115" x14ac:dyDescent="0.25">
      <c r="BK972" s="75"/>
      <c r="BL972" s="75"/>
      <c r="BM972" s="75"/>
      <c r="BN972" s="73"/>
      <c r="BO972" s="75"/>
      <c r="BP972" s="75"/>
      <c r="BQ972" s="75"/>
      <c r="BR972" s="75"/>
      <c r="BS972" s="75"/>
      <c r="BT972" s="75"/>
      <c r="BU972" s="75"/>
      <c r="BV972" s="75"/>
      <c r="BW972" s="75"/>
      <c r="BX972" s="75"/>
      <c r="BY972" s="75"/>
      <c r="BZ972" s="75"/>
      <c r="CA972" s="73"/>
      <c r="CB972" s="75"/>
      <c r="CC972" s="75"/>
      <c r="CD972" s="75"/>
      <c r="CE972" s="73"/>
      <c r="CF972" s="75"/>
      <c r="CG972" s="75"/>
      <c r="CH972" s="75"/>
      <c r="CI972" s="73"/>
      <c r="CJ972" s="75"/>
      <c r="CK972" s="75"/>
      <c r="CL972" s="75"/>
      <c r="CM972" s="73"/>
      <c r="CN972" s="75"/>
      <c r="CO972" s="75"/>
      <c r="CP972" s="75"/>
      <c r="CQ972" s="73"/>
      <c r="CR972" s="75"/>
      <c r="CS972" s="75"/>
      <c r="CT972" s="75"/>
      <c r="CU972" s="73"/>
      <c r="CV972" s="75"/>
      <c r="CW972" s="75"/>
      <c r="CX972" s="75"/>
      <c r="CY972" s="73"/>
      <c r="CZ972" s="75"/>
      <c r="DA972" s="75"/>
      <c r="DB972" s="75"/>
      <c r="DC972" s="73"/>
      <c r="DD972" s="75"/>
      <c r="DE972" s="75"/>
      <c r="DF972" s="75"/>
      <c r="DG972" s="73"/>
      <c r="DH972" s="75"/>
      <c r="DI972" s="75"/>
      <c r="DJ972" s="75"/>
      <c r="DK972" s="76"/>
    </row>
    <row r="973" spans="63:115" x14ac:dyDescent="0.25">
      <c r="BK973" s="75"/>
      <c r="BL973" s="75"/>
      <c r="BM973" s="75"/>
      <c r="BN973" s="73"/>
      <c r="BO973" s="75"/>
      <c r="BP973" s="75"/>
      <c r="BQ973" s="75"/>
      <c r="BR973" s="75"/>
      <c r="BS973" s="75"/>
      <c r="BT973" s="75"/>
      <c r="BU973" s="75"/>
      <c r="BV973" s="75"/>
      <c r="BW973" s="75"/>
      <c r="BX973" s="75"/>
      <c r="BY973" s="75"/>
      <c r="BZ973" s="75"/>
      <c r="CA973" s="73"/>
      <c r="CB973" s="75"/>
      <c r="CC973" s="75"/>
      <c r="CD973" s="75"/>
      <c r="CE973" s="73"/>
      <c r="CF973" s="75"/>
      <c r="CG973" s="75"/>
      <c r="CH973" s="75"/>
      <c r="CI973" s="73"/>
      <c r="CJ973" s="75"/>
      <c r="CK973" s="75"/>
      <c r="CL973" s="75"/>
      <c r="CM973" s="73"/>
      <c r="CN973" s="75"/>
      <c r="CO973" s="75"/>
      <c r="CP973" s="75"/>
      <c r="CQ973" s="73"/>
      <c r="CR973" s="75"/>
      <c r="CS973" s="75"/>
      <c r="CT973" s="75"/>
      <c r="CU973" s="73"/>
      <c r="CV973" s="75"/>
      <c r="CW973" s="75"/>
      <c r="CX973" s="75"/>
      <c r="CY973" s="73"/>
      <c r="CZ973" s="75"/>
      <c r="DA973" s="75"/>
      <c r="DB973" s="75"/>
      <c r="DC973" s="73"/>
      <c r="DD973" s="75"/>
      <c r="DE973" s="75"/>
      <c r="DF973" s="75"/>
      <c r="DG973" s="73"/>
      <c r="DH973" s="75"/>
      <c r="DI973" s="75"/>
      <c r="DJ973" s="75"/>
      <c r="DK973" s="76"/>
    </row>
    <row r="974" spans="63:115" x14ac:dyDescent="0.25">
      <c r="BK974" s="75"/>
      <c r="BL974" s="75"/>
      <c r="BM974" s="75"/>
      <c r="BN974" s="73"/>
      <c r="BO974" s="75"/>
      <c r="BP974" s="75"/>
      <c r="BQ974" s="75"/>
      <c r="BR974" s="75"/>
      <c r="BS974" s="75"/>
      <c r="BT974" s="75"/>
      <c r="BU974" s="75"/>
      <c r="BV974" s="75"/>
      <c r="BW974" s="75"/>
      <c r="BX974" s="75"/>
      <c r="BY974" s="75"/>
      <c r="BZ974" s="75"/>
      <c r="CA974" s="73"/>
      <c r="CB974" s="75"/>
      <c r="CC974" s="75"/>
      <c r="CD974" s="75"/>
      <c r="CE974" s="73"/>
      <c r="CF974" s="75"/>
      <c r="CG974" s="75"/>
      <c r="CH974" s="75"/>
      <c r="CI974" s="73"/>
      <c r="CJ974" s="75"/>
      <c r="CK974" s="75"/>
      <c r="CL974" s="75"/>
      <c r="CM974" s="73"/>
      <c r="CN974" s="75"/>
      <c r="CO974" s="75"/>
      <c r="CP974" s="75"/>
      <c r="CQ974" s="73"/>
      <c r="CR974" s="75"/>
      <c r="CS974" s="75"/>
      <c r="CT974" s="75"/>
      <c r="CU974" s="73"/>
      <c r="CV974" s="75"/>
      <c r="CW974" s="75"/>
      <c r="CX974" s="75"/>
      <c r="CY974" s="73"/>
      <c r="CZ974" s="75"/>
      <c r="DA974" s="75"/>
      <c r="DB974" s="75"/>
      <c r="DC974" s="73"/>
      <c r="DD974" s="75"/>
      <c r="DE974" s="75"/>
      <c r="DF974" s="75"/>
      <c r="DG974" s="73"/>
      <c r="DH974" s="75"/>
      <c r="DI974" s="75"/>
      <c r="DJ974" s="75"/>
      <c r="DK974" s="76"/>
    </row>
    <row r="975" spans="63:115" x14ac:dyDescent="0.25">
      <c r="BK975" s="75"/>
      <c r="BL975" s="75"/>
      <c r="BM975" s="75"/>
      <c r="BN975" s="73"/>
      <c r="BO975" s="75"/>
      <c r="BP975" s="75"/>
      <c r="BQ975" s="75"/>
      <c r="BR975" s="75"/>
      <c r="BS975" s="75"/>
      <c r="BT975" s="75"/>
      <c r="BU975" s="75"/>
      <c r="BV975" s="75"/>
      <c r="BW975" s="75"/>
      <c r="BX975" s="75"/>
      <c r="BY975" s="75"/>
      <c r="BZ975" s="75"/>
      <c r="CA975" s="73"/>
      <c r="CB975" s="75"/>
      <c r="CC975" s="75"/>
      <c r="CD975" s="75"/>
      <c r="CE975" s="73"/>
      <c r="CF975" s="75"/>
      <c r="CG975" s="75"/>
      <c r="CH975" s="75"/>
      <c r="CI975" s="73"/>
      <c r="CJ975" s="75"/>
      <c r="CK975" s="75"/>
      <c r="CL975" s="75"/>
      <c r="CM975" s="73"/>
      <c r="CN975" s="75"/>
      <c r="CO975" s="75"/>
      <c r="CP975" s="75"/>
      <c r="CQ975" s="73"/>
      <c r="CR975" s="75"/>
      <c r="CS975" s="75"/>
      <c r="CT975" s="75"/>
      <c r="CU975" s="73"/>
      <c r="CV975" s="75"/>
      <c r="CW975" s="75"/>
      <c r="CX975" s="75"/>
      <c r="CY975" s="73"/>
      <c r="CZ975" s="75"/>
      <c r="DA975" s="75"/>
      <c r="DB975" s="75"/>
      <c r="DC975" s="73"/>
      <c r="DD975" s="75"/>
      <c r="DE975" s="75"/>
      <c r="DF975" s="75"/>
      <c r="DG975" s="73"/>
      <c r="DH975" s="75"/>
      <c r="DI975" s="75"/>
      <c r="DJ975" s="75"/>
      <c r="DK975" s="76"/>
    </row>
    <row r="976" spans="63:115" x14ac:dyDescent="0.25">
      <c r="BK976" s="75"/>
      <c r="BL976" s="75"/>
      <c r="BM976" s="75"/>
      <c r="BN976" s="73"/>
      <c r="BO976" s="75"/>
      <c r="BP976" s="75"/>
      <c r="BQ976" s="75"/>
      <c r="BR976" s="75"/>
      <c r="BS976" s="75"/>
      <c r="BT976" s="75"/>
      <c r="BU976" s="75"/>
      <c r="BV976" s="75"/>
      <c r="BW976" s="75"/>
      <c r="BX976" s="75"/>
      <c r="BY976" s="75"/>
      <c r="BZ976" s="75"/>
      <c r="CA976" s="73"/>
      <c r="CB976" s="75"/>
      <c r="CC976" s="75"/>
      <c r="CD976" s="75"/>
      <c r="CE976" s="73"/>
      <c r="CF976" s="75"/>
      <c r="CG976" s="75"/>
      <c r="CH976" s="75"/>
      <c r="CI976" s="73"/>
      <c r="CJ976" s="75"/>
      <c r="CK976" s="75"/>
      <c r="CL976" s="75"/>
      <c r="CM976" s="73"/>
      <c r="CN976" s="75"/>
      <c r="CO976" s="75"/>
      <c r="CP976" s="75"/>
      <c r="CQ976" s="73"/>
      <c r="CR976" s="75"/>
      <c r="CS976" s="75"/>
      <c r="CT976" s="75"/>
      <c r="CU976" s="73"/>
      <c r="CV976" s="75"/>
      <c r="CW976" s="75"/>
      <c r="CX976" s="75"/>
      <c r="CY976" s="73"/>
      <c r="CZ976" s="75"/>
      <c r="DA976" s="75"/>
      <c r="DB976" s="75"/>
      <c r="DC976" s="73"/>
      <c r="DD976" s="75"/>
      <c r="DE976" s="75"/>
      <c r="DF976" s="75"/>
      <c r="DG976" s="73"/>
      <c r="DH976" s="75"/>
      <c r="DI976" s="75"/>
      <c r="DJ976" s="75"/>
      <c r="DK976" s="76"/>
    </row>
    <row r="977" spans="63:115" x14ac:dyDescent="0.25">
      <c r="BK977" s="75"/>
      <c r="BL977" s="75"/>
      <c r="BM977" s="75"/>
      <c r="BN977" s="73"/>
      <c r="BO977" s="75"/>
      <c r="BP977" s="75"/>
      <c r="BQ977" s="75"/>
      <c r="BR977" s="75"/>
      <c r="BS977" s="75"/>
      <c r="BT977" s="75"/>
      <c r="BU977" s="75"/>
      <c r="BV977" s="75"/>
      <c r="BW977" s="75"/>
      <c r="BX977" s="75"/>
      <c r="BY977" s="75"/>
      <c r="BZ977" s="75"/>
      <c r="CA977" s="73"/>
      <c r="CB977" s="75"/>
      <c r="CC977" s="75"/>
      <c r="CD977" s="75"/>
      <c r="CE977" s="73"/>
      <c r="CF977" s="75"/>
      <c r="CG977" s="75"/>
      <c r="CH977" s="75"/>
      <c r="CI977" s="73"/>
      <c r="CJ977" s="75"/>
      <c r="CK977" s="75"/>
      <c r="CL977" s="75"/>
      <c r="CM977" s="73"/>
      <c r="CN977" s="75"/>
      <c r="CO977" s="75"/>
      <c r="CP977" s="75"/>
      <c r="CQ977" s="73"/>
      <c r="CR977" s="75"/>
      <c r="CS977" s="75"/>
      <c r="CT977" s="75"/>
      <c r="CU977" s="73"/>
      <c r="CV977" s="75"/>
      <c r="CW977" s="75"/>
      <c r="CX977" s="75"/>
      <c r="CY977" s="73"/>
      <c r="CZ977" s="75"/>
      <c r="DA977" s="75"/>
      <c r="DB977" s="75"/>
      <c r="DC977" s="73"/>
      <c r="DD977" s="75"/>
      <c r="DE977" s="75"/>
      <c r="DF977" s="75"/>
      <c r="DG977" s="73"/>
      <c r="DH977" s="75"/>
      <c r="DI977" s="75"/>
      <c r="DJ977" s="75"/>
      <c r="DK977" s="76"/>
    </row>
    <row r="978" spans="63:115" x14ac:dyDescent="0.25">
      <c r="BK978" s="75"/>
      <c r="BL978" s="75"/>
      <c r="BM978" s="75"/>
      <c r="BN978" s="73"/>
      <c r="BO978" s="75"/>
      <c r="BP978" s="75"/>
      <c r="BQ978" s="75"/>
      <c r="BR978" s="75"/>
      <c r="BS978" s="75"/>
      <c r="BT978" s="75"/>
      <c r="BU978" s="75"/>
      <c r="BV978" s="75"/>
      <c r="BW978" s="75"/>
      <c r="BX978" s="75"/>
      <c r="BY978" s="75"/>
      <c r="BZ978" s="75"/>
      <c r="CA978" s="73"/>
      <c r="CB978" s="75"/>
      <c r="CC978" s="75"/>
      <c r="CD978" s="75"/>
      <c r="CE978" s="73"/>
      <c r="CF978" s="75"/>
      <c r="CG978" s="75"/>
      <c r="CH978" s="75"/>
      <c r="CI978" s="73"/>
      <c r="CJ978" s="75"/>
      <c r="CK978" s="75"/>
      <c r="CL978" s="75"/>
      <c r="CM978" s="73"/>
      <c r="CN978" s="75"/>
      <c r="CO978" s="75"/>
      <c r="CP978" s="75"/>
      <c r="CQ978" s="73"/>
      <c r="CR978" s="75"/>
      <c r="CS978" s="75"/>
      <c r="CT978" s="75"/>
      <c r="CU978" s="73"/>
      <c r="CV978" s="75"/>
      <c r="CW978" s="75"/>
      <c r="CX978" s="75"/>
      <c r="CY978" s="73"/>
      <c r="CZ978" s="75"/>
      <c r="DA978" s="75"/>
      <c r="DB978" s="75"/>
      <c r="DC978" s="73"/>
      <c r="DD978" s="75"/>
      <c r="DE978" s="75"/>
      <c r="DF978" s="75"/>
      <c r="DG978" s="73"/>
      <c r="DH978" s="75"/>
      <c r="DI978" s="75"/>
      <c r="DJ978" s="75"/>
      <c r="DK978" s="76"/>
    </row>
    <row r="979" spans="63:115" x14ac:dyDescent="0.25">
      <c r="BK979" s="75"/>
      <c r="BL979" s="75"/>
      <c r="BM979" s="75"/>
      <c r="BN979" s="73"/>
      <c r="BO979" s="75"/>
      <c r="BP979" s="75"/>
      <c r="BQ979" s="75"/>
      <c r="BR979" s="75"/>
      <c r="BS979" s="75"/>
      <c r="BT979" s="75"/>
      <c r="BU979" s="75"/>
      <c r="BV979" s="75"/>
      <c r="BW979" s="75"/>
      <c r="BX979" s="75"/>
      <c r="BY979" s="75"/>
      <c r="BZ979" s="75"/>
      <c r="CA979" s="73"/>
      <c r="CB979" s="75"/>
      <c r="CC979" s="75"/>
      <c r="CD979" s="75"/>
      <c r="CE979" s="73"/>
      <c r="CF979" s="75"/>
      <c r="CG979" s="75"/>
      <c r="CH979" s="75"/>
      <c r="CI979" s="73"/>
      <c r="CJ979" s="75"/>
      <c r="CK979" s="75"/>
      <c r="CL979" s="75"/>
      <c r="CM979" s="73"/>
      <c r="CN979" s="75"/>
      <c r="CO979" s="75"/>
      <c r="CP979" s="75"/>
      <c r="CQ979" s="73"/>
      <c r="CR979" s="75"/>
      <c r="CS979" s="75"/>
      <c r="CT979" s="75"/>
      <c r="CU979" s="73"/>
      <c r="CV979" s="75"/>
      <c r="CW979" s="75"/>
      <c r="CX979" s="75"/>
      <c r="CY979" s="73"/>
      <c r="CZ979" s="75"/>
      <c r="DA979" s="75"/>
      <c r="DB979" s="75"/>
      <c r="DC979" s="73"/>
      <c r="DD979" s="75"/>
      <c r="DE979" s="75"/>
      <c r="DF979" s="75"/>
      <c r="DG979" s="73"/>
      <c r="DH979" s="75"/>
      <c r="DI979" s="75"/>
      <c r="DJ979" s="75"/>
      <c r="DK979" s="76"/>
    </row>
    <row r="980" spans="63:115" x14ac:dyDescent="0.25">
      <c r="BK980" s="75"/>
      <c r="BL980" s="75"/>
      <c r="BM980" s="75"/>
      <c r="BN980" s="73"/>
      <c r="BO980" s="75"/>
      <c r="BP980" s="75"/>
      <c r="BQ980" s="75"/>
      <c r="BR980" s="75"/>
      <c r="BS980" s="75"/>
      <c r="BT980" s="75"/>
      <c r="BU980" s="75"/>
      <c r="BV980" s="75"/>
      <c r="BW980" s="75"/>
      <c r="BX980" s="75"/>
      <c r="BY980" s="75"/>
      <c r="BZ980" s="75"/>
      <c r="CA980" s="73"/>
      <c r="CB980" s="75"/>
      <c r="CC980" s="75"/>
      <c r="CD980" s="75"/>
      <c r="CE980" s="73"/>
      <c r="CF980" s="75"/>
      <c r="CG980" s="75"/>
      <c r="CH980" s="75"/>
      <c r="CI980" s="73"/>
      <c r="CJ980" s="75"/>
      <c r="CK980" s="75"/>
      <c r="CL980" s="75"/>
      <c r="CM980" s="73"/>
      <c r="CN980" s="75"/>
      <c r="CO980" s="75"/>
      <c r="CP980" s="75"/>
      <c r="CQ980" s="73"/>
      <c r="CR980" s="75"/>
      <c r="CS980" s="75"/>
      <c r="CT980" s="75"/>
      <c r="CU980" s="73"/>
      <c r="CV980" s="75"/>
      <c r="CW980" s="75"/>
      <c r="CX980" s="75"/>
      <c r="CY980" s="73"/>
      <c r="CZ980" s="75"/>
      <c r="DA980" s="75"/>
      <c r="DB980" s="75"/>
      <c r="DC980" s="73"/>
      <c r="DD980" s="75"/>
      <c r="DE980" s="75"/>
      <c r="DF980" s="75"/>
      <c r="DG980" s="73"/>
      <c r="DH980" s="75"/>
      <c r="DI980" s="75"/>
      <c r="DJ980" s="75"/>
      <c r="DK980" s="76"/>
    </row>
    <row r="981" spans="63:115" x14ac:dyDescent="0.25">
      <c r="BK981" s="75"/>
      <c r="BL981" s="75"/>
      <c r="BM981" s="75"/>
      <c r="BN981" s="73"/>
      <c r="BO981" s="75"/>
      <c r="BP981" s="75"/>
      <c r="BQ981" s="75"/>
      <c r="BR981" s="75"/>
      <c r="BS981" s="75"/>
      <c r="BT981" s="75"/>
      <c r="BU981" s="75"/>
      <c r="BV981" s="75"/>
      <c r="BW981" s="75"/>
      <c r="BX981" s="75"/>
      <c r="BY981" s="75"/>
      <c r="BZ981" s="75"/>
      <c r="CA981" s="73"/>
      <c r="CB981" s="75"/>
      <c r="CC981" s="75"/>
      <c r="CD981" s="75"/>
      <c r="CE981" s="73"/>
      <c r="CF981" s="75"/>
      <c r="CG981" s="75"/>
      <c r="CH981" s="75"/>
      <c r="CI981" s="73"/>
      <c r="CJ981" s="75"/>
      <c r="CK981" s="75"/>
      <c r="CL981" s="75"/>
      <c r="CM981" s="73"/>
      <c r="CN981" s="75"/>
      <c r="CO981" s="75"/>
      <c r="CP981" s="75"/>
      <c r="CQ981" s="73"/>
      <c r="CR981" s="75"/>
      <c r="CS981" s="75"/>
      <c r="CT981" s="75"/>
      <c r="CU981" s="73"/>
      <c r="CV981" s="75"/>
      <c r="CW981" s="75"/>
      <c r="CX981" s="75"/>
      <c r="CY981" s="73"/>
      <c r="CZ981" s="75"/>
      <c r="DA981" s="75"/>
      <c r="DB981" s="75"/>
      <c r="DC981" s="73"/>
      <c r="DD981" s="75"/>
      <c r="DE981" s="75"/>
      <c r="DF981" s="75"/>
      <c r="DG981" s="73"/>
      <c r="DH981" s="75"/>
      <c r="DI981" s="75"/>
      <c r="DJ981" s="75"/>
      <c r="DK981" s="76"/>
    </row>
    <row r="982" spans="63:115" x14ac:dyDescent="0.25">
      <c r="BK982" s="75"/>
      <c r="BL982" s="75"/>
      <c r="BM982" s="75"/>
      <c r="BN982" s="73"/>
      <c r="BO982" s="75"/>
      <c r="BP982" s="75"/>
      <c r="BQ982" s="75"/>
      <c r="BR982" s="75"/>
      <c r="BS982" s="75"/>
      <c r="BT982" s="75"/>
      <c r="BU982" s="75"/>
      <c r="BV982" s="75"/>
      <c r="BW982" s="75"/>
      <c r="BX982" s="75"/>
      <c r="BY982" s="75"/>
      <c r="BZ982" s="75"/>
      <c r="CA982" s="73"/>
      <c r="CB982" s="75"/>
      <c r="CC982" s="75"/>
      <c r="CD982" s="75"/>
      <c r="CE982" s="73"/>
      <c r="CF982" s="75"/>
      <c r="CG982" s="75"/>
      <c r="CH982" s="75"/>
      <c r="CI982" s="73"/>
      <c r="CJ982" s="75"/>
      <c r="CK982" s="75"/>
      <c r="CL982" s="75"/>
      <c r="CM982" s="73"/>
      <c r="CN982" s="75"/>
      <c r="CO982" s="75"/>
      <c r="CP982" s="75"/>
      <c r="CQ982" s="73"/>
      <c r="CR982" s="75"/>
      <c r="CS982" s="75"/>
      <c r="CT982" s="75"/>
      <c r="CU982" s="73"/>
      <c r="CV982" s="75"/>
      <c r="CW982" s="75"/>
      <c r="CX982" s="75"/>
      <c r="CY982" s="73"/>
      <c r="CZ982" s="75"/>
      <c r="DA982" s="75"/>
      <c r="DB982" s="75"/>
      <c r="DC982" s="73"/>
      <c r="DD982" s="75"/>
      <c r="DE982" s="75"/>
      <c r="DF982" s="75"/>
      <c r="DG982" s="73"/>
      <c r="DH982" s="75"/>
      <c r="DI982" s="75"/>
      <c r="DJ982" s="75"/>
      <c r="DK982" s="76"/>
    </row>
    <row r="983" spans="63:115" x14ac:dyDescent="0.25">
      <c r="BK983" s="75"/>
      <c r="BL983" s="75"/>
      <c r="BM983" s="75"/>
      <c r="BN983" s="73"/>
      <c r="BO983" s="75"/>
      <c r="BP983" s="75"/>
      <c r="BQ983" s="75"/>
      <c r="BR983" s="75"/>
      <c r="BS983" s="75"/>
      <c r="BT983" s="75"/>
      <c r="BU983" s="75"/>
      <c r="BV983" s="75"/>
      <c r="BW983" s="75"/>
      <c r="BX983" s="75"/>
      <c r="BY983" s="75"/>
      <c r="BZ983" s="75"/>
      <c r="CA983" s="73"/>
      <c r="CB983" s="75"/>
      <c r="CC983" s="75"/>
      <c r="CD983" s="75"/>
      <c r="CE983" s="73"/>
      <c r="CF983" s="75"/>
      <c r="CG983" s="75"/>
      <c r="CH983" s="75"/>
      <c r="CI983" s="73"/>
      <c r="CJ983" s="75"/>
      <c r="CK983" s="75"/>
      <c r="CL983" s="75"/>
      <c r="CM983" s="73"/>
      <c r="CN983" s="75"/>
      <c r="CO983" s="75"/>
      <c r="CP983" s="75"/>
      <c r="CQ983" s="73"/>
      <c r="CR983" s="75"/>
      <c r="CS983" s="75"/>
      <c r="CT983" s="75"/>
      <c r="CU983" s="73"/>
      <c r="CV983" s="75"/>
      <c r="CW983" s="75"/>
      <c r="CX983" s="75"/>
      <c r="CY983" s="73"/>
      <c r="CZ983" s="75"/>
      <c r="DA983" s="75"/>
      <c r="DB983" s="75"/>
      <c r="DC983" s="73"/>
      <c r="DD983" s="75"/>
      <c r="DE983" s="75"/>
      <c r="DF983" s="75"/>
      <c r="DG983" s="73"/>
      <c r="DH983" s="75"/>
      <c r="DI983" s="75"/>
      <c r="DJ983" s="75"/>
      <c r="DK983" s="76"/>
    </row>
    <row r="984" spans="63:115" x14ac:dyDescent="0.25">
      <c r="BK984" s="75"/>
      <c r="BL984" s="75"/>
      <c r="BM984" s="75"/>
      <c r="BN984" s="73"/>
      <c r="BO984" s="75"/>
      <c r="BP984" s="75"/>
      <c r="BQ984" s="75"/>
      <c r="BR984" s="75"/>
      <c r="BS984" s="75"/>
      <c r="BT984" s="75"/>
      <c r="BU984" s="75"/>
      <c r="BV984" s="75"/>
      <c r="BW984" s="75"/>
      <c r="BX984" s="75"/>
      <c r="BY984" s="75"/>
      <c r="BZ984" s="75"/>
      <c r="CA984" s="73"/>
      <c r="CB984" s="75"/>
      <c r="CC984" s="75"/>
      <c r="CD984" s="75"/>
      <c r="CE984" s="73"/>
      <c r="CF984" s="75"/>
      <c r="CG984" s="75"/>
      <c r="CH984" s="75"/>
      <c r="CI984" s="73"/>
      <c r="CJ984" s="75"/>
      <c r="CK984" s="75"/>
      <c r="CL984" s="75"/>
      <c r="CM984" s="73"/>
      <c r="CN984" s="75"/>
      <c r="CO984" s="75"/>
      <c r="CP984" s="75"/>
      <c r="CQ984" s="73"/>
      <c r="CR984" s="75"/>
      <c r="CS984" s="75"/>
      <c r="CT984" s="75"/>
      <c r="CU984" s="73"/>
      <c r="CV984" s="75"/>
      <c r="CW984" s="75"/>
      <c r="CX984" s="75"/>
      <c r="CY984" s="73"/>
      <c r="CZ984" s="75"/>
      <c r="DA984" s="75"/>
      <c r="DB984" s="75"/>
      <c r="DC984" s="73"/>
      <c r="DD984" s="75"/>
      <c r="DE984" s="75"/>
      <c r="DF984" s="75"/>
      <c r="DG984" s="73"/>
      <c r="DH984" s="75"/>
      <c r="DI984" s="75"/>
      <c r="DJ984" s="75"/>
      <c r="DK984" s="76"/>
    </row>
    <row r="985" spans="63:115" x14ac:dyDescent="0.25">
      <c r="BK985" s="75"/>
      <c r="BL985" s="75"/>
      <c r="BM985" s="75"/>
      <c r="BN985" s="73"/>
      <c r="BO985" s="75"/>
      <c r="BP985" s="75"/>
      <c r="BQ985" s="75"/>
      <c r="BR985" s="75"/>
      <c r="BS985" s="75"/>
      <c r="BT985" s="75"/>
      <c r="BU985" s="75"/>
      <c r="BV985" s="75"/>
      <c r="BW985" s="75"/>
      <c r="BX985" s="75"/>
      <c r="BY985" s="75"/>
      <c r="BZ985" s="75"/>
      <c r="CA985" s="73"/>
      <c r="CB985" s="75"/>
      <c r="CC985" s="75"/>
      <c r="CD985" s="75"/>
      <c r="CE985" s="73"/>
      <c r="CF985" s="75"/>
      <c r="CG985" s="75"/>
      <c r="CH985" s="75"/>
      <c r="CI985" s="73"/>
      <c r="CJ985" s="75"/>
      <c r="CK985" s="75"/>
      <c r="CL985" s="75"/>
      <c r="CM985" s="73"/>
      <c r="CN985" s="75"/>
      <c r="CO985" s="75"/>
      <c r="CP985" s="75"/>
      <c r="CQ985" s="73"/>
      <c r="CR985" s="75"/>
      <c r="CS985" s="75"/>
      <c r="CT985" s="75"/>
      <c r="CU985" s="73"/>
      <c r="CV985" s="75"/>
      <c r="CW985" s="75"/>
      <c r="CX985" s="75"/>
      <c r="CY985" s="73"/>
      <c r="CZ985" s="75"/>
      <c r="DA985" s="75"/>
      <c r="DB985" s="75"/>
      <c r="DC985" s="73"/>
      <c r="DD985" s="75"/>
      <c r="DE985" s="75"/>
      <c r="DF985" s="75"/>
      <c r="DG985" s="73"/>
      <c r="DH985" s="75"/>
      <c r="DI985" s="75"/>
      <c r="DJ985" s="75"/>
      <c r="DK985" s="76"/>
    </row>
    <row r="986" spans="63:115" x14ac:dyDescent="0.25">
      <c r="BK986" s="75"/>
      <c r="BL986" s="75"/>
      <c r="BM986" s="75"/>
      <c r="BN986" s="73"/>
      <c r="BO986" s="75"/>
      <c r="BP986" s="75"/>
      <c r="BQ986" s="75"/>
      <c r="BR986" s="75"/>
      <c r="BS986" s="75"/>
      <c r="BT986" s="75"/>
      <c r="BU986" s="75"/>
      <c r="BV986" s="75"/>
      <c r="BW986" s="75"/>
      <c r="BX986" s="75"/>
      <c r="BY986" s="75"/>
      <c r="BZ986" s="75"/>
      <c r="CA986" s="73"/>
      <c r="CB986" s="75"/>
      <c r="CC986" s="75"/>
      <c r="CD986" s="75"/>
      <c r="CE986" s="73"/>
      <c r="CF986" s="75"/>
      <c r="CG986" s="75"/>
      <c r="CH986" s="75"/>
      <c r="CI986" s="73"/>
      <c r="CJ986" s="75"/>
      <c r="CK986" s="75"/>
      <c r="CL986" s="75"/>
      <c r="CM986" s="73"/>
      <c r="CN986" s="75"/>
      <c r="CO986" s="75"/>
      <c r="CP986" s="75"/>
      <c r="CQ986" s="73"/>
      <c r="CR986" s="75"/>
      <c r="CS986" s="75"/>
      <c r="CT986" s="75"/>
      <c r="CU986" s="73"/>
      <c r="CV986" s="75"/>
      <c r="CW986" s="75"/>
      <c r="CX986" s="75"/>
      <c r="CY986" s="73"/>
      <c r="CZ986" s="75"/>
      <c r="DA986" s="75"/>
      <c r="DB986" s="75"/>
      <c r="DC986" s="73"/>
      <c r="DD986" s="75"/>
      <c r="DE986" s="75"/>
      <c r="DF986" s="75"/>
      <c r="DG986" s="73"/>
      <c r="DH986" s="75"/>
      <c r="DI986" s="75"/>
      <c r="DJ986" s="75"/>
      <c r="DK986" s="76"/>
    </row>
    <row r="987" spans="63:115" x14ac:dyDescent="0.25">
      <c r="BK987" s="75"/>
      <c r="BL987" s="75"/>
      <c r="BM987" s="75"/>
      <c r="BN987" s="73"/>
      <c r="BO987" s="75"/>
      <c r="BP987" s="75"/>
      <c r="BQ987" s="75"/>
      <c r="BR987" s="75"/>
      <c r="BS987" s="75"/>
      <c r="BT987" s="75"/>
      <c r="BU987" s="75"/>
      <c r="BV987" s="75"/>
      <c r="BW987" s="75"/>
      <c r="BX987" s="75"/>
      <c r="BY987" s="75"/>
      <c r="BZ987" s="75"/>
      <c r="CA987" s="73"/>
      <c r="CB987" s="75"/>
      <c r="CC987" s="75"/>
      <c r="CD987" s="75"/>
      <c r="CE987" s="73"/>
      <c r="CF987" s="75"/>
      <c r="CG987" s="75"/>
      <c r="CH987" s="75"/>
      <c r="CI987" s="73"/>
      <c r="CJ987" s="75"/>
      <c r="CK987" s="75"/>
      <c r="CL987" s="75"/>
      <c r="CM987" s="73"/>
      <c r="CN987" s="75"/>
      <c r="CO987" s="75"/>
      <c r="CP987" s="75"/>
      <c r="CQ987" s="73"/>
      <c r="CR987" s="75"/>
      <c r="CS987" s="75"/>
      <c r="CT987" s="75"/>
      <c r="CU987" s="73"/>
      <c r="CV987" s="75"/>
      <c r="CW987" s="75"/>
      <c r="CX987" s="75"/>
      <c r="CY987" s="73"/>
      <c r="CZ987" s="75"/>
      <c r="DA987" s="75"/>
      <c r="DB987" s="75"/>
      <c r="DC987" s="73"/>
      <c r="DD987" s="75"/>
      <c r="DE987" s="75"/>
      <c r="DF987" s="75"/>
      <c r="DG987" s="73"/>
      <c r="DH987" s="75"/>
      <c r="DI987" s="75"/>
      <c r="DJ987" s="75"/>
      <c r="DK987" s="76"/>
    </row>
    <row r="988" spans="63:115" x14ac:dyDescent="0.25">
      <c r="BK988" s="75"/>
      <c r="BL988" s="75"/>
      <c r="BM988" s="75"/>
      <c r="BN988" s="73"/>
      <c r="BO988" s="75"/>
      <c r="BP988" s="75"/>
      <c r="BQ988" s="75"/>
      <c r="BR988" s="75"/>
      <c r="BS988" s="75"/>
      <c r="BT988" s="75"/>
      <c r="BU988" s="75"/>
      <c r="BV988" s="75"/>
      <c r="BW988" s="75"/>
      <c r="BX988" s="75"/>
      <c r="BY988" s="75"/>
      <c r="BZ988" s="75"/>
      <c r="CA988" s="73"/>
      <c r="CB988" s="75"/>
      <c r="CC988" s="75"/>
      <c r="CD988" s="75"/>
      <c r="CE988" s="73"/>
      <c r="CF988" s="75"/>
      <c r="CG988" s="75"/>
      <c r="CH988" s="75"/>
      <c r="CI988" s="73"/>
      <c r="CJ988" s="75"/>
      <c r="CK988" s="75"/>
      <c r="CL988" s="75"/>
      <c r="CM988" s="73"/>
      <c r="CN988" s="75"/>
      <c r="CO988" s="75"/>
      <c r="CP988" s="75"/>
      <c r="CQ988" s="73"/>
      <c r="CR988" s="75"/>
      <c r="CS988" s="75"/>
      <c r="CT988" s="75"/>
      <c r="CU988" s="73"/>
      <c r="CV988" s="75"/>
      <c r="CW988" s="75"/>
      <c r="CX988" s="75"/>
      <c r="CY988" s="73"/>
      <c r="CZ988" s="75"/>
      <c r="DA988" s="75"/>
      <c r="DB988" s="75"/>
      <c r="DC988" s="73"/>
      <c r="DD988" s="75"/>
      <c r="DE988" s="75"/>
      <c r="DF988" s="75"/>
      <c r="DG988" s="73"/>
      <c r="DH988" s="75"/>
      <c r="DI988" s="75"/>
      <c r="DJ988" s="75"/>
      <c r="DK988" s="76"/>
    </row>
    <row r="989" spans="63:115" x14ac:dyDescent="0.25">
      <c r="BK989" s="75"/>
      <c r="BL989" s="75"/>
      <c r="BM989" s="75"/>
      <c r="BN989" s="73"/>
      <c r="BO989" s="75"/>
      <c r="BP989" s="75"/>
      <c r="BQ989" s="75"/>
      <c r="BR989" s="75"/>
      <c r="BS989" s="75"/>
      <c r="BT989" s="75"/>
      <c r="BU989" s="75"/>
      <c r="BV989" s="75"/>
      <c r="BW989" s="75"/>
      <c r="BX989" s="75"/>
      <c r="BY989" s="75"/>
      <c r="BZ989" s="75"/>
      <c r="CA989" s="73"/>
      <c r="CB989" s="75"/>
      <c r="CC989" s="75"/>
      <c r="CD989" s="75"/>
      <c r="CE989" s="73"/>
      <c r="CF989" s="75"/>
      <c r="CG989" s="75"/>
      <c r="CH989" s="75"/>
      <c r="CI989" s="73"/>
      <c r="CJ989" s="75"/>
      <c r="CK989" s="75"/>
      <c r="CL989" s="75"/>
      <c r="CM989" s="73"/>
      <c r="CN989" s="75"/>
      <c r="CO989" s="75"/>
      <c r="CP989" s="75"/>
      <c r="CQ989" s="73"/>
      <c r="CR989" s="75"/>
      <c r="CS989" s="75"/>
      <c r="CT989" s="75"/>
      <c r="CU989" s="73"/>
      <c r="CV989" s="75"/>
      <c r="CW989" s="75"/>
      <c r="CX989" s="75"/>
      <c r="CY989" s="73"/>
      <c r="CZ989" s="75"/>
      <c r="DA989" s="75"/>
      <c r="DB989" s="75"/>
      <c r="DC989" s="73"/>
      <c r="DD989" s="75"/>
      <c r="DE989" s="75"/>
      <c r="DF989" s="75"/>
      <c r="DG989" s="73"/>
      <c r="DH989" s="75"/>
      <c r="DI989" s="75"/>
      <c r="DJ989" s="75"/>
      <c r="DK989" s="76"/>
    </row>
    <row r="990" spans="63:115" x14ac:dyDescent="0.25">
      <c r="BK990" s="75"/>
      <c r="BL990" s="75"/>
      <c r="BM990" s="75"/>
      <c r="BN990" s="73"/>
      <c r="BO990" s="75"/>
      <c r="BP990" s="75"/>
      <c r="BQ990" s="75"/>
      <c r="BR990" s="75"/>
      <c r="BS990" s="75"/>
      <c r="BT990" s="75"/>
      <c r="BU990" s="75"/>
      <c r="BV990" s="75"/>
      <c r="BW990" s="75"/>
      <c r="BX990" s="75"/>
      <c r="BY990" s="75"/>
      <c r="BZ990" s="75"/>
      <c r="CA990" s="73"/>
      <c r="CB990" s="75"/>
      <c r="CC990" s="75"/>
      <c r="CD990" s="75"/>
      <c r="CE990" s="73"/>
      <c r="CF990" s="75"/>
      <c r="CG990" s="75"/>
      <c r="CH990" s="75"/>
      <c r="CI990" s="73"/>
      <c r="CJ990" s="75"/>
      <c r="CK990" s="75"/>
      <c r="CL990" s="75"/>
      <c r="CM990" s="73"/>
      <c r="CN990" s="75"/>
      <c r="CO990" s="75"/>
      <c r="CP990" s="75"/>
      <c r="CQ990" s="73"/>
      <c r="CR990" s="75"/>
      <c r="CS990" s="75"/>
      <c r="CT990" s="75"/>
      <c r="CU990" s="73"/>
      <c r="CV990" s="75"/>
      <c r="CW990" s="75"/>
      <c r="CX990" s="75"/>
      <c r="CY990" s="73"/>
      <c r="CZ990" s="75"/>
      <c r="DA990" s="75"/>
      <c r="DB990" s="75"/>
      <c r="DC990" s="73"/>
      <c r="DD990" s="75"/>
      <c r="DE990" s="75"/>
      <c r="DF990" s="75"/>
      <c r="DG990" s="73"/>
      <c r="DH990" s="75"/>
      <c r="DI990" s="75"/>
      <c r="DJ990" s="75"/>
      <c r="DK990" s="76"/>
    </row>
    <row r="991" spans="63:115" x14ac:dyDescent="0.25">
      <c r="BK991" s="75"/>
      <c r="BL991" s="75"/>
      <c r="BM991" s="75"/>
      <c r="BN991" s="73"/>
      <c r="BO991" s="75"/>
      <c r="BP991" s="75"/>
      <c r="BQ991" s="75"/>
      <c r="BR991" s="75"/>
      <c r="BS991" s="75"/>
      <c r="BT991" s="75"/>
      <c r="BU991" s="75"/>
      <c r="BV991" s="75"/>
      <c r="BW991" s="75"/>
      <c r="BX991" s="75"/>
      <c r="BY991" s="75"/>
      <c r="BZ991" s="75"/>
      <c r="CA991" s="73"/>
      <c r="CB991" s="75"/>
      <c r="CC991" s="75"/>
      <c r="CD991" s="75"/>
      <c r="CE991" s="73"/>
      <c r="CF991" s="75"/>
      <c r="CG991" s="75"/>
      <c r="CH991" s="75"/>
      <c r="CI991" s="73"/>
      <c r="CJ991" s="75"/>
      <c r="CK991" s="75"/>
      <c r="CL991" s="75"/>
      <c r="CM991" s="73"/>
      <c r="CN991" s="75"/>
      <c r="CO991" s="75"/>
      <c r="CP991" s="75"/>
      <c r="CQ991" s="73"/>
      <c r="CR991" s="75"/>
      <c r="CS991" s="75"/>
      <c r="CT991" s="75"/>
      <c r="CU991" s="73"/>
      <c r="CV991" s="75"/>
      <c r="CW991" s="75"/>
      <c r="CX991" s="75"/>
      <c r="CY991" s="73"/>
      <c r="CZ991" s="75"/>
      <c r="DA991" s="75"/>
      <c r="DB991" s="75"/>
      <c r="DC991" s="73"/>
      <c r="DD991" s="75"/>
      <c r="DE991" s="75"/>
      <c r="DF991" s="75"/>
      <c r="DG991" s="73"/>
      <c r="DH991" s="75"/>
      <c r="DI991" s="75"/>
      <c r="DJ991" s="75"/>
      <c r="DK991" s="76"/>
    </row>
    <row r="992" spans="63:115" x14ac:dyDescent="0.25">
      <c r="BK992" s="75"/>
      <c r="BL992" s="75"/>
      <c r="BM992" s="75"/>
      <c r="BN992" s="73"/>
      <c r="BO992" s="75"/>
      <c r="BP992" s="75"/>
      <c r="BQ992" s="75"/>
      <c r="BR992" s="75"/>
      <c r="BS992" s="75"/>
      <c r="BT992" s="75"/>
      <c r="BU992" s="75"/>
      <c r="BV992" s="75"/>
      <c r="BW992" s="75"/>
      <c r="BX992" s="75"/>
      <c r="BY992" s="75"/>
      <c r="BZ992" s="75"/>
      <c r="CA992" s="73"/>
      <c r="CB992" s="75"/>
      <c r="CC992" s="75"/>
      <c r="CD992" s="75"/>
      <c r="CE992" s="73"/>
      <c r="CF992" s="75"/>
      <c r="CG992" s="75"/>
      <c r="CH992" s="75"/>
      <c r="CI992" s="73"/>
      <c r="CJ992" s="75"/>
      <c r="CK992" s="75"/>
      <c r="CL992" s="75"/>
      <c r="CM992" s="73"/>
      <c r="CN992" s="75"/>
      <c r="CO992" s="75"/>
      <c r="CP992" s="75"/>
      <c r="CQ992" s="73"/>
      <c r="CR992" s="75"/>
      <c r="CS992" s="75"/>
      <c r="CT992" s="75"/>
      <c r="CU992" s="73"/>
      <c r="CV992" s="75"/>
      <c r="CW992" s="75"/>
      <c r="CX992" s="75"/>
      <c r="CY992" s="73"/>
      <c r="CZ992" s="75"/>
      <c r="DA992" s="75"/>
      <c r="DB992" s="75"/>
      <c r="DC992" s="73"/>
      <c r="DD992" s="75"/>
      <c r="DE992" s="75"/>
      <c r="DF992" s="75"/>
      <c r="DG992" s="73"/>
      <c r="DH992" s="75"/>
      <c r="DI992" s="75"/>
      <c r="DJ992" s="75"/>
      <c r="DK992" s="76"/>
    </row>
    <row r="993" spans="63:115" x14ac:dyDescent="0.25">
      <c r="BK993" s="75"/>
      <c r="BL993" s="75"/>
      <c r="BM993" s="75"/>
      <c r="BN993" s="73"/>
      <c r="BO993" s="75"/>
      <c r="BP993" s="75"/>
      <c r="BQ993" s="75"/>
      <c r="BR993" s="75"/>
      <c r="BS993" s="75"/>
      <c r="BT993" s="75"/>
      <c r="BU993" s="75"/>
      <c r="BV993" s="75"/>
      <c r="BW993" s="75"/>
      <c r="BX993" s="75"/>
      <c r="BY993" s="75"/>
      <c r="BZ993" s="75"/>
      <c r="CA993" s="73"/>
      <c r="CB993" s="75"/>
      <c r="CC993" s="75"/>
      <c r="CD993" s="75"/>
      <c r="CE993" s="73"/>
      <c r="CF993" s="75"/>
      <c r="CG993" s="75"/>
      <c r="CH993" s="75"/>
      <c r="CI993" s="73"/>
      <c r="CJ993" s="75"/>
      <c r="CK993" s="75"/>
      <c r="CL993" s="75"/>
      <c r="CM993" s="73"/>
      <c r="CN993" s="75"/>
      <c r="CO993" s="75"/>
      <c r="CP993" s="75"/>
      <c r="CQ993" s="73"/>
      <c r="CR993" s="75"/>
      <c r="CS993" s="75"/>
      <c r="CT993" s="75"/>
      <c r="CU993" s="73"/>
      <c r="CV993" s="75"/>
      <c r="CW993" s="75"/>
      <c r="CX993" s="75"/>
      <c r="CY993" s="73"/>
      <c r="CZ993" s="75"/>
      <c r="DA993" s="75"/>
      <c r="DB993" s="75"/>
      <c r="DC993" s="73"/>
      <c r="DD993" s="75"/>
      <c r="DE993" s="75"/>
      <c r="DF993" s="75"/>
      <c r="DG993" s="73"/>
      <c r="DH993" s="75"/>
      <c r="DI993" s="75"/>
      <c r="DJ993" s="75"/>
      <c r="DK993" s="76"/>
    </row>
    <row r="994" spans="63:115" x14ac:dyDescent="0.25">
      <c r="BK994" s="75"/>
      <c r="BL994" s="75"/>
      <c r="BM994" s="75"/>
      <c r="BN994" s="73"/>
      <c r="BO994" s="75"/>
      <c r="BP994" s="75"/>
      <c r="BQ994" s="75"/>
      <c r="BR994" s="75"/>
      <c r="BS994" s="75"/>
      <c r="BT994" s="75"/>
      <c r="BU994" s="75"/>
      <c r="BV994" s="75"/>
      <c r="BW994" s="75"/>
      <c r="BX994" s="75"/>
      <c r="BY994" s="75"/>
      <c r="BZ994" s="75"/>
      <c r="CA994" s="73"/>
      <c r="CB994" s="75"/>
      <c r="CC994" s="75"/>
      <c r="CD994" s="75"/>
      <c r="CE994" s="73"/>
      <c r="CF994" s="75"/>
      <c r="CG994" s="75"/>
      <c r="CH994" s="75"/>
      <c r="CI994" s="73"/>
      <c r="CJ994" s="75"/>
      <c r="CK994" s="75"/>
      <c r="CL994" s="75"/>
      <c r="CM994" s="73"/>
      <c r="CN994" s="75"/>
      <c r="CO994" s="75"/>
      <c r="CP994" s="75"/>
      <c r="CQ994" s="73"/>
      <c r="CR994" s="75"/>
      <c r="CS994" s="75"/>
      <c r="CT994" s="75"/>
      <c r="CU994" s="73"/>
      <c r="CV994" s="75"/>
      <c r="CW994" s="75"/>
      <c r="CX994" s="75"/>
      <c r="CY994" s="73"/>
      <c r="CZ994" s="75"/>
      <c r="DA994" s="75"/>
      <c r="DB994" s="75"/>
      <c r="DC994" s="73"/>
      <c r="DD994" s="75"/>
      <c r="DE994" s="75"/>
      <c r="DF994" s="75"/>
      <c r="DG994" s="73"/>
      <c r="DH994" s="75"/>
      <c r="DI994" s="75"/>
      <c r="DJ994" s="75"/>
      <c r="DK994" s="76"/>
    </row>
    <row r="995" spans="63:115" x14ac:dyDescent="0.25">
      <c r="BK995" s="75"/>
      <c r="BL995" s="75"/>
      <c r="BM995" s="75"/>
      <c r="BN995" s="73"/>
      <c r="BO995" s="75"/>
      <c r="BP995" s="75"/>
      <c r="BQ995" s="75"/>
      <c r="BR995" s="75"/>
      <c r="BS995" s="75"/>
      <c r="BT995" s="75"/>
      <c r="BU995" s="75"/>
      <c r="BV995" s="75"/>
      <c r="BW995" s="75"/>
      <c r="BX995" s="75"/>
      <c r="BY995" s="75"/>
      <c r="BZ995" s="75"/>
      <c r="CA995" s="73"/>
      <c r="CB995" s="75"/>
      <c r="CC995" s="75"/>
      <c r="CD995" s="75"/>
      <c r="CE995" s="73"/>
      <c r="CF995" s="75"/>
      <c r="CG995" s="75"/>
      <c r="CH995" s="75"/>
      <c r="CI995" s="73"/>
      <c r="CJ995" s="75"/>
      <c r="CK995" s="75"/>
      <c r="CL995" s="75"/>
      <c r="CM995" s="73"/>
      <c r="CN995" s="75"/>
      <c r="CO995" s="75"/>
      <c r="CP995" s="75"/>
      <c r="CQ995" s="73"/>
      <c r="CR995" s="75"/>
      <c r="CS995" s="75"/>
      <c r="CT995" s="75"/>
      <c r="CU995" s="73"/>
      <c r="CV995" s="75"/>
      <c r="CW995" s="75"/>
      <c r="CX995" s="75"/>
      <c r="CY995" s="73"/>
      <c r="CZ995" s="75"/>
      <c r="DA995" s="75"/>
      <c r="DB995" s="75"/>
      <c r="DC995" s="73"/>
      <c r="DD995" s="75"/>
      <c r="DE995" s="75"/>
      <c r="DF995" s="75"/>
      <c r="DG995" s="73"/>
      <c r="DH995" s="75"/>
      <c r="DI995" s="75"/>
      <c r="DJ995" s="75"/>
      <c r="DK995" s="76"/>
    </row>
    <row r="996" spans="63:115" x14ac:dyDescent="0.25">
      <c r="BK996" s="75"/>
      <c r="BL996" s="75"/>
      <c r="BM996" s="75"/>
      <c r="BN996" s="73"/>
      <c r="BO996" s="75"/>
      <c r="BP996" s="75"/>
      <c r="BQ996" s="75"/>
      <c r="BR996" s="75"/>
      <c r="BS996" s="75"/>
      <c r="BT996" s="75"/>
      <c r="BU996" s="75"/>
      <c r="BV996" s="75"/>
      <c r="BW996" s="75"/>
      <c r="BX996" s="75"/>
      <c r="BY996" s="75"/>
      <c r="BZ996" s="75"/>
      <c r="CA996" s="73"/>
      <c r="CB996" s="75"/>
      <c r="CC996" s="75"/>
      <c r="CD996" s="75"/>
      <c r="CE996" s="73"/>
      <c r="CF996" s="75"/>
      <c r="CG996" s="75"/>
      <c r="CH996" s="75"/>
      <c r="CI996" s="73"/>
      <c r="CJ996" s="75"/>
      <c r="CK996" s="75"/>
      <c r="CL996" s="75"/>
      <c r="CM996" s="73"/>
      <c r="CN996" s="75"/>
      <c r="CO996" s="75"/>
      <c r="CP996" s="75"/>
      <c r="CQ996" s="73"/>
      <c r="CR996" s="75"/>
      <c r="CS996" s="75"/>
      <c r="CT996" s="75"/>
      <c r="CU996" s="73"/>
      <c r="CV996" s="75"/>
      <c r="CW996" s="75"/>
      <c r="CX996" s="75"/>
      <c r="CY996" s="73"/>
      <c r="CZ996" s="75"/>
      <c r="DA996" s="75"/>
      <c r="DB996" s="75"/>
      <c r="DC996" s="73"/>
      <c r="DD996" s="75"/>
      <c r="DE996" s="75"/>
      <c r="DF996" s="75"/>
      <c r="DG996" s="73"/>
      <c r="DH996" s="75"/>
      <c r="DI996" s="75"/>
      <c r="DJ996" s="75"/>
      <c r="DK996" s="76"/>
    </row>
    <row r="997" spans="63:115" x14ac:dyDescent="0.25">
      <c r="BK997" s="75"/>
      <c r="BL997" s="75"/>
      <c r="BM997" s="75"/>
      <c r="BN997" s="73"/>
      <c r="BO997" s="75"/>
      <c r="BP997" s="75"/>
      <c r="BQ997" s="75"/>
      <c r="BR997" s="75"/>
      <c r="BS997" s="75"/>
      <c r="BT997" s="75"/>
      <c r="BU997" s="75"/>
      <c r="BV997" s="75"/>
      <c r="BW997" s="75"/>
      <c r="BX997" s="75"/>
      <c r="BY997" s="75"/>
      <c r="BZ997" s="75"/>
      <c r="CA997" s="73"/>
      <c r="CB997" s="75"/>
      <c r="CC997" s="75"/>
      <c r="CD997" s="75"/>
      <c r="CE997" s="73"/>
      <c r="CF997" s="75"/>
      <c r="CG997" s="75"/>
      <c r="CH997" s="75"/>
      <c r="CI997" s="73"/>
      <c r="CJ997" s="75"/>
      <c r="CK997" s="75"/>
      <c r="CL997" s="75"/>
      <c r="CM997" s="73"/>
      <c r="CN997" s="75"/>
      <c r="CO997" s="75"/>
      <c r="CP997" s="75"/>
      <c r="CQ997" s="73"/>
      <c r="CR997" s="75"/>
      <c r="CS997" s="75"/>
      <c r="CT997" s="75"/>
      <c r="CU997" s="73"/>
      <c r="CV997" s="75"/>
      <c r="CW997" s="75"/>
      <c r="CX997" s="75"/>
      <c r="CY997" s="73"/>
      <c r="CZ997" s="75"/>
      <c r="DA997" s="75"/>
      <c r="DB997" s="75"/>
      <c r="DC997" s="73"/>
      <c r="DD997" s="75"/>
      <c r="DE997" s="75"/>
      <c r="DF997" s="75"/>
      <c r="DG997" s="73"/>
      <c r="DH997" s="75"/>
      <c r="DI997" s="75"/>
      <c r="DJ997" s="75"/>
      <c r="DK997" s="76"/>
    </row>
    <row r="998" spans="63:115" x14ac:dyDescent="0.25">
      <c r="BK998" s="75"/>
      <c r="BL998" s="75"/>
      <c r="BM998" s="75"/>
      <c r="BN998" s="73"/>
      <c r="BO998" s="75"/>
      <c r="BP998" s="75"/>
      <c r="BQ998" s="75"/>
      <c r="BR998" s="75"/>
      <c r="BS998" s="75"/>
      <c r="BT998" s="75"/>
      <c r="BU998" s="75"/>
      <c r="BV998" s="75"/>
      <c r="BW998" s="75"/>
      <c r="BX998" s="75"/>
      <c r="BY998" s="75"/>
      <c r="BZ998" s="75"/>
      <c r="CA998" s="73"/>
      <c r="CB998" s="75"/>
      <c r="CC998" s="75"/>
      <c r="CD998" s="75"/>
      <c r="CE998" s="73"/>
      <c r="CF998" s="75"/>
      <c r="CG998" s="75"/>
      <c r="CH998" s="75"/>
      <c r="CI998" s="73"/>
      <c r="CJ998" s="75"/>
      <c r="CK998" s="75"/>
      <c r="CL998" s="75"/>
      <c r="CM998" s="73"/>
      <c r="CN998" s="75"/>
      <c r="CO998" s="75"/>
      <c r="CP998" s="75"/>
      <c r="CQ998" s="73"/>
      <c r="CR998" s="75"/>
      <c r="CS998" s="75"/>
      <c r="CT998" s="75"/>
      <c r="CU998" s="73"/>
      <c r="CV998" s="75"/>
      <c r="CW998" s="75"/>
      <c r="CX998" s="75"/>
      <c r="CY998" s="73"/>
      <c r="CZ998" s="75"/>
      <c r="DA998" s="75"/>
      <c r="DB998" s="75"/>
      <c r="DC998" s="73"/>
      <c r="DD998" s="75"/>
      <c r="DE998" s="75"/>
      <c r="DF998" s="75"/>
      <c r="DG998" s="73"/>
      <c r="DH998" s="75"/>
      <c r="DI998" s="75"/>
      <c r="DJ998" s="75"/>
      <c r="DK998" s="76"/>
    </row>
    <row r="999" spans="63:115" x14ac:dyDescent="0.25">
      <c r="BK999" s="75"/>
      <c r="BL999" s="75"/>
      <c r="BM999" s="75"/>
      <c r="BN999" s="73"/>
      <c r="BO999" s="75"/>
      <c r="BP999" s="75"/>
      <c r="BQ999" s="75"/>
      <c r="BR999" s="75"/>
      <c r="BS999" s="75"/>
      <c r="BT999" s="75"/>
      <c r="BU999" s="75"/>
      <c r="BV999" s="75"/>
      <c r="BW999" s="75"/>
      <c r="BX999" s="75"/>
      <c r="BY999" s="75"/>
      <c r="BZ999" s="75"/>
      <c r="CA999" s="73"/>
      <c r="CB999" s="75"/>
      <c r="CC999" s="75"/>
      <c r="CD999" s="75"/>
      <c r="CE999" s="73"/>
      <c r="CF999" s="75"/>
      <c r="CG999" s="75"/>
      <c r="CH999" s="75"/>
      <c r="CI999" s="73"/>
      <c r="CJ999" s="75"/>
      <c r="CK999" s="75"/>
      <c r="CL999" s="75"/>
      <c r="CM999" s="73"/>
      <c r="CN999" s="75"/>
      <c r="CO999" s="75"/>
      <c r="CP999" s="75"/>
      <c r="CQ999" s="73"/>
      <c r="CR999" s="75"/>
      <c r="CS999" s="75"/>
      <c r="CT999" s="75"/>
      <c r="CU999" s="73"/>
      <c r="CV999" s="75"/>
      <c r="CW999" s="75"/>
      <c r="CX999" s="75"/>
      <c r="CY999" s="73"/>
      <c r="CZ999" s="75"/>
      <c r="DA999" s="75"/>
      <c r="DB999" s="75"/>
      <c r="DC999" s="73"/>
      <c r="DD999" s="75"/>
      <c r="DE999" s="75"/>
      <c r="DF999" s="75"/>
      <c r="DG999" s="73"/>
      <c r="DH999" s="75"/>
      <c r="DI999" s="75"/>
      <c r="DJ999" s="75"/>
      <c r="DK999" s="76"/>
    </row>
    <row r="1000" spans="63:115" x14ac:dyDescent="0.25">
      <c r="BK1000" s="75"/>
      <c r="BL1000" s="75"/>
      <c r="BM1000" s="75"/>
      <c r="BN1000" s="73"/>
      <c r="BO1000" s="75"/>
      <c r="BP1000" s="75"/>
      <c r="BQ1000" s="75"/>
      <c r="BR1000" s="75"/>
      <c r="BS1000" s="75"/>
      <c r="BT1000" s="75"/>
      <c r="BU1000" s="75"/>
      <c r="BV1000" s="75"/>
      <c r="BW1000" s="75"/>
      <c r="BX1000" s="75"/>
      <c r="BY1000" s="75"/>
      <c r="BZ1000" s="75"/>
      <c r="CA1000" s="73"/>
      <c r="CB1000" s="75"/>
      <c r="CC1000" s="75"/>
      <c r="CD1000" s="75"/>
      <c r="CE1000" s="73"/>
      <c r="CF1000" s="75"/>
      <c r="CG1000" s="75"/>
      <c r="CH1000" s="75"/>
      <c r="CI1000" s="73"/>
      <c r="CJ1000" s="75"/>
      <c r="CK1000" s="75"/>
      <c r="CL1000" s="75"/>
      <c r="CM1000" s="73"/>
      <c r="CN1000" s="75"/>
      <c r="CO1000" s="75"/>
      <c r="CP1000" s="75"/>
      <c r="CQ1000" s="73"/>
      <c r="CR1000" s="75"/>
      <c r="CS1000" s="75"/>
      <c r="CT1000" s="75"/>
      <c r="CU1000" s="73"/>
      <c r="CV1000" s="75"/>
      <c r="CW1000" s="75"/>
      <c r="CX1000" s="75"/>
      <c r="CY1000" s="73"/>
      <c r="CZ1000" s="75"/>
      <c r="DA1000" s="75"/>
      <c r="DB1000" s="75"/>
      <c r="DC1000" s="73"/>
      <c r="DD1000" s="75"/>
      <c r="DE1000" s="75"/>
      <c r="DF1000" s="75"/>
      <c r="DG1000" s="73"/>
      <c r="DH1000" s="75"/>
      <c r="DI1000" s="75"/>
      <c r="DJ1000" s="75"/>
      <c r="DK1000" s="76"/>
    </row>
    <row r="1001" spans="63:115" x14ac:dyDescent="0.25">
      <c r="BK1001" s="75"/>
      <c r="BL1001" s="75"/>
      <c r="BM1001" s="75"/>
      <c r="BN1001" s="73"/>
      <c r="BO1001" s="75"/>
      <c r="BP1001" s="75"/>
      <c r="BQ1001" s="75"/>
      <c r="BR1001" s="75"/>
      <c r="BS1001" s="75"/>
      <c r="BT1001" s="75"/>
      <c r="BU1001" s="75"/>
      <c r="BV1001" s="75"/>
      <c r="BW1001" s="75"/>
      <c r="BX1001" s="75"/>
      <c r="BY1001" s="75"/>
      <c r="BZ1001" s="75"/>
      <c r="CA1001" s="73"/>
      <c r="CB1001" s="75"/>
      <c r="CC1001" s="75"/>
      <c r="CD1001" s="75"/>
      <c r="CE1001" s="73"/>
      <c r="CF1001" s="75"/>
      <c r="CG1001" s="75"/>
      <c r="CH1001" s="75"/>
      <c r="CI1001" s="73"/>
      <c r="CJ1001" s="75"/>
      <c r="CK1001" s="75"/>
      <c r="CL1001" s="75"/>
      <c r="CM1001" s="73"/>
      <c r="CN1001" s="75"/>
      <c r="CO1001" s="75"/>
      <c r="CP1001" s="75"/>
      <c r="CQ1001" s="73"/>
      <c r="CR1001" s="75"/>
      <c r="CS1001" s="75"/>
      <c r="CT1001" s="75"/>
      <c r="CU1001" s="73"/>
      <c r="CV1001" s="75"/>
      <c r="CW1001" s="75"/>
      <c r="CX1001" s="75"/>
      <c r="CY1001" s="73"/>
      <c r="CZ1001" s="75"/>
      <c r="DA1001" s="75"/>
      <c r="DB1001" s="75"/>
      <c r="DC1001" s="73"/>
      <c r="DD1001" s="75"/>
      <c r="DE1001" s="75"/>
      <c r="DF1001" s="75"/>
      <c r="DG1001" s="73"/>
      <c r="DH1001" s="75"/>
      <c r="DI1001" s="75"/>
      <c r="DJ1001" s="75"/>
      <c r="DK1001" s="76"/>
    </row>
    <row r="1002" spans="63:115" x14ac:dyDescent="0.25">
      <c r="BK1002" s="75"/>
      <c r="BL1002" s="75"/>
      <c r="BM1002" s="75"/>
      <c r="BN1002" s="73"/>
      <c r="BO1002" s="75"/>
      <c r="BP1002" s="75"/>
      <c r="BQ1002" s="75"/>
      <c r="BR1002" s="75"/>
      <c r="BS1002" s="75"/>
      <c r="BT1002" s="75"/>
      <c r="BU1002" s="75"/>
      <c r="BV1002" s="75"/>
      <c r="BW1002" s="75"/>
      <c r="BX1002" s="75"/>
      <c r="BY1002" s="75"/>
      <c r="BZ1002" s="75"/>
      <c r="CA1002" s="73"/>
      <c r="CB1002" s="75"/>
      <c r="CC1002" s="75"/>
      <c r="CD1002" s="75"/>
      <c r="CE1002" s="73"/>
      <c r="CF1002" s="75"/>
      <c r="CG1002" s="75"/>
      <c r="CH1002" s="75"/>
      <c r="CI1002" s="73"/>
      <c r="CJ1002" s="75"/>
      <c r="CK1002" s="75"/>
      <c r="CL1002" s="75"/>
      <c r="CM1002" s="73"/>
      <c r="CN1002" s="75"/>
      <c r="CO1002" s="75"/>
      <c r="CP1002" s="75"/>
      <c r="CQ1002" s="73"/>
      <c r="CR1002" s="75"/>
      <c r="CS1002" s="75"/>
      <c r="CT1002" s="75"/>
      <c r="CU1002" s="73"/>
      <c r="CV1002" s="75"/>
      <c r="CW1002" s="75"/>
      <c r="CX1002" s="75"/>
      <c r="CY1002" s="73"/>
      <c r="CZ1002" s="75"/>
      <c r="DA1002" s="75"/>
      <c r="DB1002" s="75"/>
      <c r="DC1002" s="73"/>
      <c r="DD1002" s="75"/>
      <c r="DE1002" s="75"/>
      <c r="DF1002" s="75"/>
      <c r="DG1002" s="73"/>
      <c r="DH1002" s="75"/>
      <c r="DI1002" s="75"/>
      <c r="DJ1002" s="75"/>
      <c r="DK1002" s="76"/>
    </row>
    <row r="1003" spans="63:115" x14ac:dyDescent="0.25">
      <c r="BK1003" s="75"/>
      <c r="BL1003" s="75"/>
      <c r="BM1003" s="75"/>
      <c r="BN1003" s="73"/>
      <c r="BO1003" s="75"/>
      <c r="BP1003" s="75"/>
      <c r="BQ1003" s="75"/>
      <c r="BR1003" s="75"/>
      <c r="BS1003" s="75"/>
      <c r="BT1003" s="75"/>
      <c r="BU1003" s="75"/>
      <c r="BV1003" s="75"/>
      <c r="BW1003" s="75"/>
      <c r="BX1003" s="75"/>
      <c r="BY1003" s="75"/>
      <c r="BZ1003" s="75"/>
      <c r="CA1003" s="73"/>
      <c r="CB1003" s="75"/>
      <c r="CC1003" s="75"/>
      <c r="CD1003" s="75"/>
      <c r="CE1003" s="73"/>
      <c r="CF1003" s="75"/>
      <c r="CG1003" s="75"/>
      <c r="CH1003" s="75"/>
      <c r="CI1003" s="73"/>
      <c r="CJ1003" s="75"/>
      <c r="CK1003" s="75"/>
      <c r="CL1003" s="75"/>
      <c r="CM1003" s="73"/>
      <c r="CN1003" s="75"/>
      <c r="CO1003" s="75"/>
      <c r="CP1003" s="75"/>
      <c r="CQ1003" s="73"/>
      <c r="CR1003" s="75"/>
      <c r="CS1003" s="75"/>
      <c r="CT1003" s="75"/>
      <c r="CU1003" s="73"/>
      <c r="CV1003" s="75"/>
      <c r="CW1003" s="75"/>
      <c r="CX1003" s="75"/>
      <c r="CY1003" s="73"/>
      <c r="CZ1003" s="75"/>
      <c r="DA1003" s="75"/>
      <c r="DB1003" s="75"/>
      <c r="DC1003" s="73"/>
      <c r="DD1003" s="75"/>
      <c r="DE1003" s="75"/>
      <c r="DF1003" s="75"/>
      <c r="DG1003" s="73"/>
      <c r="DH1003" s="75"/>
      <c r="DI1003" s="75"/>
      <c r="DJ1003" s="75"/>
      <c r="DK1003" s="76"/>
    </row>
    <row r="1004" spans="63:115" x14ac:dyDescent="0.25">
      <c r="BK1004" s="75"/>
      <c r="BL1004" s="75"/>
      <c r="BM1004" s="75"/>
      <c r="BN1004" s="73"/>
      <c r="BO1004" s="75"/>
      <c r="BP1004" s="75"/>
      <c r="BQ1004" s="75"/>
      <c r="BR1004" s="75"/>
      <c r="BS1004" s="75"/>
      <c r="BT1004" s="75"/>
      <c r="BU1004" s="75"/>
      <c r="BV1004" s="75"/>
      <c r="BW1004" s="75"/>
      <c r="BX1004" s="75"/>
      <c r="BY1004" s="75"/>
      <c r="BZ1004" s="75"/>
      <c r="CA1004" s="73"/>
      <c r="CB1004" s="75"/>
      <c r="CC1004" s="75"/>
      <c r="CD1004" s="75"/>
      <c r="CE1004" s="73"/>
      <c r="CF1004" s="75"/>
      <c r="CG1004" s="75"/>
      <c r="CH1004" s="75"/>
      <c r="CI1004" s="73"/>
      <c r="CJ1004" s="75"/>
      <c r="CK1004" s="75"/>
      <c r="CL1004" s="75"/>
      <c r="CM1004" s="73"/>
      <c r="CN1004" s="75"/>
      <c r="CO1004" s="75"/>
      <c r="CP1004" s="75"/>
      <c r="CQ1004" s="73"/>
      <c r="CR1004" s="75"/>
      <c r="CS1004" s="75"/>
      <c r="CT1004" s="75"/>
      <c r="CU1004" s="73"/>
      <c r="CV1004" s="75"/>
      <c r="CW1004" s="75"/>
      <c r="CX1004" s="75"/>
      <c r="CY1004" s="73"/>
      <c r="CZ1004" s="75"/>
      <c r="DA1004" s="75"/>
      <c r="DB1004" s="75"/>
      <c r="DC1004" s="73"/>
      <c r="DD1004" s="75"/>
      <c r="DE1004" s="75"/>
      <c r="DF1004" s="75"/>
      <c r="DG1004" s="73"/>
      <c r="DH1004" s="75"/>
      <c r="DI1004" s="75"/>
      <c r="DJ1004" s="75"/>
      <c r="DK1004" s="76"/>
    </row>
    <row r="1005" spans="63:115" x14ac:dyDescent="0.25">
      <c r="BK1005" s="75"/>
      <c r="BL1005" s="75"/>
      <c r="BM1005" s="75"/>
      <c r="BN1005" s="73"/>
      <c r="BO1005" s="75"/>
      <c r="BP1005" s="75"/>
      <c r="BQ1005" s="75"/>
      <c r="BR1005" s="75"/>
      <c r="BS1005" s="75"/>
      <c r="BT1005" s="75"/>
      <c r="BU1005" s="75"/>
      <c r="BV1005" s="75"/>
      <c r="BW1005" s="75"/>
      <c r="BX1005" s="75"/>
      <c r="BY1005" s="75"/>
      <c r="BZ1005" s="75"/>
      <c r="CA1005" s="73"/>
      <c r="CB1005" s="75"/>
      <c r="CC1005" s="75"/>
      <c r="CD1005" s="75"/>
      <c r="CE1005" s="73"/>
      <c r="CF1005" s="75"/>
      <c r="CG1005" s="75"/>
      <c r="CH1005" s="75"/>
      <c r="CI1005" s="73"/>
      <c r="CJ1005" s="75"/>
      <c r="CK1005" s="75"/>
      <c r="CL1005" s="75"/>
      <c r="CM1005" s="73"/>
      <c r="CN1005" s="75"/>
      <c r="CO1005" s="75"/>
      <c r="CP1005" s="75"/>
      <c r="CQ1005" s="73"/>
      <c r="CR1005" s="75"/>
      <c r="CS1005" s="75"/>
      <c r="CT1005" s="75"/>
      <c r="CU1005" s="73"/>
      <c r="CV1005" s="75"/>
      <c r="CW1005" s="75"/>
      <c r="CX1005" s="75"/>
      <c r="CY1005" s="73"/>
      <c r="CZ1005" s="75"/>
      <c r="DA1005" s="75"/>
      <c r="DB1005" s="75"/>
      <c r="DC1005" s="73"/>
      <c r="DD1005" s="75"/>
      <c r="DE1005" s="75"/>
      <c r="DF1005" s="75"/>
      <c r="DG1005" s="73"/>
      <c r="DH1005" s="75"/>
      <c r="DI1005" s="75"/>
      <c r="DJ1005" s="75"/>
      <c r="DK1005" s="76"/>
    </row>
    <row r="1006" spans="63:115" x14ac:dyDescent="0.25">
      <c r="BK1006" s="75"/>
      <c r="BL1006" s="75"/>
      <c r="BM1006" s="75"/>
      <c r="BN1006" s="73"/>
      <c r="BO1006" s="75"/>
      <c r="BP1006" s="75"/>
      <c r="BQ1006" s="75"/>
      <c r="BR1006" s="75"/>
      <c r="BS1006" s="75"/>
      <c r="BT1006" s="75"/>
      <c r="BU1006" s="75"/>
      <c r="BV1006" s="75"/>
      <c r="BW1006" s="75"/>
      <c r="BX1006" s="75"/>
      <c r="BY1006" s="75"/>
      <c r="BZ1006" s="75"/>
      <c r="CA1006" s="73"/>
      <c r="CB1006" s="75"/>
      <c r="CC1006" s="75"/>
      <c r="CD1006" s="75"/>
      <c r="CE1006" s="73"/>
      <c r="CF1006" s="75"/>
      <c r="CG1006" s="75"/>
      <c r="CH1006" s="75"/>
      <c r="CI1006" s="73"/>
      <c r="CJ1006" s="75"/>
      <c r="CK1006" s="75"/>
      <c r="CL1006" s="75"/>
      <c r="CM1006" s="73"/>
      <c r="CN1006" s="75"/>
      <c r="CO1006" s="75"/>
      <c r="CP1006" s="75"/>
      <c r="CQ1006" s="73"/>
      <c r="CR1006" s="75"/>
      <c r="CS1006" s="75"/>
      <c r="CT1006" s="75"/>
      <c r="CU1006" s="73"/>
      <c r="CV1006" s="75"/>
      <c r="CW1006" s="75"/>
      <c r="CX1006" s="75"/>
      <c r="CY1006" s="73"/>
      <c r="CZ1006" s="75"/>
      <c r="DA1006" s="75"/>
      <c r="DB1006" s="75"/>
      <c r="DC1006" s="73"/>
      <c r="DD1006" s="75"/>
      <c r="DE1006" s="75"/>
      <c r="DF1006" s="75"/>
      <c r="DG1006" s="73"/>
      <c r="DH1006" s="75"/>
      <c r="DI1006" s="75"/>
      <c r="DJ1006" s="75"/>
      <c r="DK1006" s="76"/>
    </row>
    <row r="1007" spans="63:115" x14ac:dyDescent="0.25">
      <c r="BK1007" s="75"/>
      <c r="BL1007" s="75"/>
      <c r="BM1007" s="75"/>
      <c r="BN1007" s="73"/>
      <c r="BO1007" s="75"/>
      <c r="BP1007" s="75"/>
      <c r="BQ1007" s="75"/>
      <c r="BR1007" s="75"/>
      <c r="BS1007" s="75"/>
      <c r="BT1007" s="75"/>
      <c r="BU1007" s="75"/>
      <c r="BV1007" s="75"/>
      <c r="BW1007" s="75"/>
      <c r="BX1007" s="75"/>
      <c r="BY1007" s="75"/>
      <c r="BZ1007" s="75"/>
      <c r="CA1007" s="73"/>
      <c r="CB1007" s="75"/>
      <c r="CC1007" s="75"/>
      <c r="CD1007" s="75"/>
      <c r="CE1007" s="73"/>
      <c r="CF1007" s="75"/>
      <c r="CG1007" s="75"/>
      <c r="CH1007" s="75"/>
      <c r="CI1007" s="73"/>
      <c r="CJ1007" s="75"/>
      <c r="CK1007" s="75"/>
      <c r="CL1007" s="75"/>
      <c r="CM1007" s="73"/>
      <c r="CN1007" s="75"/>
      <c r="CO1007" s="75"/>
      <c r="CP1007" s="75"/>
      <c r="CQ1007" s="73"/>
      <c r="CR1007" s="75"/>
      <c r="CS1007" s="75"/>
      <c r="CT1007" s="75"/>
      <c r="CU1007" s="73"/>
      <c r="CV1007" s="75"/>
      <c r="CW1007" s="75"/>
      <c r="CX1007" s="75"/>
      <c r="CY1007" s="73"/>
      <c r="CZ1007" s="75"/>
      <c r="DA1007" s="75"/>
      <c r="DB1007" s="75"/>
      <c r="DC1007" s="73"/>
      <c r="DD1007" s="75"/>
      <c r="DE1007" s="75"/>
      <c r="DF1007" s="75"/>
      <c r="DG1007" s="73"/>
      <c r="DH1007" s="75"/>
      <c r="DI1007" s="75"/>
      <c r="DJ1007" s="75"/>
      <c r="DK1007" s="76"/>
    </row>
    <row r="1008" spans="63:115" x14ac:dyDescent="0.25">
      <c r="BK1008" s="75"/>
      <c r="BL1008" s="75"/>
      <c r="BM1008" s="75"/>
      <c r="BN1008" s="73"/>
      <c r="BO1008" s="75"/>
      <c r="BP1008" s="75"/>
      <c r="BQ1008" s="75"/>
      <c r="BR1008" s="75"/>
      <c r="BS1008" s="75"/>
      <c r="BT1008" s="75"/>
      <c r="BU1008" s="75"/>
      <c r="BV1008" s="75"/>
      <c r="BW1008" s="75"/>
      <c r="BX1008" s="75"/>
      <c r="BY1008" s="75"/>
      <c r="BZ1008" s="75"/>
      <c r="CA1008" s="73"/>
      <c r="CB1008" s="75"/>
      <c r="CC1008" s="75"/>
      <c r="CD1008" s="75"/>
      <c r="CE1008" s="73"/>
      <c r="CF1008" s="75"/>
      <c r="CG1008" s="75"/>
      <c r="CH1008" s="75"/>
      <c r="CI1008" s="73"/>
      <c r="CJ1008" s="75"/>
      <c r="CK1008" s="75"/>
      <c r="CL1008" s="75"/>
      <c r="CM1008" s="73"/>
      <c r="CN1008" s="75"/>
      <c r="CO1008" s="75"/>
      <c r="CP1008" s="75"/>
      <c r="CQ1008" s="73"/>
      <c r="CR1008" s="75"/>
      <c r="CS1008" s="75"/>
      <c r="CT1008" s="75"/>
      <c r="CU1008" s="73"/>
      <c r="CV1008" s="75"/>
      <c r="CW1008" s="75"/>
      <c r="CX1008" s="75"/>
      <c r="CY1008" s="73"/>
      <c r="CZ1008" s="75"/>
      <c r="DA1008" s="75"/>
      <c r="DB1008" s="75"/>
      <c r="DC1008" s="73"/>
      <c r="DD1008" s="75"/>
      <c r="DE1008" s="75"/>
      <c r="DF1008" s="75"/>
      <c r="DG1008" s="73"/>
      <c r="DH1008" s="75"/>
      <c r="DI1008" s="75"/>
      <c r="DJ1008" s="75"/>
      <c r="DK1008" s="76"/>
    </row>
    <row r="1009" spans="63:115" x14ac:dyDescent="0.25">
      <c r="BK1009" s="75"/>
      <c r="BL1009" s="75"/>
      <c r="BM1009" s="75"/>
      <c r="BN1009" s="73"/>
      <c r="BO1009" s="75"/>
      <c r="BP1009" s="75"/>
      <c r="BQ1009" s="75"/>
      <c r="BR1009" s="75"/>
      <c r="BS1009" s="75"/>
      <c r="BT1009" s="75"/>
      <c r="BU1009" s="75"/>
      <c r="BV1009" s="75"/>
      <c r="BW1009" s="75"/>
      <c r="BX1009" s="75"/>
      <c r="BY1009" s="75"/>
      <c r="BZ1009" s="75"/>
      <c r="CA1009" s="73"/>
      <c r="CB1009" s="75"/>
      <c r="CC1009" s="75"/>
      <c r="CD1009" s="75"/>
      <c r="CE1009" s="73"/>
      <c r="CF1009" s="75"/>
      <c r="CG1009" s="75"/>
      <c r="CH1009" s="75"/>
      <c r="CI1009" s="73"/>
      <c r="CJ1009" s="75"/>
      <c r="CK1009" s="75"/>
      <c r="CL1009" s="75"/>
      <c r="CM1009" s="73"/>
      <c r="CN1009" s="75"/>
      <c r="CO1009" s="75"/>
      <c r="CP1009" s="75"/>
      <c r="CQ1009" s="73"/>
      <c r="CR1009" s="75"/>
      <c r="CS1009" s="75"/>
      <c r="CT1009" s="75"/>
      <c r="CU1009" s="73"/>
      <c r="CV1009" s="75"/>
      <c r="CW1009" s="75"/>
      <c r="CX1009" s="75"/>
      <c r="CY1009" s="73"/>
      <c r="CZ1009" s="75"/>
      <c r="DA1009" s="75"/>
      <c r="DB1009" s="75"/>
      <c r="DC1009" s="73"/>
      <c r="DD1009" s="75"/>
      <c r="DE1009" s="75"/>
      <c r="DF1009" s="75"/>
      <c r="DG1009" s="73"/>
      <c r="DH1009" s="75"/>
      <c r="DI1009" s="75"/>
      <c r="DJ1009" s="75"/>
      <c r="DK1009" s="76"/>
    </row>
    <row r="1010" spans="63:115" x14ac:dyDescent="0.25">
      <c r="BK1010" s="75"/>
      <c r="BL1010" s="75"/>
      <c r="BM1010" s="75"/>
      <c r="BN1010" s="73"/>
      <c r="BO1010" s="75"/>
      <c r="BP1010" s="75"/>
      <c r="BQ1010" s="75"/>
      <c r="BR1010" s="75"/>
      <c r="BS1010" s="75"/>
      <c r="BT1010" s="75"/>
      <c r="BU1010" s="75"/>
      <c r="BV1010" s="75"/>
      <c r="BW1010" s="75"/>
      <c r="BX1010" s="75"/>
      <c r="BY1010" s="75"/>
      <c r="BZ1010" s="75"/>
      <c r="CA1010" s="73"/>
      <c r="CB1010" s="75"/>
      <c r="CC1010" s="75"/>
      <c r="CD1010" s="75"/>
      <c r="CE1010" s="73"/>
      <c r="CF1010" s="75"/>
      <c r="CG1010" s="75"/>
      <c r="CH1010" s="75"/>
      <c r="CI1010" s="73"/>
      <c r="CJ1010" s="75"/>
      <c r="CK1010" s="75"/>
      <c r="CL1010" s="75"/>
      <c r="CM1010" s="73"/>
      <c r="CN1010" s="75"/>
      <c r="CO1010" s="75"/>
      <c r="CP1010" s="75"/>
      <c r="CQ1010" s="73"/>
      <c r="CR1010" s="75"/>
      <c r="CS1010" s="75"/>
      <c r="CT1010" s="75"/>
      <c r="CU1010" s="73"/>
      <c r="CV1010" s="75"/>
      <c r="CW1010" s="75"/>
      <c r="CX1010" s="75"/>
      <c r="CY1010" s="73"/>
      <c r="CZ1010" s="75"/>
      <c r="DA1010" s="75"/>
      <c r="DB1010" s="75"/>
      <c r="DC1010" s="73"/>
      <c r="DD1010" s="75"/>
      <c r="DE1010" s="75"/>
      <c r="DF1010" s="75"/>
      <c r="DG1010" s="73"/>
      <c r="DH1010" s="75"/>
      <c r="DI1010" s="75"/>
      <c r="DJ1010" s="75"/>
      <c r="DK1010" s="76"/>
    </row>
    <row r="1011" spans="63:115" x14ac:dyDescent="0.25">
      <c r="BK1011" s="75"/>
      <c r="BL1011" s="75"/>
      <c r="BM1011" s="75"/>
      <c r="BN1011" s="73"/>
      <c r="BO1011" s="75"/>
      <c r="BP1011" s="75"/>
      <c r="BQ1011" s="75"/>
      <c r="BR1011" s="75"/>
      <c r="BS1011" s="75"/>
      <c r="BT1011" s="75"/>
      <c r="BU1011" s="75"/>
      <c r="BV1011" s="75"/>
      <c r="BW1011" s="75"/>
      <c r="BX1011" s="75"/>
      <c r="BY1011" s="75"/>
      <c r="BZ1011" s="75"/>
      <c r="CA1011" s="73"/>
      <c r="CB1011" s="75"/>
      <c r="CC1011" s="75"/>
      <c r="CD1011" s="75"/>
      <c r="CE1011" s="73"/>
      <c r="CF1011" s="75"/>
      <c r="CG1011" s="75"/>
      <c r="CH1011" s="75"/>
      <c r="CI1011" s="73"/>
      <c r="CJ1011" s="75"/>
      <c r="CK1011" s="75"/>
      <c r="CL1011" s="75"/>
      <c r="CM1011" s="73"/>
      <c r="CN1011" s="75"/>
      <c r="CO1011" s="75"/>
      <c r="CP1011" s="75"/>
      <c r="CQ1011" s="73"/>
      <c r="CR1011" s="75"/>
      <c r="CS1011" s="75"/>
      <c r="CT1011" s="75"/>
      <c r="CU1011" s="73"/>
      <c r="CV1011" s="75"/>
      <c r="CW1011" s="75"/>
      <c r="CX1011" s="75"/>
      <c r="CY1011" s="73"/>
      <c r="CZ1011" s="75"/>
      <c r="DA1011" s="75"/>
      <c r="DB1011" s="75"/>
      <c r="DC1011" s="73"/>
      <c r="DD1011" s="75"/>
      <c r="DE1011" s="75"/>
      <c r="DF1011" s="75"/>
      <c r="DG1011" s="73"/>
      <c r="DH1011" s="75"/>
      <c r="DI1011" s="75"/>
      <c r="DJ1011" s="75"/>
      <c r="DK1011" s="76"/>
    </row>
    <row r="1012" spans="63:115" x14ac:dyDescent="0.25">
      <c r="BK1012" s="75"/>
      <c r="BL1012" s="75"/>
      <c r="BM1012" s="75"/>
      <c r="BN1012" s="73"/>
      <c r="BO1012" s="75"/>
      <c r="BP1012" s="75"/>
      <c r="BQ1012" s="75"/>
      <c r="BR1012" s="75"/>
      <c r="BS1012" s="75"/>
      <c r="BT1012" s="75"/>
      <c r="BU1012" s="75"/>
      <c r="BV1012" s="75"/>
      <c r="BW1012" s="75"/>
      <c r="BX1012" s="75"/>
      <c r="BY1012" s="75"/>
      <c r="BZ1012" s="75"/>
      <c r="CA1012" s="73"/>
      <c r="CB1012" s="75"/>
      <c r="CC1012" s="75"/>
      <c r="CD1012" s="75"/>
      <c r="CE1012" s="73"/>
      <c r="CF1012" s="75"/>
      <c r="CG1012" s="75"/>
      <c r="CH1012" s="75"/>
      <c r="CI1012" s="73"/>
      <c r="CJ1012" s="75"/>
      <c r="CK1012" s="75"/>
      <c r="CL1012" s="75"/>
      <c r="CM1012" s="73"/>
      <c r="CN1012" s="75"/>
      <c r="CO1012" s="75"/>
      <c r="CP1012" s="75"/>
      <c r="CQ1012" s="73"/>
      <c r="CR1012" s="75"/>
      <c r="CS1012" s="75"/>
      <c r="CT1012" s="75"/>
      <c r="CU1012" s="73"/>
      <c r="CV1012" s="75"/>
      <c r="CW1012" s="75"/>
      <c r="CX1012" s="75"/>
      <c r="CY1012" s="73"/>
      <c r="CZ1012" s="75"/>
      <c r="DA1012" s="75"/>
      <c r="DB1012" s="75"/>
      <c r="DC1012" s="73"/>
      <c r="DD1012" s="75"/>
      <c r="DE1012" s="75"/>
      <c r="DF1012" s="75"/>
      <c r="DG1012" s="73"/>
      <c r="DH1012" s="75"/>
      <c r="DI1012" s="75"/>
      <c r="DJ1012" s="75"/>
      <c r="DK1012" s="76"/>
    </row>
    <row r="1013" spans="63:115" x14ac:dyDescent="0.25">
      <c r="BK1013" s="75"/>
      <c r="BL1013" s="75"/>
      <c r="BM1013" s="75"/>
      <c r="BN1013" s="73"/>
      <c r="BO1013" s="75"/>
      <c r="BP1013" s="75"/>
      <c r="BQ1013" s="75"/>
      <c r="BR1013" s="75"/>
      <c r="BS1013" s="75"/>
      <c r="BT1013" s="75"/>
      <c r="BU1013" s="75"/>
      <c r="BV1013" s="75"/>
      <c r="BW1013" s="75"/>
      <c r="BX1013" s="75"/>
      <c r="BY1013" s="75"/>
      <c r="BZ1013" s="75"/>
      <c r="CA1013" s="73"/>
      <c r="CB1013" s="75"/>
      <c r="CC1013" s="75"/>
      <c r="CD1013" s="75"/>
      <c r="CE1013" s="73"/>
      <c r="CF1013" s="75"/>
      <c r="CG1013" s="75"/>
      <c r="CH1013" s="75"/>
      <c r="CI1013" s="73"/>
      <c r="CJ1013" s="75"/>
      <c r="CK1013" s="75"/>
      <c r="CL1013" s="75"/>
      <c r="CM1013" s="73"/>
      <c r="CN1013" s="75"/>
      <c r="CO1013" s="75"/>
      <c r="CP1013" s="75"/>
      <c r="CQ1013" s="73"/>
      <c r="CR1013" s="75"/>
      <c r="CS1013" s="75"/>
      <c r="CT1013" s="75"/>
      <c r="CU1013" s="73"/>
      <c r="CV1013" s="75"/>
      <c r="CW1013" s="75"/>
      <c r="CX1013" s="75"/>
      <c r="CY1013" s="73"/>
      <c r="CZ1013" s="75"/>
      <c r="DA1013" s="75"/>
      <c r="DB1013" s="75"/>
      <c r="DC1013" s="73"/>
      <c r="DD1013" s="75"/>
      <c r="DE1013" s="75"/>
      <c r="DF1013" s="75"/>
      <c r="DG1013" s="73"/>
      <c r="DH1013" s="75"/>
      <c r="DI1013" s="75"/>
      <c r="DJ1013" s="75"/>
      <c r="DK1013" s="76"/>
    </row>
    <row r="1014" spans="63:115" x14ac:dyDescent="0.25">
      <c r="BK1014" s="75"/>
      <c r="BL1014" s="75"/>
      <c r="BM1014" s="75"/>
      <c r="BN1014" s="73"/>
      <c r="BO1014" s="75"/>
      <c r="BP1014" s="75"/>
      <c r="BQ1014" s="75"/>
      <c r="BR1014" s="75"/>
      <c r="BS1014" s="75"/>
      <c r="BT1014" s="75"/>
      <c r="BU1014" s="75"/>
      <c r="BV1014" s="75"/>
      <c r="BW1014" s="75"/>
      <c r="BX1014" s="75"/>
      <c r="BY1014" s="75"/>
      <c r="BZ1014" s="75"/>
      <c r="CA1014" s="73"/>
      <c r="CB1014" s="75"/>
      <c r="CC1014" s="75"/>
      <c r="CD1014" s="75"/>
      <c r="CE1014" s="73"/>
      <c r="CF1014" s="75"/>
      <c r="CG1014" s="75"/>
      <c r="CH1014" s="75"/>
      <c r="CI1014" s="73"/>
      <c r="CJ1014" s="75"/>
      <c r="CK1014" s="75"/>
      <c r="CL1014" s="75"/>
      <c r="CM1014" s="73"/>
      <c r="CN1014" s="75"/>
      <c r="CO1014" s="75"/>
      <c r="CP1014" s="75"/>
      <c r="CQ1014" s="73"/>
      <c r="CR1014" s="75"/>
      <c r="CS1014" s="75"/>
      <c r="CT1014" s="75"/>
      <c r="CU1014" s="73"/>
      <c r="CV1014" s="75"/>
      <c r="CW1014" s="75"/>
      <c r="CX1014" s="75"/>
      <c r="CY1014" s="73"/>
      <c r="CZ1014" s="75"/>
      <c r="DA1014" s="75"/>
      <c r="DB1014" s="75"/>
      <c r="DC1014" s="73"/>
      <c r="DD1014" s="75"/>
      <c r="DE1014" s="75"/>
      <c r="DF1014" s="75"/>
      <c r="DG1014" s="73"/>
      <c r="DH1014" s="75"/>
      <c r="DI1014" s="75"/>
      <c r="DJ1014" s="75"/>
      <c r="DK1014" s="76"/>
    </row>
    <row r="1015" spans="63:115" x14ac:dyDescent="0.25">
      <c r="BK1015" s="75"/>
      <c r="BL1015" s="75"/>
      <c r="BM1015" s="75"/>
      <c r="BN1015" s="73"/>
      <c r="BO1015" s="75"/>
      <c r="BP1015" s="75"/>
      <c r="BQ1015" s="75"/>
      <c r="BR1015" s="75"/>
      <c r="BS1015" s="75"/>
      <c r="BT1015" s="75"/>
      <c r="BU1015" s="75"/>
      <c r="BV1015" s="75"/>
      <c r="BW1015" s="75"/>
      <c r="BX1015" s="75"/>
      <c r="BY1015" s="75"/>
      <c r="BZ1015" s="75"/>
      <c r="CA1015" s="73"/>
      <c r="CB1015" s="75"/>
      <c r="CC1015" s="75"/>
      <c r="CD1015" s="75"/>
      <c r="CE1015" s="73"/>
      <c r="CF1015" s="75"/>
      <c r="CG1015" s="75"/>
      <c r="CH1015" s="75"/>
      <c r="CI1015" s="73"/>
      <c r="CJ1015" s="75"/>
      <c r="CK1015" s="75"/>
      <c r="CL1015" s="75"/>
      <c r="CM1015" s="73"/>
      <c r="CN1015" s="75"/>
      <c r="CO1015" s="75"/>
      <c r="CP1015" s="75"/>
      <c r="CQ1015" s="73"/>
      <c r="CR1015" s="75"/>
      <c r="CS1015" s="75"/>
      <c r="CT1015" s="75"/>
      <c r="CU1015" s="73"/>
      <c r="CV1015" s="75"/>
      <c r="CW1015" s="75"/>
      <c r="CX1015" s="75"/>
      <c r="CY1015" s="73"/>
      <c r="CZ1015" s="75"/>
      <c r="DA1015" s="75"/>
      <c r="DB1015" s="75"/>
      <c r="DC1015" s="73"/>
      <c r="DD1015" s="75"/>
      <c r="DE1015" s="75"/>
      <c r="DF1015" s="75"/>
      <c r="DG1015" s="73"/>
      <c r="DH1015" s="75"/>
      <c r="DI1015" s="75"/>
      <c r="DJ1015" s="75"/>
      <c r="DK1015" s="76"/>
    </row>
    <row r="1016" spans="63:115" x14ac:dyDescent="0.25">
      <c r="BK1016" s="75"/>
      <c r="BL1016" s="75"/>
      <c r="BM1016" s="75"/>
      <c r="BN1016" s="73"/>
      <c r="BO1016" s="75"/>
      <c r="BP1016" s="75"/>
      <c r="BQ1016" s="75"/>
      <c r="BR1016" s="75"/>
      <c r="BS1016" s="75"/>
      <c r="BT1016" s="75"/>
      <c r="BU1016" s="75"/>
      <c r="BV1016" s="75"/>
      <c r="BW1016" s="75"/>
      <c r="BX1016" s="75"/>
      <c r="BY1016" s="75"/>
      <c r="BZ1016" s="75"/>
      <c r="CA1016" s="73"/>
      <c r="CB1016" s="75"/>
      <c r="CC1016" s="75"/>
      <c r="CD1016" s="75"/>
      <c r="CE1016" s="73"/>
      <c r="CF1016" s="75"/>
      <c r="CG1016" s="75"/>
      <c r="CH1016" s="75"/>
      <c r="CI1016" s="73"/>
      <c r="CJ1016" s="75"/>
      <c r="CK1016" s="75"/>
      <c r="CL1016" s="75"/>
      <c r="CM1016" s="73"/>
      <c r="CN1016" s="75"/>
      <c r="CO1016" s="75"/>
      <c r="CP1016" s="75"/>
      <c r="CQ1016" s="73"/>
      <c r="CR1016" s="75"/>
      <c r="CS1016" s="75"/>
      <c r="CT1016" s="75"/>
      <c r="CU1016" s="73"/>
      <c r="CV1016" s="75"/>
      <c r="CW1016" s="75"/>
      <c r="CX1016" s="75"/>
      <c r="CY1016" s="73"/>
      <c r="CZ1016" s="75"/>
      <c r="DA1016" s="75"/>
      <c r="DB1016" s="75"/>
      <c r="DC1016" s="73"/>
      <c r="DD1016" s="75"/>
      <c r="DE1016" s="75"/>
      <c r="DF1016" s="75"/>
      <c r="DG1016" s="73"/>
      <c r="DH1016" s="75"/>
      <c r="DI1016" s="75"/>
      <c r="DJ1016" s="75"/>
      <c r="DK1016" s="76"/>
    </row>
    <row r="1017" spans="63:115" x14ac:dyDescent="0.25">
      <c r="BK1017" s="75"/>
      <c r="BL1017" s="75"/>
      <c r="BM1017" s="75"/>
      <c r="BN1017" s="73"/>
      <c r="BO1017" s="75"/>
      <c r="BP1017" s="75"/>
      <c r="BQ1017" s="75"/>
      <c r="BR1017" s="75"/>
      <c r="BS1017" s="75"/>
      <c r="BT1017" s="75"/>
      <c r="BU1017" s="75"/>
      <c r="BV1017" s="75"/>
      <c r="BW1017" s="75"/>
      <c r="BX1017" s="75"/>
      <c r="BY1017" s="75"/>
      <c r="BZ1017" s="75"/>
      <c r="CA1017" s="73"/>
      <c r="CB1017" s="75"/>
      <c r="CC1017" s="75"/>
      <c r="CD1017" s="75"/>
      <c r="CE1017" s="73"/>
      <c r="CF1017" s="75"/>
      <c r="CG1017" s="75"/>
      <c r="CH1017" s="75"/>
      <c r="CI1017" s="73"/>
      <c r="CJ1017" s="75"/>
      <c r="CK1017" s="75"/>
      <c r="CL1017" s="75"/>
      <c r="CM1017" s="73"/>
      <c r="CN1017" s="75"/>
      <c r="CO1017" s="75"/>
      <c r="CP1017" s="75"/>
      <c r="CQ1017" s="73"/>
      <c r="CR1017" s="75"/>
      <c r="CS1017" s="75"/>
      <c r="CT1017" s="75"/>
      <c r="CU1017" s="73"/>
      <c r="CV1017" s="75"/>
      <c r="CW1017" s="75"/>
      <c r="CX1017" s="75"/>
      <c r="CY1017" s="73"/>
      <c r="CZ1017" s="75"/>
      <c r="DA1017" s="75"/>
      <c r="DB1017" s="75"/>
      <c r="DC1017" s="73"/>
      <c r="DD1017" s="75"/>
      <c r="DE1017" s="75"/>
      <c r="DF1017" s="75"/>
      <c r="DG1017" s="73"/>
      <c r="DH1017" s="75"/>
      <c r="DI1017" s="75"/>
      <c r="DJ1017" s="75"/>
      <c r="DK1017" s="76"/>
    </row>
    <row r="1018" spans="63:115" x14ac:dyDescent="0.25">
      <c r="BK1018" s="75"/>
      <c r="BL1018" s="75"/>
      <c r="BM1018" s="75"/>
      <c r="BN1018" s="73"/>
      <c r="BO1018" s="75"/>
      <c r="BP1018" s="75"/>
      <c r="BQ1018" s="75"/>
      <c r="BR1018" s="75"/>
      <c r="BS1018" s="75"/>
      <c r="BT1018" s="75"/>
      <c r="BU1018" s="75"/>
      <c r="BV1018" s="75"/>
      <c r="BW1018" s="75"/>
      <c r="BX1018" s="75"/>
      <c r="BY1018" s="75"/>
      <c r="BZ1018" s="75"/>
      <c r="CA1018" s="73"/>
      <c r="CB1018" s="75"/>
      <c r="CC1018" s="75"/>
      <c r="CD1018" s="75"/>
      <c r="CE1018" s="73"/>
      <c r="CF1018" s="75"/>
      <c r="CG1018" s="75"/>
      <c r="CH1018" s="75"/>
      <c r="CI1018" s="73"/>
      <c r="CJ1018" s="75"/>
      <c r="CK1018" s="75"/>
      <c r="CL1018" s="75"/>
      <c r="CM1018" s="73"/>
      <c r="CN1018" s="75"/>
      <c r="CO1018" s="75"/>
      <c r="CP1018" s="75"/>
      <c r="CQ1018" s="73"/>
      <c r="CR1018" s="75"/>
      <c r="CS1018" s="75"/>
      <c r="CT1018" s="75"/>
      <c r="CU1018" s="73"/>
      <c r="CV1018" s="75"/>
      <c r="CW1018" s="75"/>
      <c r="CX1018" s="75"/>
      <c r="CY1018" s="73"/>
      <c r="CZ1018" s="75"/>
      <c r="DA1018" s="75"/>
      <c r="DB1018" s="75"/>
      <c r="DC1018" s="73"/>
      <c r="DD1018" s="75"/>
      <c r="DE1018" s="75"/>
      <c r="DF1018" s="75"/>
      <c r="DG1018" s="73"/>
      <c r="DH1018" s="75"/>
      <c r="DI1018" s="75"/>
      <c r="DJ1018" s="75"/>
      <c r="DK1018" s="76"/>
    </row>
    <row r="1019" spans="63:115" x14ac:dyDescent="0.25">
      <c r="BK1019" s="75"/>
      <c r="BL1019" s="75"/>
      <c r="BM1019" s="75"/>
      <c r="BN1019" s="73"/>
      <c r="BO1019" s="75"/>
      <c r="BP1019" s="75"/>
      <c r="BQ1019" s="75"/>
      <c r="BR1019" s="75"/>
      <c r="BS1019" s="75"/>
      <c r="BT1019" s="75"/>
      <c r="BU1019" s="75"/>
      <c r="BV1019" s="75"/>
      <c r="BW1019" s="75"/>
      <c r="BX1019" s="75"/>
      <c r="BY1019" s="75"/>
      <c r="BZ1019" s="75"/>
      <c r="CA1019" s="73"/>
      <c r="CB1019" s="75"/>
      <c r="CC1019" s="75"/>
      <c r="CD1019" s="75"/>
      <c r="CE1019" s="73"/>
      <c r="CF1019" s="75"/>
      <c r="CG1019" s="75"/>
      <c r="CH1019" s="75"/>
      <c r="CI1019" s="73"/>
      <c r="CJ1019" s="75"/>
      <c r="CK1019" s="75"/>
      <c r="CL1019" s="75"/>
      <c r="CM1019" s="73"/>
      <c r="CN1019" s="75"/>
      <c r="CO1019" s="75"/>
      <c r="CP1019" s="75"/>
      <c r="CQ1019" s="73"/>
      <c r="CR1019" s="75"/>
      <c r="CS1019" s="75"/>
      <c r="CT1019" s="75"/>
      <c r="CU1019" s="73"/>
      <c r="CV1019" s="75"/>
      <c r="CW1019" s="75"/>
      <c r="CX1019" s="75"/>
      <c r="CY1019" s="73"/>
      <c r="CZ1019" s="75"/>
      <c r="DA1019" s="75"/>
      <c r="DB1019" s="75"/>
      <c r="DC1019" s="73"/>
      <c r="DD1019" s="75"/>
      <c r="DE1019" s="75"/>
      <c r="DF1019" s="75"/>
      <c r="DG1019" s="73"/>
      <c r="DH1019" s="75"/>
      <c r="DI1019" s="75"/>
      <c r="DJ1019" s="75"/>
      <c r="DK1019" s="76"/>
    </row>
    <row r="1020" spans="63:115" x14ac:dyDescent="0.25">
      <c r="BK1020" s="75"/>
      <c r="BL1020" s="75"/>
      <c r="BM1020" s="75"/>
      <c r="BN1020" s="73"/>
      <c r="BO1020" s="75"/>
      <c r="BP1020" s="75"/>
      <c r="BQ1020" s="75"/>
      <c r="BR1020" s="75"/>
      <c r="BS1020" s="75"/>
      <c r="BT1020" s="75"/>
      <c r="BU1020" s="75"/>
      <c r="BV1020" s="75"/>
      <c r="BW1020" s="75"/>
      <c r="BX1020" s="75"/>
      <c r="BY1020" s="75"/>
      <c r="BZ1020" s="75"/>
      <c r="CA1020" s="73"/>
      <c r="CB1020" s="75"/>
      <c r="CC1020" s="75"/>
      <c r="CD1020" s="75"/>
      <c r="CE1020" s="73"/>
      <c r="CF1020" s="75"/>
      <c r="CG1020" s="75"/>
      <c r="CH1020" s="75"/>
      <c r="CI1020" s="73"/>
      <c r="CJ1020" s="75"/>
      <c r="CK1020" s="75"/>
      <c r="CL1020" s="75"/>
      <c r="CM1020" s="73"/>
      <c r="CN1020" s="75"/>
      <c r="CO1020" s="75"/>
      <c r="CP1020" s="75"/>
      <c r="CQ1020" s="73"/>
      <c r="CR1020" s="75"/>
      <c r="CS1020" s="75"/>
      <c r="CT1020" s="75"/>
      <c r="CU1020" s="73"/>
      <c r="CV1020" s="75"/>
      <c r="CW1020" s="75"/>
      <c r="CX1020" s="75"/>
      <c r="CY1020" s="73"/>
      <c r="CZ1020" s="75"/>
      <c r="DA1020" s="75"/>
      <c r="DB1020" s="75"/>
      <c r="DC1020" s="73"/>
      <c r="DD1020" s="75"/>
      <c r="DE1020" s="75"/>
      <c r="DF1020" s="75"/>
      <c r="DG1020" s="73"/>
      <c r="DH1020" s="75"/>
      <c r="DI1020" s="75"/>
      <c r="DJ1020" s="75"/>
      <c r="DK1020" s="76"/>
    </row>
    <row r="1021" spans="63:115" x14ac:dyDescent="0.25">
      <c r="BK1021" s="75"/>
      <c r="BL1021" s="75"/>
      <c r="BM1021" s="75"/>
      <c r="BN1021" s="73"/>
      <c r="BO1021" s="75"/>
      <c r="BP1021" s="75"/>
      <c r="BQ1021" s="75"/>
      <c r="BR1021" s="75"/>
      <c r="BS1021" s="75"/>
      <c r="BT1021" s="75"/>
      <c r="BU1021" s="75"/>
      <c r="BV1021" s="75"/>
      <c r="BW1021" s="75"/>
      <c r="BX1021" s="75"/>
      <c r="BY1021" s="75"/>
      <c r="BZ1021" s="75"/>
      <c r="CA1021" s="73"/>
      <c r="CB1021" s="75"/>
      <c r="CC1021" s="75"/>
      <c r="CD1021" s="75"/>
      <c r="CE1021" s="73"/>
      <c r="CF1021" s="75"/>
      <c r="CG1021" s="75"/>
      <c r="CH1021" s="75"/>
      <c r="CI1021" s="73"/>
      <c r="CJ1021" s="75"/>
      <c r="CK1021" s="75"/>
      <c r="CL1021" s="75"/>
      <c r="CM1021" s="73"/>
      <c r="CN1021" s="75"/>
      <c r="CO1021" s="75"/>
      <c r="CP1021" s="75"/>
      <c r="CQ1021" s="73"/>
      <c r="CR1021" s="75"/>
      <c r="CS1021" s="75"/>
      <c r="CT1021" s="75"/>
      <c r="CU1021" s="73"/>
      <c r="CV1021" s="75"/>
      <c r="CW1021" s="75"/>
      <c r="CX1021" s="75"/>
      <c r="CY1021" s="73"/>
      <c r="CZ1021" s="75"/>
      <c r="DA1021" s="75"/>
      <c r="DB1021" s="75"/>
      <c r="DC1021" s="73"/>
      <c r="DD1021" s="75"/>
      <c r="DE1021" s="75"/>
      <c r="DF1021" s="75"/>
      <c r="DG1021" s="73"/>
      <c r="DH1021" s="75"/>
      <c r="DI1021" s="75"/>
      <c r="DJ1021" s="75"/>
      <c r="DK1021" s="76"/>
    </row>
    <row r="1022" spans="63:115" x14ac:dyDescent="0.25">
      <c r="BK1022" s="75"/>
      <c r="BL1022" s="75"/>
      <c r="BM1022" s="75"/>
      <c r="BN1022" s="73"/>
      <c r="BO1022" s="75"/>
      <c r="BP1022" s="75"/>
      <c r="BQ1022" s="75"/>
      <c r="BR1022" s="75"/>
      <c r="BS1022" s="75"/>
      <c r="BT1022" s="75"/>
      <c r="BU1022" s="75"/>
      <c r="BV1022" s="75"/>
      <c r="BW1022" s="75"/>
      <c r="BX1022" s="75"/>
      <c r="BY1022" s="75"/>
      <c r="BZ1022" s="75"/>
      <c r="CA1022" s="73"/>
      <c r="CB1022" s="75"/>
      <c r="CC1022" s="75"/>
      <c r="CD1022" s="75"/>
      <c r="CE1022" s="73"/>
      <c r="CF1022" s="75"/>
      <c r="CG1022" s="75"/>
      <c r="CH1022" s="75"/>
      <c r="CI1022" s="73"/>
      <c r="CJ1022" s="75"/>
      <c r="CK1022" s="75"/>
      <c r="CL1022" s="75"/>
      <c r="CM1022" s="73"/>
      <c r="CN1022" s="75"/>
      <c r="CO1022" s="75"/>
      <c r="CP1022" s="75"/>
      <c r="CQ1022" s="73"/>
      <c r="CR1022" s="75"/>
      <c r="CS1022" s="75"/>
      <c r="CT1022" s="75"/>
      <c r="CU1022" s="73"/>
      <c r="CV1022" s="75"/>
      <c r="CW1022" s="75"/>
      <c r="CX1022" s="75"/>
      <c r="CY1022" s="73"/>
      <c r="CZ1022" s="75"/>
      <c r="DA1022" s="75"/>
      <c r="DB1022" s="75"/>
      <c r="DC1022" s="73"/>
      <c r="DD1022" s="75"/>
      <c r="DE1022" s="75"/>
      <c r="DF1022" s="75"/>
      <c r="DG1022" s="73"/>
      <c r="DH1022" s="75"/>
      <c r="DI1022" s="75"/>
      <c r="DJ1022" s="75"/>
      <c r="DK1022" s="76"/>
    </row>
    <row r="1023" spans="63:115" x14ac:dyDescent="0.25">
      <c r="BK1023" s="75"/>
      <c r="BL1023" s="75"/>
      <c r="BM1023" s="75"/>
      <c r="BN1023" s="73"/>
      <c r="BO1023" s="75"/>
      <c r="BP1023" s="75"/>
      <c r="BQ1023" s="75"/>
      <c r="BR1023" s="75"/>
      <c r="BS1023" s="75"/>
      <c r="BT1023" s="75"/>
      <c r="BU1023" s="75"/>
      <c r="BV1023" s="75"/>
      <c r="BW1023" s="75"/>
      <c r="BX1023" s="75"/>
      <c r="BY1023" s="75"/>
      <c r="BZ1023" s="75"/>
      <c r="CA1023" s="73"/>
      <c r="CB1023" s="75"/>
      <c r="CC1023" s="75"/>
      <c r="CD1023" s="75"/>
      <c r="CE1023" s="73"/>
      <c r="CF1023" s="75"/>
      <c r="CG1023" s="75"/>
      <c r="CH1023" s="75"/>
      <c r="CI1023" s="73"/>
      <c r="CJ1023" s="75"/>
      <c r="CK1023" s="75"/>
      <c r="CL1023" s="75"/>
      <c r="CM1023" s="73"/>
      <c r="CN1023" s="75"/>
      <c r="CO1023" s="75"/>
      <c r="CP1023" s="75"/>
      <c r="CQ1023" s="73"/>
      <c r="CR1023" s="75"/>
      <c r="CS1023" s="75"/>
      <c r="CT1023" s="75"/>
      <c r="CU1023" s="73"/>
      <c r="CV1023" s="75"/>
      <c r="CW1023" s="75"/>
      <c r="CX1023" s="75"/>
      <c r="CY1023" s="73"/>
      <c r="CZ1023" s="75"/>
      <c r="DA1023" s="75"/>
      <c r="DB1023" s="75"/>
      <c r="DC1023" s="73"/>
      <c r="DD1023" s="75"/>
      <c r="DE1023" s="75"/>
      <c r="DF1023" s="75"/>
      <c r="DG1023" s="73"/>
      <c r="DH1023" s="75"/>
      <c r="DI1023" s="75"/>
      <c r="DJ1023" s="75"/>
      <c r="DK1023" s="76"/>
    </row>
    <row r="1024" spans="63:115" x14ac:dyDescent="0.25">
      <c r="BK1024" s="75"/>
      <c r="BL1024" s="75"/>
      <c r="BM1024" s="75"/>
      <c r="BN1024" s="73"/>
      <c r="BO1024" s="75"/>
      <c r="BP1024" s="75"/>
      <c r="BQ1024" s="75"/>
      <c r="BR1024" s="75"/>
      <c r="BS1024" s="75"/>
      <c r="BT1024" s="75"/>
      <c r="BU1024" s="75"/>
      <c r="BV1024" s="75"/>
      <c r="BW1024" s="75"/>
      <c r="BX1024" s="75"/>
      <c r="BY1024" s="75"/>
      <c r="BZ1024" s="75"/>
      <c r="CA1024" s="73"/>
      <c r="CB1024" s="75"/>
      <c r="CC1024" s="75"/>
      <c r="CD1024" s="75"/>
      <c r="CE1024" s="73"/>
      <c r="CF1024" s="75"/>
      <c r="CG1024" s="75"/>
      <c r="CH1024" s="75"/>
      <c r="CI1024" s="73"/>
      <c r="CJ1024" s="75"/>
      <c r="CK1024" s="75"/>
      <c r="CL1024" s="75"/>
      <c r="CM1024" s="73"/>
      <c r="CN1024" s="75"/>
      <c r="CO1024" s="75"/>
      <c r="CP1024" s="75"/>
      <c r="CQ1024" s="73"/>
      <c r="CR1024" s="75"/>
      <c r="CS1024" s="75"/>
      <c r="CT1024" s="75"/>
      <c r="CU1024" s="73"/>
      <c r="CV1024" s="75"/>
      <c r="CW1024" s="75"/>
      <c r="CX1024" s="75"/>
      <c r="CY1024" s="73"/>
      <c r="CZ1024" s="75"/>
      <c r="DA1024" s="75"/>
      <c r="DB1024" s="75"/>
      <c r="DC1024" s="73"/>
      <c r="DD1024" s="75"/>
      <c r="DE1024" s="75"/>
      <c r="DF1024" s="75"/>
      <c r="DG1024" s="73"/>
      <c r="DH1024" s="75"/>
      <c r="DI1024" s="75"/>
      <c r="DJ1024" s="75"/>
      <c r="DK1024" s="76"/>
    </row>
    <row r="1025" spans="63:115" x14ac:dyDescent="0.25">
      <c r="BK1025" s="75"/>
      <c r="BL1025" s="75"/>
      <c r="BM1025" s="75"/>
      <c r="BN1025" s="73"/>
      <c r="BO1025" s="75"/>
      <c r="BP1025" s="75"/>
      <c r="BQ1025" s="75"/>
      <c r="BR1025" s="75"/>
      <c r="BS1025" s="75"/>
      <c r="BT1025" s="75"/>
      <c r="BU1025" s="75"/>
      <c r="BV1025" s="75"/>
      <c r="BW1025" s="75"/>
      <c r="BX1025" s="75"/>
      <c r="BY1025" s="75"/>
      <c r="BZ1025" s="75"/>
      <c r="CA1025" s="73"/>
      <c r="CB1025" s="75"/>
      <c r="CC1025" s="75"/>
      <c r="CD1025" s="75"/>
      <c r="CE1025" s="73"/>
      <c r="CF1025" s="75"/>
      <c r="CG1025" s="75"/>
      <c r="CH1025" s="75"/>
      <c r="CI1025" s="73"/>
      <c r="CJ1025" s="75"/>
      <c r="CK1025" s="75"/>
      <c r="CL1025" s="75"/>
      <c r="CM1025" s="73"/>
      <c r="CN1025" s="75"/>
      <c r="CO1025" s="75"/>
      <c r="CP1025" s="75"/>
      <c r="CQ1025" s="73"/>
      <c r="CR1025" s="75"/>
      <c r="CS1025" s="75"/>
      <c r="CT1025" s="75"/>
      <c r="CU1025" s="73"/>
      <c r="CV1025" s="75"/>
      <c r="CW1025" s="75"/>
      <c r="CX1025" s="75"/>
      <c r="CY1025" s="73"/>
      <c r="CZ1025" s="75"/>
      <c r="DA1025" s="75"/>
      <c r="DB1025" s="75"/>
      <c r="DC1025" s="73"/>
      <c r="DD1025" s="75"/>
      <c r="DE1025" s="75"/>
      <c r="DF1025" s="75"/>
      <c r="DG1025" s="73"/>
      <c r="DH1025" s="75"/>
      <c r="DI1025" s="75"/>
      <c r="DJ1025" s="75"/>
      <c r="DK1025" s="76"/>
    </row>
    <row r="1026" spans="63:115" x14ac:dyDescent="0.25">
      <c r="BK1026" s="75"/>
      <c r="BL1026" s="75"/>
      <c r="BM1026" s="75"/>
      <c r="BN1026" s="73"/>
      <c r="BO1026" s="75"/>
      <c r="BP1026" s="75"/>
      <c r="BQ1026" s="75"/>
      <c r="BR1026" s="75"/>
      <c r="BS1026" s="75"/>
      <c r="BT1026" s="75"/>
      <c r="BU1026" s="75"/>
      <c r="BV1026" s="75"/>
      <c r="BW1026" s="75"/>
      <c r="BX1026" s="75"/>
      <c r="BY1026" s="75"/>
      <c r="BZ1026" s="75"/>
      <c r="CA1026" s="73"/>
      <c r="CB1026" s="75"/>
      <c r="CC1026" s="75"/>
      <c r="CD1026" s="75"/>
      <c r="CE1026" s="73"/>
      <c r="CF1026" s="75"/>
      <c r="CG1026" s="75"/>
      <c r="CH1026" s="75"/>
      <c r="CI1026" s="73"/>
      <c r="CJ1026" s="75"/>
      <c r="CK1026" s="75"/>
      <c r="CL1026" s="75"/>
      <c r="CM1026" s="73"/>
      <c r="CN1026" s="75"/>
      <c r="CO1026" s="75"/>
      <c r="CP1026" s="75"/>
      <c r="CQ1026" s="73"/>
      <c r="CR1026" s="75"/>
      <c r="CS1026" s="75"/>
      <c r="CT1026" s="75"/>
      <c r="CU1026" s="73"/>
      <c r="CV1026" s="75"/>
      <c r="CW1026" s="75"/>
      <c r="CX1026" s="75"/>
      <c r="CY1026" s="73"/>
      <c r="CZ1026" s="75"/>
      <c r="DA1026" s="75"/>
      <c r="DB1026" s="75"/>
      <c r="DC1026" s="73"/>
      <c r="DD1026" s="75"/>
      <c r="DE1026" s="75"/>
      <c r="DF1026" s="75"/>
      <c r="DG1026" s="73"/>
      <c r="DH1026" s="75"/>
      <c r="DI1026" s="75"/>
      <c r="DJ1026" s="75"/>
      <c r="DK1026" s="76"/>
    </row>
    <row r="1027" spans="63:115" x14ac:dyDescent="0.25">
      <c r="BK1027" s="75"/>
      <c r="BL1027" s="75"/>
      <c r="BM1027" s="75"/>
      <c r="BN1027" s="73"/>
      <c r="BO1027" s="75"/>
      <c r="BP1027" s="75"/>
      <c r="BQ1027" s="75"/>
      <c r="BR1027" s="75"/>
      <c r="BS1027" s="75"/>
      <c r="BT1027" s="75"/>
      <c r="BU1027" s="75"/>
      <c r="BV1027" s="75"/>
      <c r="BW1027" s="75"/>
      <c r="BX1027" s="75"/>
      <c r="BY1027" s="75"/>
      <c r="BZ1027" s="75"/>
      <c r="CA1027" s="73"/>
      <c r="CB1027" s="75"/>
      <c r="CC1027" s="75"/>
      <c r="CD1027" s="75"/>
      <c r="CE1027" s="73"/>
      <c r="CF1027" s="75"/>
      <c r="CG1027" s="75"/>
      <c r="CH1027" s="75"/>
      <c r="CI1027" s="73"/>
      <c r="CJ1027" s="75"/>
      <c r="CK1027" s="75"/>
      <c r="CL1027" s="75"/>
      <c r="CM1027" s="73"/>
      <c r="CN1027" s="75"/>
      <c r="CO1027" s="75"/>
      <c r="CP1027" s="75"/>
      <c r="CQ1027" s="73"/>
      <c r="CR1027" s="75"/>
      <c r="CS1027" s="75"/>
      <c r="CT1027" s="75"/>
      <c r="CU1027" s="73"/>
      <c r="CV1027" s="75"/>
      <c r="CW1027" s="75"/>
      <c r="CX1027" s="75"/>
      <c r="CY1027" s="73"/>
      <c r="CZ1027" s="75"/>
      <c r="DA1027" s="75"/>
      <c r="DB1027" s="75"/>
      <c r="DC1027" s="73"/>
      <c r="DD1027" s="75"/>
      <c r="DE1027" s="75"/>
      <c r="DF1027" s="75"/>
      <c r="DG1027" s="73"/>
      <c r="DH1027" s="75"/>
      <c r="DI1027" s="75"/>
      <c r="DJ1027" s="75"/>
      <c r="DK1027" s="76"/>
    </row>
    <row r="1028" spans="63:115" x14ac:dyDescent="0.25">
      <c r="BK1028" s="75"/>
      <c r="BL1028" s="75"/>
      <c r="BM1028" s="75"/>
      <c r="BN1028" s="73"/>
      <c r="BO1028" s="75"/>
      <c r="BP1028" s="75"/>
      <c r="BQ1028" s="75"/>
      <c r="BR1028" s="75"/>
      <c r="BS1028" s="75"/>
      <c r="BT1028" s="75"/>
      <c r="BU1028" s="75"/>
      <c r="BV1028" s="75"/>
      <c r="BW1028" s="75"/>
      <c r="BX1028" s="75"/>
      <c r="BY1028" s="75"/>
      <c r="BZ1028" s="75"/>
      <c r="CA1028" s="73"/>
      <c r="CB1028" s="75"/>
      <c r="CC1028" s="75"/>
      <c r="CD1028" s="75"/>
      <c r="CE1028" s="73"/>
      <c r="CF1028" s="75"/>
      <c r="CG1028" s="75"/>
      <c r="CH1028" s="75"/>
      <c r="CI1028" s="73"/>
      <c r="CJ1028" s="75"/>
      <c r="CK1028" s="75"/>
      <c r="CL1028" s="75"/>
      <c r="CM1028" s="73"/>
      <c r="CN1028" s="75"/>
      <c r="CO1028" s="75"/>
      <c r="CP1028" s="75"/>
      <c r="CQ1028" s="73"/>
      <c r="CR1028" s="75"/>
      <c r="CS1028" s="75"/>
      <c r="CT1028" s="75"/>
      <c r="CU1028" s="73"/>
      <c r="CV1028" s="75"/>
      <c r="CW1028" s="75"/>
      <c r="CX1028" s="75"/>
      <c r="CY1028" s="73"/>
      <c r="CZ1028" s="75"/>
      <c r="DA1028" s="75"/>
      <c r="DB1028" s="75"/>
      <c r="DC1028" s="73"/>
      <c r="DD1028" s="75"/>
      <c r="DE1028" s="75"/>
      <c r="DF1028" s="75"/>
      <c r="DG1028" s="73"/>
      <c r="DH1028" s="75"/>
      <c r="DI1028" s="75"/>
      <c r="DJ1028" s="75"/>
      <c r="DK1028" s="76"/>
    </row>
    <row r="1029" spans="63:115" x14ac:dyDescent="0.25">
      <c r="BK1029" s="75"/>
      <c r="BL1029" s="75"/>
      <c r="BM1029" s="75"/>
      <c r="BN1029" s="73"/>
      <c r="BO1029" s="75"/>
      <c r="BP1029" s="75"/>
      <c r="BQ1029" s="75"/>
      <c r="BR1029" s="75"/>
      <c r="BS1029" s="75"/>
      <c r="BT1029" s="75"/>
      <c r="BU1029" s="75"/>
      <c r="BV1029" s="75"/>
      <c r="BW1029" s="75"/>
      <c r="BX1029" s="75"/>
      <c r="BY1029" s="75"/>
      <c r="BZ1029" s="75"/>
      <c r="CA1029" s="73"/>
      <c r="CB1029" s="75"/>
      <c r="CC1029" s="75"/>
      <c r="CD1029" s="75"/>
      <c r="CE1029" s="73"/>
      <c r="CF1029" s="75"/>
      <c r="CG1029" s="75"/>
      <c r="CH1029" s="75"/>
      <c r="CI1029" s="73"/>
      <c r="CJ1029" s="75"/>
      <c r="CK1029" s="75"/>
      <c r="CL1029" s="75"/>
      <c r="CM1029" s="73"/>
      <c r="CN1029" s="75"/>
      <c r="CO1029" s="75"/>
      <c r="CP1029" s="75"/>
      <c r="CQ1029" s="73"/>
      <c r="CR1029" s="75"/>
      <c r="CS1029" s="75"/>
      <c r="CT1029" s="75"/>
      <c r="CU1029" s="73"/>
      <c r="CV1029" s="75"/>
      <c r="CW1029" s="75"/>
      <c r="CX1029" s="75"/>
      <c r="CY1029" s="73"/>
      <c r="CZ1029" s="75"/>
      <c r="DA1029" s="75"/>
      <c r="DB1029" s="75"/>
      <c r="DC1029" s="73"/>
      <c r="DD1029" s="75"/>
      <c r="DE1029" s="75"/>
      <c r="DF1029" s="75"/>
      <c r="DG1029" s="73"/>
      <c r="DH1029" s="75"/>
      <c r="DI1029" s="75"/>
      <c r="DJ1029" s="75"/>
      <c r="DK1029" s="76"/>
    </row>
    <row r="1030" spans="63:115" x14ac:dyDescent="0.25">
      <c r="BK1030" s="75"/>
      <c r="BL1030" s="75"/>
      <c r="BM1030" s="75"/>
      <c r="BN1030" s="73"/>
      <c r="BO1030" s="75"/>
      <c r="BP1030" s="75"/>
      <c r="BQ1030" s="75"/>
      <c r="BR1030" s="75"/>
      <c r="BS1030" s="75"/>
      <c r="BT1030" s="75"/>
      <c r="BU1030" s="75"/>
      <c r="BV1030" s="75"/>
      <c r="BW1030" s="75"/>
      <c r="BX1030" s="75"/>
      <c r="BY1030" s="75"/>
      <c r="BZ1030" s="75"/>
      <c r="CA1030" s="73"/>
      <c r="CB1030" s="75"/>
      <c r="CC1030" s="75"/>
      <c r="CD1030" s="75"/>
      <c r="CE1030" s="73"/>
      <c r="CF1030" s="75"/>
      <c r="CG1030" s="75"/>
      <c r="CH1030" s="75"/>
      <c r="CI1030" s="73"/>
      <c r="CJ1030" s="75"/>
      <c r="CK1030" s="75"/>
      <c r="CL1030" s="75"/>
      <c r="CM1030" s="73"/>
      <c r="CN1030" s="75"/>
      <c r="CO1030" s="75"/>
      <c r="CP1030" s="75"/>
      <c r="CQ1030" s="73"/>
      <c r="CR1030" s="75"/>
      <c r="CS1030" s="75"/>
      <c r="CT1030" s="75"/>
      <c r="CU1030" s="73"/>
      <c r="CV1030" s="75"/>
      <c r="CW1030" s="75"/>
      <c r="CX1030" s="75"/>
      <c r="CY1030" s="73"/>
      <c r="CZ1030" s="75"/>
      <c r="DA1030" s="75"/>
      <c r="DB1030" s="75"/>
      <c r="DC1030" s="73"/>
      <c r="DD1030" s="75"/>
      <c r="DE1030" s="75"/>
      <c r="DF1030" s="75"/>
      <c r="DG1030" s="73"/>
      <c r="DH1030" s="75"/>
      <c r="DI1030" s="75"/>
      <c r="DJ1030" s="75"/>
      <c r="DK1030" s="76"/>
    </row>
    <row r="1031" spans="63:115" x14ac:dyDescent="0.25">
      <c r="BK1031" s="75"/>
      <c r="BL1031" s="75"/>
      <c r="BM1031" s="75"/>
      <c r="BN1031" s="73"/>
      <c r="BO1031" s="75"/>
      <c r="BP1031" s="75"/>
      <c r="BQ1031" s="75"/>
      <c r="BR1031" s="75"/>
      <c r="BS1031" s="75"/>
      <c r="BT1031" s="75"/>
      <c r="BU1031" s="75"/>
      <c r="BV1031" s="75"/>
      <c r="BW1031" s="75"/>
      <c r="BX1031" s="75"/>
      <c r="BY1031" s="75"/>
      <c r="BZ1031" s="75"/>
      <c r="CA1031" s="73"/>
      <c r="CB1031" s="75"/>
      <c r="CC1031" s="75"/>
      <c r="CD1031" s="75"/>
      <c r="CE1031" s="73"/>
      <c r="CF1031" s="75"/>
      <c r="CG1031" s="75"/>
      <c r="CH1031" s="75"/>
      <c r="CI1031" s="73"/>
      <c r="CJ1031" s="75"/>
      <c r="CK1031" s="75"/>
      <c r="CL1031" s="75"/>
      <c r="CM1031" s="73"/>
      <c r="CN1031" s="75"/>
      <c r="CO1031" s="75"/>
      <c r="CP1031" s="75"/>
      <c r="CQ1031" s="73"/>
      <c r="CR1031" s="75"/>
      <c r="CS1031" s="75"/>
      <c r="CT1031" s="75"/>
      <c r="CU1031" s="73"/>
      <c r="CV1031" s="75"/>
      <c r="CW1031" s="75"/>
      <c r="CX1031" s="75"/>
      <c r="CY1031" s="73"/>
      <c r="CZ1031" s="75"/>
      <c r="DA1031" s="75"/>
      <c r="DB1031" s="75"/>
      <c r="DC1031" s="73"/>
      <c r="DD1031" s="75"/>
      <c r="DE1031" s="75"/>
      <c r="DF1031" s="75"/>
      <c r="DG1031" s="73"/>
      <c r="DH1031" s="75"/>
      <c r="DI1031" s="75"/>
      <c r="DJ1031" s="75"/>
      <c r="DK1031" s="76"/>
    </row>
    <row r="1032" spans="63:115" x14ac:dyDescent="0.25">
      <c r="BK1032" s="75"/>
      <c r="BL1032" s="75"/>
      <c r="BM1032" s="75"/>
      <c r="BN1032" s="73"/>
      <c r="BO1032" s="75"/>
      <c r="BP1032" s="75"/>
      <c r="BQ1032" s="75"/>
      <c r="BR1032" s="75"/>
      <c r="BS1032" s="75"/>
      <c r="BT1032" s="75"/>
      <c r="BU1032" s="75"/>
      <c r="BV1032" s="75"/>
      <c r="BW1032" s="75"/>
      <c r="BX1032" s="75"/>
      <c r="BY1032" s="75"/>
      <c r="BZ1032" s="75"/>
      <c r="CA1032" s="73"/>
      <c r="CB1032" s="75"/>
      <c r="CC1032" s="75"/>
      <c r="CD1032" s="75"/>
      <c r="CE1032" s="73"/>
      <c r="CF1032" s="75"/>
      <c r="CG1032" s="75"/>
      <c r="CH1032" s="75"/>
      <c r="CI1032" s="73"/>
      <c r="CJ1032" s="75"/>
      <c r="CK1032" s="75"/>
      <c r="CL1032" s="75"/>
      <c r="CM1032" s="73"/>
      <c r="CN1032" s="75"/>
      <c r="CO1032" s="75"/>
      <c r="CP1032" s="75"/>
      <c r="CQ1032" s="73"/>
      <c r="CR1032" s="75"/>
      <c r="CS1032" s="75"/>
      <c r="CT1032" s="75"/>
      <c r="CU1032" s="73"/>
      <c r="CV1032" s="75"/>
      <c r="CW1032" s="75"/>
      <c r="CX1032" s="75"/>
      <c r="CY1032" s="73"/>
      <c r="CZ1032" s="75"/>
      <c r="DA1032" s="75"/>
      <c r="DB1032" s="75"/>
      <c r="DC1032" s="73"/>
      <c r="DD1032" s="75"/>
      <c r="DE1032" s="75"/>
      <c r="DF1032" s="75"/>
      <c r="DG1032" s="73"/>
      <c r="DH1032" s="75"/>
      <c r="DI1032" s="75"/>
      <c r="DJ1032" s="75"/>
      <c r="DK1032" s="76"/>
    </row>
    <row r="1033" spans="63:115" x14ac:dyDescent="0.25">
      <c r="BK1033" s="75"/>
      <c r="BL1033" s="75"/>
      <c r="BM1033" s="75"/>
      <c r="BN1033" s="73"/>
      <c r="BO1033" s="75"/>
      <c r="BP1033" s="75"/>
      <c r="BQ1033" s="75"/>
      <c r="BR1033" s="75"/>
      <c r="BS1033" s="75"/>
      <c r="BT1033" s="75"/>
      <c r="BU1033" s="75"/>
      <c r="BV1033" s="75"/>
      <c r="BW1033" s="75"/>
      <c r="BX1033" s="75"/>
      <c r="BY1033" s="75"/>
      <c r="BZ1033" s="75"/>
      <c r="CA1033" s="73"/>
      <c r="CB1033" s="75"/>
      <c r="CC1033" s="75"/>
      <c r="CD1033" s="75"/>
      <c r="CE1033" s="73"/>
      <c r="CF1033" s="75"/>
      <c r="CG1033" s="75"/>
      <c r="CH1033" s="75"/>
      <c r="CI1033" s="73"/>
      <c r="CJ1033" s="75"/>
      <c r="CK1033" s="75"/>
      <c r="CL1033" s="75"/>
      <c r="CM1033" s="73"/>
      <c r="CN1033" s="75"/>
      <c r="CO1033" s="75"/>
      <c r="CP1033" s="75"/>
      <c r="CQ1033" s="73"/>
      <c r="CR1033" s="75"/>
      <c r="CS1033" s="75"/>
      <c r="CT1033" s="75"/>
      <c r="CU1033" s="73"/>
      <c r="CV1033" s="75"/>
      <c r="CW1033" s="75"/>
      <c r="CX1033" s="75"/>
      <c r="CY1033" s="73"/>
      <c r="CZ1033" s="75"/>
      <c r="DA1033" s="75"/>
      <c r="DB1033" s="75"/>
      <c r="DC1033" s="73"/>
      <c r="DD1033" s="75"/>
      <c r="DE1033" s="75"/>
      <c r="DF1033" s="75"/>
      <c r="DG1033" s="73"/>
      <c r="DH1033" s="75"/>
      <c r="DI1033" s="75"/>
      <c r="DJ1033" s="75"/>
      <c r="DK1033" s="76"/>
    </row>
    <row r="1034" spans="63:115" x14ac:dyDescent="0.25">
      <c r="BK1034" s="75"/>
      <c r="BL1034" s="75"/>
      <c r="BM1034" s="75"/>
      <c r="BN1034" s="73"/>
      <c r="BO1034" s="75"/>
      <c r="BP1034" s="75"/>
      <c r="BQ1034" s="75"/>
      <c r="BR1034" s="75"/>
      <c r="BS1034" s="75"/>
      <c r="BT1034" s="75"/>
      <c r="BU1034" s="75"/>
      <c r="BV1034" s="75"/>
      <c r="BW1034" s="75"/>
      <c r="BX1034" s="75"/>
      <c r="BY1034" s="75"/>
      <c r="BZ1034" s="75"/>
      <c r="CA1034" s="73"/>
      <c r="CB1034" s="75"/>
      <c r="CC1034" s="75"/>
      <c r="CD1034" s="75"/>
      <c r="CE1034" s="73"/>
      <c r="CF1034" s="75"/>
      <c r="CG1034" s="75"/>
      <c r="CH1034" s="75"/>
      <c r="CI1034" s="73"/>
      <c r="CJ1034" s="75"/>
      <c r="CK1034" s="75"/>
      <c r="CL1034" s="75"/>
      <c r="CM1034" s="73"/>
      <c r="CN1034" s="75"/>
      <c r="CO1034" s="75"/>
      <c r="CP1034" s="75"/>
      <c r="CQ1034" s="73"/>
      <c r="CR1034" s="75"/>
      <c r="CS1034" s="75"/>
      <c r="CT1034" s="75"/>
      <c r="CU1034" s="73"/>
      <c r="CV1034" s="75"/>
      <c r="CW1034" s="75"/>
      <c r="CX1034" s="75"/>
      <c r="CY1034" s="73"/>
      <c r="CZ1034" s="75"/>
      <c r="DA1034" s="75"/>
      <c r="DB1034" s="75"/>
      <c r="DC1034" s="73"/>
      <c r="DD1034" s="75"/>
      <c r="DE1034" s="75"/>
      <c r="DF1034" s="75"/>
      <c r="DG1034" s="73"/>
      <c r="DH1034" s="75"/>
      <c r="DI1034" s="75"/>
      <c r="DJ1034" s="75"/>
      <c r="DK1034" s="76"/>
    </row>
    <row r="1035" spans="63:115" x14ac:dyDescent="0.25">
      <c r="BK1035" s="75"/>
      <c r="BL1035" s="75"/>
      <c r="BM1035" s="75"/>
      <c r="BN1035" s="73"/>
      <c r="BO1035" s="75"/>
      <c r="BP1035" s="75"/>
      <c r="BQ1035" s="75"/>
      <c r="BR1035" s="75"/>
      <c r="BS1035" s="75"/>
      <c r="BT1035" s="75"/>
      <c r="BU1035" s="75"/>
      <c r="BV1035" s="75"/>
      <c r="BW1035" s="75"/>
      <c r="BX1035" s="75"/>
      <c r="BY1035" s="75"/>
      <c r="BZ1035" s="75"/>
      <c r="CA1035" s="73"/>
      <c r="CB1035" s="75"/>
      <c r="CC1035" s="75"/>
      <c r="CD1035" s="75"/>
      <c r="CE1035" s="73"/>
      <c r="CF1035" s="75"/>
      <c r="CG1035" s="75"/>
      <c r="CH1035" s="75"/>
      <c r="CI1035" s="73"/>
      <c r="CJ1035" s="75"/>
      <c r="CK1035" s="75"/>
      <c r="CL1035" s="75"/>
      <c r="CM1035" s="73"/>
      <c r="CN1035" s="75"/>
      <c r="CO1035" s="75"/>
      <c r="CP1035" s="75"/>
      <c r="CQ1035" s="73"/>
      <c r="CR1035" s="75"/>
      <c r="CS1035" s="75"/>
      <c r="CT1035" s="75"/>
      <c r="CU1035" s="73"/>
      <c r="CV1035" s="75"/>
      <c r="CW1035" s="75"/>
      <c r="CX1035" s="75"/>
      <c r="CY1035" s="73"/>
      <c r="CZ1035" s="75"/>
      <c r="DA1035" s="75"/>
      <c r="DB1035" s="75"/>
      <c r="DC1035" s="73"/>
      <c r="DD1035" s="75"/>
      <c r="DE1035" s="75"/>
      <c r="DF1035" s="75"/>
      <c r="DG1035" s="73"/>
      <c r="DH1035" s="75"/>
      <c r="DI1035" s="75"/>
      <c r="DJ1035" s="75"/>
      <c r="DK1035" s="76"/>
    </row>
    <row r="1036" spans="63:115" x14ac:dyDescent="0.25">
      <c r="BK1036" s="75"/>
      <c r="BL1036" s="75"/>
      <c r="BM1036" s="75"/>
      <c r="BN1036" s="73"/>
      <c r="BO1036" s="75"/>
      <c r="BP1036" s="75"/>
      <c r="BQ1036" s="75"/>
      <c r="BR1036" s="75"/>
      <c r="BS1036" s="75"/>
      <c r="BT1036" s="75"/>
      <c r="BU1036" s="75"/>
      <c r="BV1036" s="75"/>
      <c r="BW1036" s="75"/>
      <c r="BX1036" s="75"/>
      <c r="BY1036" s="75"/>
      <c r="BZ1036" s="75"/>
      <c r="CA1036" s="73"/>
      <c r="CB1036" s="75"/>
      <c r="CC1036" s="75"/>
      <c r="CD1036" s="75"/>
      <c r="CE1036" s="73"/>
      <c r="CF1036" s="75"/>
      <c r="CG1036" s="75"/>
      <c r="CH1036" s="75"/>
      <c r="CI1036" s="73"/>
      <c r="CJ1036" s="75"/>
      <c r="CK1036" s="75"/>
      <c r="CL1036" s="75"/>
      <c r="CM1036" s="73"/>
      <c r="CN1036" s="75"/>
      <c r="CO1036" s="75"/>
      <c r="CP1036" s="75"/>
      <c r="CQ1036" s="73"/>
      <c r="CR1036" s="75"/>
      <c r="CS1036" s="75"/>
      <c r="CT1036" s="75"/>
      <c r="CU1036" s="73"/>
      <c r="CV1036" s="75"/>
      <c r="CW1036" s="75"/>
      <c r="CX1036" s="75"/>
      <c r="CY1036" s="73"/>
      <c r="CZ1036" s="75"/>
      <c r="DA1036" s="75"/>
      <c r="DB1036" s="75"/>
      <c r="DC1036" s="73"/>
      <c r="DD1036" s="75"/>
      <c r="DE1036" s="75"/>
      <c r="DF1036" s="75"/>
      <c r="DG1036" s="73"/>
      <c r="DH1036" s="75"/>
      <c r="DI1036" s="75"/>
      <c r="DJ1036" s="75"/>
      <c r="DK1036" s="76"/>
    </row>
    <row r="1037" spans="63:115" x14ac:dyDescent="0.25">
      <c r="BK1037" s="75"/>
      <c r="BL1037" s="75"/>
      <c r="BM1037" s="75"/>
      <c r="BN1037" s="73"/>
      <c r="BO1037" s="75"/>
      <c r="BP1037" s="75"/>
      <c r="BQ1037" s="75"/>
      <c r="BR1037" s="75"/>
      <c r="BS1037" s="75"/>
      <c r="BT1037" s="75"/>
      <c r="BU1037" s="75"/>
      <c r="BV1037" s="75"/>
      <c r="BW1037" s="75"/>
      <c r="BX1037" s="75"/>
      <c r="BY1037" s="75"/>
      <c r="BZ1037" s="75"/>
      <c r="CA1037" s="73"/>
      <c r="CB1037" s="75"/>
      <c r="CC1037" s="75"/>
      <c r="CD1037" s="75"/>
      <c r="CE1037" s="73"/>
      <c r="CF1037" s="75"/>
      <c r="CG1037" s="75"/>
      <c r="CH1037" s="75"/>
      <c r="CI1037" s="73"/>
      <c r="CJ1037" s="75"/>
      <c r="CK1037" s="75"/>
      <c r="CL1037" s="75"/>
      <c r="CM1037" s="73"/>
      <c r="CN1037" s="75"/>
      <c r="CO1037" s="75"/>
      <c r="CP1037" s="75"/>
      <c r="CQ1037" s="73"/>
      <c r="CR1037" s="75"/>
      <c r="CS1037" s="75"/>
      <c r="CT1037" s="75"/>
      <c r="CU1037" s="73"/>
      <c r="CV1037" s="75"/>
      <c r="CW1037" s="75"/>
      <c r="CX1037" s="75"/>
      <c r="CY1037" s="73"/>
      <c r="CZ1037" s="75"/>
      <c r="DA1037" s="75"/>
      <c r="DB1037" s="75"/>
      <c r="DC1037" s="73"/>
      <c r="DD1037" s="75"/>
      <c r="DE1037" s="75"/>
      <c r="DF1037" s="75"/>
      <c r="DG1037" s="73"/>
      <c r="DH1037" s="75"/>
      <c r="DI1037" s="75"/>
      <c r="DJ1037" s="75"/>
      <c r="DK1037" s="76"/>
    </row>
    <row r="1038" spans="63:115" x14ac:dyDescent="0.25">
      <c r="BK1038" s="75"/>
      <c r="BL1038" s="75"/>
      <c r="BM1038" s="75"/>
      <c r="BN1038" s="73"/>
      <c r="BO1038" s="75"/>
      <c r="BP1038" s="75"/>
      <c r="BQ1038" s="75"/>
      <c r="BR1038" s="75"/>
      <c r="BS1038" s="75"/>
      <c r="BT1038" s="75"/>
      <c r="BU1038" s="75"/>
      <c r="BV1038" s="75"/>
      <c r="BW1038" s="75"/>
      <c r="BX1038" s="75"/>
      <c r="BY1038" s="75"/>
      <c r="BZ1038" s="75"/>
      <c r="CA1038" s="73"/>
      <c r="CB1038" s="75"/>
      <c r="CC1038" s="75"/>
      <c r="CD1038" s="75"/>
      <c r="CE1038" s="73"/>
      <c r="CF1038" s="75"/>
      <c r="CG1038" s="75"/>
      <c r="CH1038" s="75"/>
      <c r="CI1038" s="73"/>
      <c r="CJ1038" s="75"/>
      <c r="CK1038" s="75"/>
      <c r="CL1038" s="75"/>
      <c r="CM1038" s="73"/>
      <c r="CN1038" s="75"/>
      <c r="CO1038" s="75"/>
      <c r="CP1038" s="75"/>
      <c r="CQ1038" s="73"/>
      <c r="CR1038" s="75"/>
      <c r="CS1038" s="75"/>
      <c r="CT1038" s="75"/>
      <c r="CU1038" s="73"/>
      <c r="CV1038" s="75"/>
      <c r="CW1038" s="75"/>
      <c r="CX1038" s="75"/>
      <c r="CY1038" s="73"/>
      <c r="CZ1038" s="75"/>
      <c r="DA1038" s="75"/>
      <c r="DB1038" s="75"/>
      <c r="DC1038" s="73"/>
      <c r="DD1038" s="75"/>
      <c r="DE1038" s="75"/>
      <c r="DF1038" s="75"/>
      <c r="DG1038" s="73"/>
      <c r="DH1038" s="75"/>
      <c r="DI1038" s="75"/>
      <c r="DJ1038" s="75"/>
      <c r="DK1038" s="76"/>
    </row>
    <row r="1039" spans="63:115" x14ac:dyDescent="0.25">
      <c r="BK1039" s="75"/>
      <c r="BL1039" s="75"/>
      <c r="BM1039" s="75"/>
      <c r="BN1039" s="73"/>
      <c r="BO1039" s="75"/>
      <c r="BP1039" s="75"/>
      <c r="BQ1039" s="75"/>
      <c r="BR1039" s="75"/>
      <c r="BS1039" s="75"/>
      <c r="BT1039" s="75"/>
      <c r="BU1039" s="75"/>
      <c r="BV1039" s="75"/>
      <c r="BW1039" s="75"/>
      <c r="BX1039" s="75"/>
      <c r="BY1039" s="75"/>
      <c r="BZ1039" s="75"/>
      <c r="CA1039" s="73"/>
      <c r="CB1039" s="75"/>
      <c r="CC1039" s="75"/>
      <c r="CD1039" s="75"/>
      <c r="CE1039" s="73"/>
      <c r="CF1039" s="75"/>
      <c r="CG1039" s="75"/>
      <c r="CH1039" s="75"/>
      <c r="CI1039" s="73"/>
      <c r="CJ1039" s="75"/>
      <c r="CK1039" s="75"/>
      <c r="CL1039" s="75"/>
      <c r="CM1039" s="73"/>
      <c r="CN1039" s="75"/>
      <c r="CO1039" s="75"/>
      <c r="CP1039" s="75"/>
      <c r="CQ1039" s="73"/>
      <c r="CR1039" s="75"/>
      <c r="CS1039" s="75"/>
      <c r="CT1039" s="75"/>
      <c r="CU1039" s="73"/>
      <c r="CV1039" s="75"/>
      <c r="CW1039" s="75"/>
      <c r="CX1039" s="75"/>
      <c r="CY1039" s="73"/>
      <c r="CZ1039" s="75"/>
      <c r="DA1039" s="75"/>
      <c r="DB1039" s="75"/>
      <c r="DC1039" s="73"/>
      <c r="DD1039" s="75"/>
      <c r="DE1039" s="75"/>
      <c r="DF1039" s="75"/>
      <c r="DG1039" s="73"/>
      <c r="DH1039" s="75"/>
      <c r="DI1039" s="75"/>
      <c r="DJ1039" s="75"/>
      <c r="DK1039" s="76"/>
    </row>
    <row r="1040" spans="63:115" x14ac:dyDescent="0.25">
      <c r="BK1040" s="75"/>
      <c r="BL1040" s="75"/>
      <c r="BM1040" s="75"/>
      <c r="BN1040" s="73"/>
      <c r="BO1040" s="75"/>
      <c r="BP1040" s="75"/>
      <c r="BQ1040" s="75"/>
      <c r="BR1040" s="75"/>
      <c r="BS1040" s="75"/>
      <c r="BT1040" s="75"/>
      <c r="BU1040" s="75"/>
      <c r="BV1040" s="75"/>
      <c r="BW1040" s="75"/>
      <c r="BX1040" s="75"/>
      <c r="BY1040" s="75"/>
      <c r="BZ1040" s="75"/>
      <c r="CA1040" s="73"/>
      <c r="CB1040" s="75"/>
      <c r="CC1040" s="75"/>
      <c r="CD1040" s="75"/>
      <c r="CE1040" s="73"/>
      <c r="CF1040" s="75"/>
      <c r="CG1040" s="75"/>
      <c r="CH1040" s="75"/>
      <c r="CI1040" s="73"/>
      <c r="CJ1040" s="75"/>
      <c r="CK1040" s="75"/>
      <c r="CL1040" s="75"/>
      <c r="CM1040" s="73"/>
      <c r="CN1040" s="75"/>
      <c r="CO1040" s="75"/>
      <c r="CP1040" s="75"/>
      <c r="CQ1040" s="73"/>
      <c r="CR1040" s="75"/>
      <c r="CS1040" s="75"/>
      <c r="CT1040" s="75"/>
      <c r="CU1040" s="73"/>
      <c r="CV1040" s="75"/>
      <c r="CW1040" s="75"/>
      <c r="CX1040" s="75"/>
      <c r="CY1040" s="73"/>
      <c r="CZ1040" s="75"/>
      <c r="DA1040" s="75"/>
      <c r="DB1040" s="75"/>
      <c r="DC1040" s="73"/>
      <c r="DD1040" s="75"/>
      <c r="DE1040" s="75"/>
      <c r="DF1040" s="75"/>
      <c r="DG1040" s="73"/>
      <c r="DH1040" s="75"/>
      <c r="DI1040" s="75"/>
      <c r="DJ1040" s="75"/>
      <c r="DK1040" s="76"/>
    </row>
    <row r="1041" spans="63:115" x14ac:dyDescent="0.25">
      <c r="BK1041" s="75"/>
      <c r="BL1041" s="75"/>
      <c r="BM1041" s="75"/>
      <c r="BN1041" s="73"/>
      <c r="BO1041" s="75"/>
      <c r="BP1041" s="75"/>
      <c r="BQ1041" s="75"/>
      <c r="BR1041" s="75"/>
      <c r="BS1041" s="75"/>
      <c r="BT1041" s="75"/>
      <c r="BU1041" s="75"/>
      <c r="BV1041" s="75"/>
      <c r="BW1041" s="75"/>
      <c r="BX1041" s="75"/>
      <c r="BY1041" s="75"/>
      <c r="BZ1041" s="75"/>
      <c r="CA1041" s="73"/>
      <c r="CB1041" s="75"/>
      <c r="CC1041" s="75"/>
      <c r="CD1041" s="75"/>
      <c r="CE1041" s="73"/>
      <c r="CF1041" s="75"/>
      <c r="CG1041" s="75"/>
      <c r="CH1041" s="75"/>
      <c r="CI1041" s="73"/>
      <c r="CJ1041" s="75"/>
      <c r="CK1041" s="75"/>
      <c r="CL1041" s="75"/>
      <c r="CM1041" s="73"/>
      <c r="CN1041" s="75"/>
      <c r="CO1041" s="75"/>
      <c r="CP1041" s="75"/>
      <c r="CQ1041" s="73"/>
      <c r="CR1041" s="75"/>
      <c r="CS1041" s="75"/>
      <c r="CT1041" s="75"/>
      <c r="CU1041" s="73"/>
      <c r="CV1041" s="75"/>
      <c r="CW1041" s="75"/>
      <c r="CX1041" s="75"/>
      <c r="CY1041" s="73"/>
      <c r="CZ1041" s="75"/>
      <c r="DA1041" s="75"/>
      <c r="DB1041" s="75"/>
      <c r="DC1041" s="73"/>
      <c r="DD1041" s="75"/>
      <c r="DE1041" s="75"/>
      <c r="DF1041" s="75"/>
      <c r="DG1041" s="73"/>
      <c r="DH1041" s="75"/>
      <c r="DI1041" s="75"/>
      <c r="DJ1041" s="75"/>
      <c r="DK1041" s="76"/>
    </row>
    <row r="1042" spans="63:115" x14ac:dyDescent="0.25">
      <c r="BK1042" s="75"/>
      <c r="BL1042" s="75"/>
      <c r="BM1042" s="75"/>
      <c r="BN1042" s="73"/>
      <c r="BO1042" s="75"/>
      <c r="BP1042" s="75"/>
      <c r="BQ1042" s="75"/>
      <c r="BR1042" s="75"/>
      <c r="BS1042" s="75"/>
      <c r="BT1042" s="75"/>
      <c r="BU1042" s="75"/>
      <c r="BV1042" s="75"/>
      <c r="BW1042" s="75"/>
      <c r="BX1042" s="75"/>
      <c r="BY1042" s="75"/>
      <c r="BZ1042" s="75"/>
      <c r="CA1042" s="73"/>
      <c r="CB1042" s="75"/>
      <c r="CC1042" s="75"/>
      <c r="CD1042" s="75"/>
      <c r="CE1042" s="73"/>
      <c r="CF1042" s="75"/>
      <c r="CG1042" s="75"/>
      <c r="CH1042" s="75"/>
      <c r="CI1042" s="73"/>
      <c r="CJ1042" s="75"/>
      <c r="CK1042" s="75"/>
      <c r="CL1042" s="75"/>
      <c r="CM1042" s="73"/>
      <c r="CN1042" s="75"/>
      <c r="CO1042" s="75"/>
      <c r="CP1042" s="75"/>
      <c r="CQ1042" s="73"/>
      <c r="CR1042" s="75"/>
      <c r="CS1042" s="75"/>
      <c r="CT1042" s="75"/>
      <c r="CU1042" s="73"/>
      <c r="CV1042" s="75"/>
      <c r="CW1042" s="75"/>
      <c r="CX1042" s="75"/>
      <c r="CY1042" s="73"/>
      <c r="CZ1042" s="75"/>
      <c r="DA1042" s="75"/>
      <c r="DB1042" s="75"/>
      <c r="DC1042" s="73"/>
      <c r="DD1042" s="75"/>
      <c r="DE1042" s="75"/>
      <c r="DF1042" s="75"/>
      <c r="DG1042" s="73"/>
      <c r="DH1042" s="75"/>
      <c r="DI1042" s="75"/>
      <c r="DJ1042" s="75"/>
      <c r="DK1042" s="76"/>
    </row>
    <row r="1043" spans="63:115" x14ac:dyDescent="0.25">
      <c r="BK1043" s="75"/>
      <c r="BL1043" s="75"/>
      <c r="BM1043" s="75"/>
      <c r="BN1043" s="73"/>
      <c r="BO1043" s="75"/>
      <c r="BP1043" s="75"/>
      <c r="BQ1043" s="75"/>
      <c r="BR1043" s="75"/>
      <c r="BS1043" s="75"/>
      <c r="BT1043" s="75"/>
      <c r="BU1043" s="75"/>
      <c r="BV1043" s="75"/>
      <c r="BW1043" s="75"/>
      <c r="BX1043" s="75"/>
      <c r="BY1043" s="75"/>
      <c r="BZ1043" s="75"/>
      <c r="CA1043" s="73"/>
      <c r="CB1043" s="75"/>
      <c r="CC1043" s="75"/>
      <c r="CD1043" s="75"/>
      <c r="CE1043" s="73"/>
      <c r="CF1043" s="75"/>
      <c r="CG1043" s="75"/>
      <c r="CH1043" s="75"/>
      <c r="CI1043" s="73"/>
      <c r="CJ1043" s="75"/>
      <c r="CK1043" s="75"/>
      <c r="CL1043" s="75"/>
      <c r="CM1043" s="73"/>
      <c r="CN1043" s="75"/>
      <c r="CO1043" s="75"/>
      <c r="CP1043" s="75"/>
      <c r="CQ1043" s="73"/>
      <c r="CR1043" s="75"/>
      <c r="CS1043" s="75"/>
      <c r="CT1043" s="75"/>
      <c r="CU1043" s="73"/>
      <c r="CV1043" s="75"/>
      <c r="CW1043" s="75"/>
      <c r="CX1043" s="75"/>
      <c r="CY1043" s="73"/>
      <c r="CZ1043" s="75"/>
      <c r="DA1043" s="75"/>
      <c r="DB1043" s="75"/>
      <c r="DC1043" s="73"/>
      <c r="DD1043" s="75"/>
      <c r="DE1043" s="75"/>
      <c r="DF1043" s="75"/>
      <c r="DG1043" s="73"/>
      <c r="DH1043" s="75"/>
      <c r="DI1043" s="75"/>
      <c r="DJ1043" s="75"/>
      <c r="DK1043" s="76"/>
    </row>
    <row r="1044" spans="63:115" x14ac:dyDescent="0.25">
      <c r="BK1044" s="75"/>
      <c r="BL1044" s="75"/>
      <c r="BM1044" s="75"/>
      <c r="BN1044" s="73"/>
      <c r="BO1044" s="75"/>
      <c r="BP1044" s="75"/>
      <c r="BQ1044" s="75"/>
      <c r="BR1044" s="75"/>
      <c r="BS1044" s="75"/>
      <c r="BT1044" s="75"/>
      <c r="BU1044" s="75"/>
      <c r="BV1044" s="75"/>
      <c r="BW1044" s="75"/>
      <c r="BX1044" s="75"/>
      <c r="BY1044" s="75"/>
      <c r="BZ1044" s="75"/>
      <c r="CA1044" s="73"/>
      <c r="CB1044" s="75"/>
      <c r="CC1044" s="75"/>
      <c r="CD1044" s="75"/>
      <c r="CE1044" s="73"/>
      <c r="CF1044" s="75"/>
      <c r="CG1044" s="75"/>
      <c r="CH1044" s="75"/>
      <c r="CI1044" s="73"/>
      <c r="CJ1044" s="75"/>
      <c r="CK1044" s="75"/>
      <c r="CL1044" s="75"/>
      <c r="CM1044" s="73"/>
      <c r="CN1044" s="75"/>
      <c r="CO1044" s="75"/>
      <c r="CP1044" s="75"/>
      <c r="CQ1044" s="73"/>
      <c r="CR1044" s="75"/>
      <c r="CS1044" s="75"/>
      <c r="CT1044" s="75"/>
      <c r="CU1044" s="73"/>
      <c r="CV1044" s="75"/>
      <c r="CW1044" s="75"/>
      <c r="CX1044" s="75"/>
      <c r="CY1044" s="73"/>
      <c r="CZ1044" s="75"/>
      <c r="DA1044" s="75"/>
      <c r="DB1044" s="75"/>
      <c r="DC1044" s="73"/>
      <c r="DD1044" s="75"/>
      <c r="DE1044" s="75"/>
      <c r="DF1044" s="75"/>
      <c r="DG1044" s="73"/>
      <c r="DH1044" s="75"/>
      <c r="DI1044" s="75"/>
      <c r="DJ1044" s="75"/>
      <c r="DK1044" s="76"/>
    </row>
    <row r="1045" spans="63:115" x14ac:dyDescent="0.25">
      <c r="BK1045" s="75"/>
      <c r="BL1045" s="75"/>
      <c r="BM1045" s="75"/>
      <c r="BN1045" s="73"/>
      <c r="BO1045" s="75"/>
      <c r="BP1045" s="75"/>
      <c r="BQ1045" s="75"/>
      <c r="BR1045" s="75"/>
      <c r="BS1045" s="75"/>
      <c r="BT1045" s="75"/>
      <c r="BU1045" s="75"/>
      <c r="BV1045" s="75"/>
      <c r="BW1045" s="75"/>
      <c r="BX1045" s="75"/>
      <c r="BY1045" s="75"/>
      <c r="BZ1045" s="75"/>
      <c r="CA1045" s="73"/>
      <c r="CB1045" s="75"/>
      <c r="CC1045" s="75"/>
      <c r="CD1045" s="75"/>
      <c r="CE1045" s="73"/>
      <c r="CF1045" s="75"/>
      <c r="CG1045" s="75"/>
      <c r="CH1045" s="75"/>
      <c r="CI1045" s="73"/>
      <c r="CJ1045" s="75"/>
      <c r="CK1045" s="75"/>
      <c r="CL1045" s="75"/>
      <c r="CM1045" s="73"/>
      <c r="CN1045" s="75"/>
      <c r="CO1045" s="75"/>
      <c r="CP1045" s="75"/>
      <c r="CQ1045" s="73"/>
      <c r="CR1045" s="75"/>
      <c r="CS1045" s="75"/>
      <c r="CT1045" s="75"/>
      <c r="CU1045" s="73"/>
      <c r="CV1045" s="75"/>
      <c r="CW1045" s="75"/>
      <c r="CX1045" s="75"/>
      <c r="CY1045" s="73"/>
      <c r="CZ1045" s="75"/>
      <c r="DA1045" s="75"/>
      <c r="DB1045" s="75"/>
      <c r="DC1045" s="73"/>
      <c r="DD1045" s="75"/>
      <c r="DE1045" s="75"/>
      <c r="DF1045" s="75"/>
      <c r="DG1045" s="73"/>
      <c r="DH1045" s="75"/>
      <c r="DI1045" s="75"/>
      <c r="DJ1045" s="75"/>
      <c r="DK1045" s="76"/>
    </row>
    <row r="1046" spans="63:115" x14ac:dyDescent="0.25">
      <c r="BK1046" s="75"/>
      <c r="BL1046" s="75"/>
      <c r="BM1046" s="75"/>
      <c r="BN1046" s="73"/>
      <c r="BO1046" s="75"/>
      <c r="BP1046" s="75"/>
      <c r="BQ1046" s="75"/>
      <c r="BR1046" s="75"/>
      <c r="BS1046" s="75"/>
      <c r="BT1046" s="75"/>
      <c r="BU1046" s="75"/>
      <c r="BV1046" s="75"/>
      <c r="BW1046" s="75"/>
      <c r="BX1046" s="75"/>
      <c r="BY1046" s="75"/>
      <c r="BZ1046" s="75"/>
      <c r="CA1046" s="73"/>
      <c r="CB1046" s="75"/>
      <c r="CC1046" s="75"/>
      <c r="CD1046" s="75"/>
      <c r="CE1046" s="73"/>
      <c r="CF1046" s="75"/>
      <c r="CG1046" s="75"/>
      <c r="CH1046" s="75"/>
      <c r="CI1046" s="73"/>
      <c r="CJ1046" s="75"/>
      <c r="CK1046" s="75"/>
      <c r="CL1046" s="75"/>
      <c r="CM1046" s="73"/>
      <c r="CN1046" s="75"/>
      <c r="CO1046" s="75"/>
      <c r="CP1046" s="75"/>
      <c r="CQ1046" s="73"/>
      <c r="CR1046" s="75"/>
      <c r="CS1046" s="75"/>
      <c r="CT1046" s="75"/>
      <c r="CU1046" s="73"/>
      <c r="CV1046" s="75"/>
      <c r="CW1046" s="75"/>
      <c r="CX1046" s="75"/>
      <c r="CY1046" s="73"/>
      <c r="CZ1046" s="75"/>
      <c r="DA1046" s="75"/>
      <c r="DB1046" s="75"/>
      <c r="DC1046" s="73"/>
      <c r="DD1046" s="75"/>
      <c r="DE1046" s="75"/>
      <c r="DF1046" s="75"/>
      <c r="DG1046" s="73"/>
      <c r="DH1046" s="75"/>
      <c r="DI1046" s="75"/>
      <c r="DJ1046" s="75"/>
      <c r="DK1046" s="76"/>
    </row>
    <row r="1047" spans="63:115" x14ac:dyDescent="0.25">
      <c r="BK1047" s="75"/>
      <c r="BL1047" s="75"/>
      <c r="BM1047" s="75"/>
      <c r="BN1047" s="73"/>
      <c r="BO1047" s="75"/>
      <c r="BP1047" s="75"/>
      <c r="BQ1047" s="75"/>
      <c r="BR1047" s="75"/>
      <c r="BS1047" s="75"/>
      <c r="BT1047" s="75"/>
      <c r="BU1047" s="75"/>
      <c r="BV1047" s="75"/>
      <c r="BW1047" s="75"/>
      <c r="BX1047" s="75"/>
      <c r="BY1047" s="75"/>
      <c r="BZ1047" s="75"/>
      <c r="CA1047" s="73"/>
      <c r="CB1047" s="75"/>
      <c r="CC1047" s="75"/>
      <c r="CD1047" s="75"/>
      <c r="CE1047" s="73"/>
      <c r="CF1047" s="75"/>
      <c r="CG1047" s="75"/>
      <c r="CH1047" s="75"/>
      <c r="CI1047" s="73"/>
      <c r="CJ1047" s="75"/>
      <c r="CK1047" s="75"/>
      <c r="CL1047" s="75"/>
      <c r="CM1047" s="73"/>
      <c r="CN1047" s="75"/>
      <c r="CO1047" s="75"/>
      <c r="CP1047" s="75"/>
      <c r="CQ1047" s="73"/>
      <c r="CR1047" s="75"/>
      <c r="CS1047" s="75"/>
      <c r="CT1047" s="75"/>
      <c r="CU1047" s="73"/>
      <c r="CV1047" s="75"/>
      <c r="CW1047" s="75"/>
      <c r="CX1047" s="75"/>
      <c r="CY1047" s="73"/>
      <c r="CZ1047" s="75"/>
      <c r="DA1047" s="75"/>
      <c r="DB1047" s="75"/>
      <c r="DC1047" s="73"/>
      <c r="DD1047" s="75"/>
      <c r="DE1047" s="75"/>
      <c r="DF1047" s="75"/>
      <c r="DG1047" s="73"/>
      <c r="DH1047" s="75"/>
      <c r="DI1047" s="75"/>
      <c r="DJ1047" s="75"/>
      <c r="DK1047" s="76"/>
    </row>
    <row r="1048" spans="63:115" x14ac:dyDescent="0.25">
      <c r="BK1048" s="75"/>
      <c r="BL1048" s="75"/>
      <c r="BM1048" s="75"/>
      <c r="BN1048" s="73"/>
      <c r="BO1048" s="75"/>
      <c r="BP1048" s="75"/>
      <c r="BQ1048" s="75"/>
      <c r="BR1048" s="75"/>
      <c r="BS1048" s="75"/>
      <c r="BT1048" s="75"/>
      <c r="BU1048" s="75"/>
      <c r="BV1048" s="75"/>
      <c r="BW1048" s="75"/>
      <c r="BX1048" s="75"/>
      <c r="BY1048" s="75"/>
      <c r="BZ1048" s="75"/>
      <c r="CA1048" s="73"/>
      <c r="CB1048" s="75"/>
      <c r="CC1048" s="75"/>
      <c r="CD1048" s="75"/>
      <c r="CE1048" s="73"/>
      <c r="CF1048" s="75"/>
      <c r="CG1048" s="75"/>
      <c r="CH1048" s="75"/>
      <c r="CI1048" s="73"/>
      <c r="CJ1048" s="75"/>
      <c r="CK1048" s="75"/>
      <c r="CL1048" s="75"/>
      <c r="CM1048" s="73"/>
      <c r="CN1048" s="75"/>
      <c r="CO1048" s="75"/>
      <c r="CP1048" s="75"/>
      <c r="CQ1048" s="73"/>
      <c r="CR1048" s="75"/>
      <c r="CS1048" s="75"/>
      <c r="CT1048" s="75"/>
      <c r="CU1048" s="73"/>
      <c r="CV1048" s="75"/>
      <c r="CW1048" s="75"/>
      <c r="CX1048" s="75"/>
      <c r="CY1048" s="73"/>
      <c r="CZ1048" s="75"/>
      <c r="DA1048" s="75"/>
      <c r="DB1048" s="75"/>
      <c r="DC1048" s="73"/>
      <c r="DD1048" s="75"/>
      <c r="DE1048" s="75"/>
      <c r="DF1048" s="75"/>
      <c r="DG1048" s="73"/>
      <c r="DH1048" s="75"/>
      <c r="DI1048" s="75"/>
      <c r="DJ1048" s="75"/>
      <c r="DK1048" s="76"/>
    </row>
    <row r="1049" spans="63:115" x14ac:dyDescent="0.25">
      <c r="BK1049" s="75"/>
      <c r="BL1049" s="75"/>
      <c r="BM1049" s="75"/>
      <c r="BN1049" s="73"/>
      <c r="BO1049" s="75"/>
      <c r="BP1049" s="75"/>
      <c r="BQ1049" s="75"/>
      <c r="BR1049" s="75"/>
      <c r="BS1049" s="75"/>
      <c r="BT1049" s="75"/>
      <c r="BU1049" s="75"/>
      <c r="BV1049" s="75"/>
      <c r="BW1049" s="75"/>
      <c r="BX1049" s="75"/>
      <c r="BY1049" s="75"/>
      <c r="BZ1049" s="75"/>
      <c r="CA1049" s="73"/>
      <c r="CB1049" s="75"/>
      <c r="CC1049" s="75"/>
      <c r="CD1049" s="75"/>
      <c r="CE1049" s="73"/>
      <c r="CF1049" s="75"/>
      <c r="CG1049" s="75"/>
      <c r="CH1049" s="75"/>
      <c r="CI1049" s="73"/>
      <c r="CJ1049" s="75"/>
      <c r="CK1049" s="75"/>
      <c r="CL1049" s="75"/>
      <c r="CM1049" s="73"/>
      <c r="CN1049" s="75"/>
      <c r="CO1049" s="75"/>
      <c r="CP1049" s="75"/>
      <c r="CQ1049" s="73"/>
      <c r="CR1049" s="75"/>
      <c r="CS1049" s="75"/>
      <c r="CT1049" s="75"/>
      <c r="CU1049" s="73"/>
      <c r="CV1049" s="75"/>
      <c r="CW1049" s="75"/>
      <c r="CX1049" s="75"/>
      <c r="CY1049" s="73"/>
      <c r="CZ1049" s="75"/>
      <c r="DA1049" s="75"/>
      <c r="DB1049" s="75"/>
      <c r="DC1049" s="73"/>
      <c r="DD1049" s="75"/>
      <c r="DE1049" s="75"/>
      <c r="DF1049" s="75"/>
      <c r="DG1049" s="73"/>
      <c r="DH1049" s="75"/>
      <c r="DI1049" s="75"/>
      <c r="DJ1049" s="75"/>
      <c r="DK1049" s="76"/>
    </row>
    <row r="1050" spans="63:115" x14ac:dyDescent="0.25">
      <c r="BK1050" s="75"/>
      <c r="BL1050" s="75"/>
      <c r="BM1050" s="75"/>
      <c r="BN1050" s="73"/>
      <c r="BO1050" s="75"/>
      <c r="BP1050" s="75"/>
      <c r="BQ1050" s="75"/>
      <c r="BR1050" s="75"/>
      <c r="BS1050" s="75"/>
      <c r="BT1050" s="75"/>
      <c r="BU1050" s="75"/>
      <c r="BV1050" s="75"/>
      <c r="BW1050" s="75"/>
      <c r="BX1050" s="75"/>
      <c r="BY1050" s="75"/>
      <c r="BZ1050" s="75"/>
      <c r="CA1050" s="73"/>
      <c r="CB1050" s="75"/>
      <c r="CC1050" s="75"/>
      <c r="CD1050" s="75"/>
      <c r="CE1050" s="73"/>
      <c r="CF1050" s="75"/>
      <c r="CG1050" s="75"/>
      <c r="CH1050" s="75"/>
      <c r="CI1050" s="73"/>
      <c r="CJ1050" s="75"/>
      <c r="CK1050" s="75"/>
      <c r="CL1050" s="75"/>
      <c r="CM1050" s="73"/>
      <c r="CN1050" s="75"/>
      <c r="CO1050" s="75"/>
      <c r="CP1050" s="75"/>
      <c r="CQ1050" s="73"/>
      <c r="CR1050" s="75"/>
      <c r="CS1050" s="75"/>
      <c r="CT1050" s="75"/>
      <c r="CU1050" s="73"/>
      <c r="CV1050" s="75"/>
      <c r="CW1050" s="75"/>
      <c r="CX1050" s="75"/>
      <c r="CY1050" s="73"/>
      <c r="CZ1050" s="75"/>
      <c r="DA1050" s="75"/>
      <c r="DB1050" s="75"/>
      <c r="DC1050" s="73"/>
      <c r="DD1050" s="75"/>
      <c r="DE1050" s="75"/>
      <c r="DF1050" s="75"/>
      <c r="DG1050" s="73"/>
      <c r="DH1050" s="75"/>
      <c r="DI1050" s="75"/>
      <c r="DJ1050" s="75"/>
      <c r="DK1050" s="76"/>
    </row>
    <row r="1051" spans="63:115" x14ac:dyDescent="0.25">
      <c r="BK1051" s="75"/>
      <c r="BL1051" s="75"/>
      <c r="BM1051" s="75"/>
      <c r="BN1051" s="73"/>
      <c r="BO1051" s="75"/>
      <c r="BP1051" s="75"/>
      <c r="BQ1051" s="75"/>
      <c r="BR1051" s="75"/>
      <c r="BS1051" s="75"/>
      <c r="BT1051" s="75"/>
      <c r="BU1051" s="75"/>
      <c r="BV1051" s="75"/>
      <c r="BW1051" s="75"/>
      <c r="BX1051" s="75"/>
      <c r="BY1051" s="75"/>
      <c r="BZ1051" s="75"/>
      <c r="CA1051" s="73"/>
      <c r="CB1051" s="75"/>
      <c r="CC1051" s="75"/>
      <c r="CD1051" s="75"/>
      <c r="CE1051" s="73"/>
      <c r="CF1051" s="75"/>
      <c r="CG1051" s="75"/>
      <c r="CH1051" s="75"/>
      <c r="CI1051" s="73"/>
      <c r="CJ1051" s="75"/>
      <c r="CK1051" s="75"/>
      <c r="CL1051" s="75"/>
      <c r="CM1051" s="73"/>
      <c r="CN1051" s="75"/>
      <c r="CO1051" s="75"/>
      <c r="CP1051" s="75"/>
      <c r="CQ1051" s="73"/>
      <c r="CR1051" s="75"/>
      <c r="CS1051" s="75"/>
      <c r="CT1051" s="75"/>
      <c r="CU1051" s="73"/>
      <c r="CV1051" s="75"/>
      <c r="CW1051" s="75"/>
      <c r="CX1051" s="75"/>
      <c r="CY1051" s="73"/>
      <c r="CZ1051" s="75"/>
      <c r="DA1051" s="75"/>
      <c r="DB1051" s="75"/>
      <c r="DC1051" s="73"/>
      <c r="DD1051" s="75"/>
      <c r="DE1051" s="75"/>
      <c r="DF1051" s="75"/>
      <c r="DG1051" s="73"/>
      <c r="DH1051" s="75"/>
      <c r="DI1051" s="75"/>
      <c r="DJ1051" s="75"/>
      <c r="DK1051" s="76"/>
    </row>
    <row r="1052" spans="63:115" x14ac:dyDescent="0.25">
      <c r="BK1052" s="75"/>
      <c r="BL1052" s="75"/>
      <c r="BM1052" s="75"/>
      <c r="BN1052" s="73"/>
      <c r="BO1052" s="75"/>
      <c r="BP1052" s="75"/>
      <c r="BQ1052" s="75"/>
      <c r="BR1052" s="75"/>
      <c r="BS1052" s="75"/>
      <c r="BT1052" s="75"/>
      <c r="BU1052" s="75"/>
      <c r="BV1052" s="75"/>
      <c r="BW1052" s="75"/>
      <c r="BX1052" s="75"/>
      <c r="BY1052" s="75"/>
      <c r="BZ1052" s="75"/>
      <c r="CA1052" s="73"/>
      <c r="CB1052" s="75"/>
      <c r="CC1052" s="75"/>
      <c r="CD1052" s="75"/>
      <c r="CE1052" s="73"/>
      <c r="CF1052" s="75"/>
      <c r="CG1052" s="75"/>
      <c r="CH1052" s="75"/>
      <c r="CI1052" s="73"/>
      <c r="CJ1052" s="75"/>
      <c r="CK1052" s="75"/>
      <c r="CL1052" s="75"/>
      <c r="CM1052" s="73"/>
      <c r="CN1052" s="75"/>
      <c r="CO1052" s="75"/>
      <c r="CP1052" s="75"/>
      <c r="CQ1052" s="73"/>
      <c r="CR1052" s="75"/>
      <c r="CS1052" s="75"/>
      <c r="CT1052" s="75"/>
      <c r="CU1052" s="73"/>
      <c r="CV1052" s="75"/>
      <c r="CW1052" s="75"/>
      <c r="CX1052" s="75"/>
      <c r="CY1052" s="73"/>
      <c r="CZ1052" s="75"/>
      <c r="DA1052" s="75"/>
      <c r="DB1052" s="75"/>
      <c r="DC1052" s="73"/>
      <c r="DD1052" s="75"/>
      <c r="DE1052" s="75"/>
      <c r="DF1052" s="75"/>
      <c r="DG1052" s="73"/>
      <c r="DH1052" s="75"/>
      <c r="DI1052" s="75"/>
      <c r="DJ1052" s="75"/>
      <c r="DK1052" s="76"/>
    </row>
    <row r="1053" spans="63:115" x14ac:dyDescent="0.25">
      <c r="BK1053" s="75"/>
      <c r="BL1053" s="75"/>
      <c r="BM1053" s="75"/>
      <c r="BN1053" s="73"/>
      <c r="BO1053" s="75"/>
      <c r="BP1053" s="75"/>
      <c r="BQ1053" s="75"/>
      <c r="BR1053" s="75"/>
      <c r="BS1053" s="75"/>
      <c r="BT1053" s="75"/>
      <c r="BU1053" s="75"/>
      <c r="BV1053" s="75"/>
      <c r="BW1053" s="75"/>
      <c r="BX1053" s="75"/>
      <c r="BY1053" s="75"/>
      <c r="BZ1053" s="75"/>
      <c r="CA1053" s="73"/>
      <c r="CB1053" s="75"/>
      <c r="CC1053" s="75"/>
      <c r="CD1053" s="75"/>
      <c r="CE1053" s="73"/>
      <c r="CF1053" s="75"/>
      <c r="CG1053" s="75"/>
      <c r="CH1053" s="75"/>
      <c r="CI1053" s="73"/>
      <c r="CJ1053" s="75"/>
      <c r="CK1053" s="75"/>
      <c r="CL1053" s="75"/>
      <c r="CM1053" s="73"/>
      <c r="CN1053" s="75"/>
      <c r="CO1053" s="75"/>
      <c r="CP1053" s="75"/>
      <c r="CQ1053" s="73"/>
      <c r="CR1053" s="75"/>
      <c r="CS1053" s="75"/>
      <c r="CT1053" s="75"/>
      <c r="CU1053" s="73"/>
      <c r="CV1053" s="75"/>
      <c r="CW1053" s="75"/>
      <c r="CX1053" s="75"/>
      <c r="CY1053" s="73"/>
      <c r="CZ1053" s="75"/>
      <c r="DA1053" s="75"/>
      <c r="DB1053" s="75"/>
      <c r="DC1053" s="73"/>
      <c r="DD1053" s="75"/>
      <c r="DE1053" s="75"/>
      <c r="DF1053" s="75"/>
      <c r="DG1053" s="73"/>
      <c r="DH1053" s="75"/>
      <c r="DI1053" s="75"/>
      <c r="DJ1053" s="75"/>
      <c r="DK1053" s="76"/>
    </row>
    <row r="1054" spans="63:115" x14ac:dyDescent="0.25">
      <c r="BK1054" s="75"/>
      <c r="BL1054" s="75"/>
      <c r="BM1054" s="75"/>
      <c r="BN1054" s="73"/>
      <c r="BO1054" s="75"/>
      <c r="BP1054" s="75"/>
      <c r="BQ1054" s="75"/>
      <c r="BR1054" s="75"/>
      <c r="BS1054" s="75"/>
      <c r="BT1054" s="75"/>
      <c r="BU1054" s="75"/>
      <c r="BV1054" s="75"/>
      <c r="BW1054" s="75"/>
      <c r="BX1054" s="75"/>
      <c r="BY1054" s="75"/>
      <c r="BZ1054" s="75"/>
      <c r="CA1054" s="73"/>
      <c r="CB1054" s="75"/>
      <c r="CC1054" s="75"/>
      <c r="CD1054" s="75"/>
      <c r="CE1054" s="73"/>
      <c r="CF1054" s="75"/>
      <c r="CG1054" s="75"/>
      <c r="CH1054" s="75"/>
      <c r="CI1054" s="73"/>
      <c r="CJ1054" s="75"/>
      <c r="CK1054" s="75"/>
      <c r="CL1054" s="75"/>
      <c r="CM1054" s="73"/>
      <c r="CN1054" s="75"/>
      <c r="CO1054" s="75"/>
      <c r="CP1054" s="75"/>
      <c r="CQ1054" s="73"/>
      <c r="CR1054" s="75"/>
      <c r="CS1054" s="75"/>
      <c r="CT1054" s="75"/>
      <c r="CU1054" s="73"/>
      <c r="CV1054" s="75"/>
      <c r="CW1054" s="75"/>
      <c r="CX1054" s="75"/>
      <c r="CY1054" s="73"/>
      <c r="CZ1054" s="75"/>
      <c r="DA1054" s="75"/>
      <c r="DB1054" s="75"/>
      <c r="DC1054" s="73"/>
      <c r="DD1054" s="75"/>
      <c r="DE1054" s="75"/>
      <c r="DF1054" s="75"/>
      <c r="DG1054" s="73"/>
      <c r="DH1054" s="75"/>
      <c r="DI1054" s="75"/>
      <c r="DJ1054" s="75"/>
      <c r="DK1054" s="76"/>
    </row>
    <row r="1055" spans="63:115" x14ac:dyDescent="0.25">
      <c r="BK1055" s="75"/>
      <c r="BL1055" s="75"/>
      <c r="BM1055" s="75"/>
      <c r="BN1055" s="73"/>
      <c r="BO1055" s="75"/>
      <c r="BP1055" s="75"/>
      <c r="BQ1055" s="75"/>
      <c r="BR1055" s="75"/>
      <c r="BS1055" s="75"/>
      <c r="BT1055" s="75"/>
      <c r="BU1055" s="75"/>
      <c r="BV1055" s="75"/>
      <c r="BW1055" s="75"/>
      <c r="BX1055" s="75"/>
      <c r="BY1055" s="75"/>
      <c r="BZ1055" s="75"/>
      <c r="CA1055" s="73"/>
      <c r="CB1055" s="75"/>
      <c r="CC1055" s="75"/>
      <c r="CD1055" s="75"/>
      <c r="CE1055" s="73"/>
      <c r="CF1055" s="75"/>
      <c r="CG1055" s="75"/>
      <c r="CH1055" s="75"/>
      <c r="CI1055" s="73"/>
      <c r="CJ1055" s="75"/>
      <c r="CK1055" s="75"/>
      <c r="CL1055" s="75"/>
      <c r="CM1055" s="73"/>
      <c r="CN1055" s="75"/>
      <c r="CO1055" s="75"/>
      <c r="CP1055" s="75"/>
      <c r="CQ1055" s="73"/>
      <c r="CR1055" s="75"/>
      <c r="CS1055" s="75"/>
      <c r="CT1055" s="75"/>
      <c r="CU1055" s="73"/>
      <c r="CV1055" s="75"/>
      <c r="CW1055" s="75"/>
      <c r="CX1055" s="75"/>
      <c r="CY1055" s="73"/>
      <c r="CZ1055" s="75"/>
      <c r="DA1055" s="75"/>
      <c r="DB1055" s="75"/>
      <c r="DC1055" s="73"/>
      <c r="DD1055" s="75"/>
      <c r="DE1055" s="75"/>
      <c r="DF1055" s="75"/>
      <c r="DG1055" s="73"/>
      <c r="DH1055" s="75"/>
      <c r="DI1055" s="75"/>
      <c r="DJ1055" s="75"/>
      <c r="DK1055" s="76"/>
    </row>
    <row r="1056" spans="63:115" x14ac:dyDescent="0.25">
      <c r="BK1056" s="75"/>
      <c r="BL1056" s="75"/>
      <c r="BM1056" s="75"/>
      <c r="BN1056" s="73"/>
      <c r="BO1056" s="75"/>
      <c r="BP1056" s="75"/>
      <c r="BQ1056" s="75"/>
      <c r="BR1056" s="75"/>
      <c r="BS1056" s="75"/>
      <c r="BT1056" s="75"/>
      <c r="BU1056" s="75"/>
      <c r="BV1056" s="75"/>
      <c r="BW1056" s="75"/>
      <c r="BX1056" s="75"/>
      <c r="BY1056" s="75"/>
      <c r="BZ1056" s="75"/>
      <c r="CA1056" s="73"/>
      <c r="CB1056" s="75"/>
      <c r="CC1056" s="75"/>
      <c r="CD1056" s="75"/>
      <c r="CE1056" s="73"/>
      <c r="CF1056" s="75"/>
      <c r="CG1056" s="75"/>
      <c r="CH1056" s="75"/>
      <c r="CI1056" s="73"/>
      <c r="CJ1056" s="75"/>
      <c r="CK1056" s="75"/>
      <c r="CL1056" s="75"/>
      <c r="CM1056" s="73"/>
      <c r="CN1056" s="75"/>
      <c r="CO1056" s="75"/>
      <c r="CP1056" s="75"/>
      <c r="CQ1056" s="73"/>
      <c r="CR1056" s="75"/>
      <c r="CS1056" s="75"/>
      <c r="CT1056" s="75"/>
      <c r="CU1056" s="73"/>
      <c r="CV1056" s="75"/>
      <c r="CW1056" s="75"/>
      <c r="CX1056" s="75"/>
      <c r="CY1056" s="73"/>
      <c r="CZ1056" s="75"/>
      <c r="DA1056" s="75"/>
      <c r="DB1056" s="75"/>
      <c r="DC1056" s="73"/>
      <c r="DD1056" s="75"/>
      <c r="DE1056" s="75"/>
      <c r="DF1056" s="75"/>
      <c r="DG1056" s="73"/>
      <c r="DH1056" s="75"/>
      <c r="DI1056" s="75"/>
      <c r="DJ1056" s="75"/>
      <c r="DK1056" s="76"/>
    </row>
    <row r="1057" spans="63:115" x14ac:dyDescent="0.25">
      <c r="BK1057" s="75"/>
      <c r="BL1057" s="75"/>
      <c r="BM1057" s="75"/>
      <c r="BN1057" s="73"/>
      <c r="BO1057" s="75"/>
      <c r="BP1057" s="75"/>
      <c r="BQ1057" s="75"/>
      <c r="BR1057" s="75"/>
      <c r="BS1057" s="75"/>
      <c r="BT1057" s="75"/>
      <c r="BU1057" s="75"/>
      <c r="BV1057" s="75"/>
      <c r="BW1057" s="75"/>
      <c r="BX1057" s="75"/>
      <c r="BY1057" s="75"/>
      <c r="BZ1057" s="75"/>
      <c r="CA1057" s="73"/>
      <c r="CB1057" s="75"/>
      <c r="CC1057" s="75"/>
      <c r="CD1057" s="75"/>
      <c r="CE1057" s="73"/>
      <c r="CF1057" s="75"/>
      <c r="CG1057" s="75"/>
      <c r="CH1057" s="75"/>
      <c r="CI1057" s="73"/>
      <c r="CJ1057" s="75"/>
      <c r="CK1057" s="75"/>
      <c r="CL1057" s="75"/>
      <c r="CM1057" s="73"/>
      <c r="CN1057" s="75"/>
      <c r="CO1057" s="75"/>
      <c r="CP1057" s="75"/>
      <c r="CQ1057" s="73"/>
      <c r="CR1057" s="75"/>
      <c r="CS1057" s="75"/>
      <c r="CT1057" s="75"/>
      <c r="CU1057" s="73"/>
      <c r="CV1057" s="75"/>
      <c r="CW1057" s="75"/>
      <c r="CX1057" s="75"/>
      <c r="CY1057" s="73"/>
      <c r="CZ1057" s="75"/>
      <c r="DA1057" s="75"/>
      <c r="DB1057" s="75"/>
      <c r="DC1057" s="73"/>
      <c r="DD1057" s="75"/>
      <c r="DE1057" s="75"/>
      <c r="DF1057" s="75"/>
      <c r="DG1057" s="73"/>
      <c r="DH1057" s="75"/>
      <c r="DI1057" s="75"/>
      <c r="DJ1057" s="75"/>
      <c r="DK1057" s="76"/>
    </row>
    <row r="1058" spans="63:115" x14ac:dyDescent="0.25">
      <c r="BK1058" s="75"/>
      <c r="BL1058" s="75"/>
      <c r="BM1058" s="75"/>
      <c r="BN1058" s="73"/>
      <c r="BO1058" s="75"/>
      <c r="BP1058" s="75"/>
      <c r="BQ1058" s="75"/>
      <c r="BR1058" s="75"/>
      <c r="BS1058" s="75"/>
      <c r="BT1058" s="75"/>
      <c r="BU1058" s="75"/>
      <c r="BV1058" s="75"/>
      <c r="BW1058" s="75"/>
      <c r="BX1058" s="75"/>
      <c r="BY1058" s="75"/>
      <c r="BZ1058" s="75"/>
      <c r="CA1058" s="73"/>
      <c r="CB1058" s="75"/>
      <c r="CC1058" s="75"/>
      <c r="CD1058" s="75"/>
      <c r="CE1058" s="73"/>
      <c r="CF1058" s="75"/>
      <c r="CG1058" s="75"/>
      <c r="CH1058" s="75"/>
      <c r="CI1058" s="73"/>
      <c r="CJ1058" s="75"/>
      <c r="CK1058" s="75"/>
      <c r="CL1058" s="75"/>
      <c r="CM1058" s="73"/>
      <c r="CN1058" s="75"/>
      <c r="CO1058" s="75"/>
      <c r="CP1058" s="75"/>
      <c r="CQ1058" s="73"/>
      <c r="CR1058" s="75"/>
      <c r="CS1058" s="75"/>
      <c r="CT1058" s="75"/>
      <c r="CU1058" s="73"/>
      <c r="CV1058" s="75"/>
      <c r="CW1058" s="75"/>
      <c r="CX1058" s="75"/>
      <c r="CY1058" s="73"/>
      <c r="CZ1058" s="75"/>
      <c r="DA1058" s="75"/>
      <c r="DB1058" s="75"/>
      <c r="DC1058" s="73"/>
      <c r="DD1058" s="75"/>
      <c r="DE1058" s="75"/>
      <c r="DF1058" s="75"/>
      <c r="DG1058" s="73"/>
      <c r="DH1058" s="75"/>
      <c r="DI1058" s="75"/>
      <c r="DJ1058" s="75"/>
      <c r="DK1058" s="76"/>
    </row>
    <row r="1059" spans="63:115" x14ac:dyDescent="0.25">
      <c r="BK1059" s="75"/>
      <c r="BL1059" s="75"/>
      <c r="BM1059" s="75"/>
      <c r="BN1059" s="73"/>
      <c r="BO1059" s="75"/>
      <c r="BP1059" s="75"/>
      <c r="BQ1059" s="75"/>
      <c r="BR1059" s="75"/>
      <c r="BS1059" s="75"/>
      <c r="BT1059" s="75"/>
      <c r="BU1059" s="75"/>
      <c r="BV1059" s="75"/>
      <c r="BW1059" s="75"/>
      <c r="BX1059" s="75"/>
      <c r="BY1059" s="75"/>
      <c r="BZ1059" s="75"/>
      <c r="CA1059" s="73"/>
      <c r="CB1059" s="75"/>
      <c r="CC1059" s="75"/>
      <c r="CD1059" s="75"/>
      <c r="CE1059" s="73"/>
      <c r="CF1059" s="75"/>
      <c r="CG1059" s="75"/>
      <c r="CH1059" s="75"/>
      <c r="CI1059" s="73"/>
      <c r="CJ1059" s="75"/>
      <c r="CK1059" s="75"/>
      <c r="CL1059" s="75"/>
      <c r="CM1059" s="73"/>
      <c r="CN1059" s="75"/>
      <c r="CO1059" s="75"/>
      <c r="CP1059" s="75"/>
      <c r="CQ1059" s="73"/>
      <c r="CR1059" s="75"/>
      <c r="CS1059" s="75"/>
      <c r="CT1059" s="75"/>
      <c r="CU1059" s="73"/>
      <c r="CV1059" s="75"/>
      <c r="CW1059" s="75"/>
      <c r="CX1059" s="75"/>
      <c r="CY1059" s="73"/>
      <c r="CZ1059" s="75"/>
      <c r="DA1059" s="75"/>
      <c r="DB1059" s="75"/>
      <c r="DC1059" s="73"/>
      <c r="DD1059" s="75"/>
      <c r="DE1059" s="75"/>
      <c r="DF1059" s="75"/>
      <c r="DG1059" s="73"/>
      <c r="DH1059" s="75"/>
      <c r="DI1059" s="75"/>
      <c r="DJ1059" s="75"/>
      <c r="DK1059" s="76"/>
    </row>
    <row r="1060" spans="63:115" x14ac:dyDescent="0.25">
      <c r="BK1060" s="75"/>
      <c r="BL1060" s="75"/>
      <c r="BM1060" s="75"/>
      <c r="BN1060" s="73"/>
      <c r="BO1060" s="75"/>
      <c r="BP1060" s="75"/>
      <c r="BQ1060" s="75"/>
      <c r="BR1060" s="75"/>
      <c r="BS1060" s="75"/>
      <c r="BT1060" s="75"/>
      <c r="BU1060" s="75"/>
      <c r="BV1060" s="75"/>
      <c r="BW1060" s="75"/>
      <c r="BX1060" s="75"/>
      <c r="BY1060" s="75"/>
      <c r="BZ1060" s="75"/>
      <c r="CA1060" s="73"/>
      <c r="CB1060" s="75"/>
      <c r="CC1060" s="75"/>
      <c r="CD1060" s="75"/>
      <c r="CE1060" s="73"/>
      <c r="CF1060" s="75"/>
      <c r="CG1060" s="75"/>
      <c r="CH1060" s="75"/>
      <c r="CI1060" s="73"/>
      <c r="CJ1060" s="75"/>
      <c r="CK1060" s="75"/>
      <c r="CL1060" s="75"/>
      <c r="CM1060" s="73"/>
      <c r="CN1060" s="75"/>
      <c r="CO1060" s="75"/>
      <c r="CP1060" s="75"/>
      <c r="CQ1060" s="73"/>
      <c r="CR1060" s="75"/>
      <c r="CS1060" s="75"/>
      <c r="CT1060" s="75"/>
      <c r="CU1060" s="73"/>
      <c r="CV1060" s="75"/>
      <c r="CW1060" s="75"/>
      <c r="CX1060" s="75"/>
      <c r="CY1060" s="73"/>
      <c r="CZ1060" s="75"/>
      <c r="DA1060" s="75"/>
      <c r="DB1060" s="75"/>
      <c r="DC1060" s="73"/>
      <c r="DD1060" s="75"/>
      <c r="DE1060" s="75"/>
      <c r="DF1060" s="75"/>
      <c r="DG1060" s="73"/>
      <c r="DH1060" s="75"/>
      <c r="DI1060" s="75"/>
      <c r="DJ1060" s="75"/>
      <c r="DK1060" s="76"/>
    </row>
    <row r="1061" spans="63:115" x14ac:dyDescent="0.25">
      <c r="BK1061" s="75"/>
      <c r="BL1061" s="75"/>
      <c r="BM1061" s="75"/>
      <c r="BN1061" s="73"/>
      <c r="BO1061" s="75"/>
      <c r="BP1061" s="75"/>
      <c r="BQ1061" s="75"/>
      <c r="BR1061" s="75"/>
      <c r="BS1061" s="75"/>
      <c r="BT1061" s="75"/>
      <c r="BU1061" s="75"/>
      <c r="BV1061" s="75"/>
      <c r="BW1061" s="75"/>
      <c r="BX1061" s="75"/>
      <c r="BY1061" s="75"/>
      <c r="BZ1061" s="75"/>
      <c r="CA1061" s="73"/>
      <c r="CB1061" s="75"/>
      <c r="CC1061" s="75"/>
      <c r="CD1061" s="75"/>
      <c r="CE1061" s="73"/>
      <c r="CF1061" s="75"/>
      <c r="CG1061" s="75"/>
      <c r="CH1061" s="75"/>
      <c r="CI1061" s="73"/>
      <c r="CJ1061" s="75"/>
      <c r="CK1061" s="75"/>
      <c r="CL1061" s="75"/>
      <c r="CM1061" s="73"/>
      <c r="CN1061" s="75"/>
      <c r="CO1061" s="75"/>
      <c r="CP1061" s="75"/>
      <c r="CQ1061" s="73"/>
      <c r="CR1061" s="75"/>
      <c r="CS1061" s="75"/>
      <c r="CT1061" s="75"/>
      <c r="CU1061" s="73"/>
      <c r="CV1061" s="75"/>
      <c r="CW1061" s="75"/>
      <c r="CX1061" s="75"/>
      <c r="CY1061" s="73"/>
      <c r="CZ1061" s="75"/>
      <c r="DA1061" s="75"/>
      <c r="DB1061" s="75"/>
      <c r="DC1061" s="73"/>
      <c r="DD1061" s="75"/>
      <c r="DE1061" s="75"/>
      <c r="DF1061" s="75"/>
      <c r="DG1061" s="73"/>
      <c r="DH1061" s="75"/>
      <c r="DI1061" s="75"/>
      <c r="DJ1061" s="75"/>
      <c r="DK1061" s="76"/>
    </row>
    <row r="1062" spans="63:115" x14ac:dyDescent="0.25">
      <c r="BK1062" s="75"/>
      <c r="BL1062" s="75"/>
      <c r="BM1062" s="75"/>
      <c r="BN1062" s="73"/>
      <c r="BO1062" s="75"/>
      <c r="BP1062" s="75"/>
      <c r="BQ1062" s="75"/>
      <c r="BR1062" s="75"/>
      <c r="BS1062" s="75"/>
      <c r="BT1062" s="75"/>
      <c r="BU1062" s="75"/>
      <c r="BV1062" s="75"/>
      <c r="BW1062" s="75"/>
      <c r="BX1062" s="75"/>
      <c r="BY1062" s="75"/>
      <c r="BZ1062" s="75"/>
      <c r="CA1062" s="73"/>
      <c r="CB1062" s="75"/>
      <c r="CC1062" s="75"/>
      <c r="CD1062" s="75"/>
      <c r="CE1062" s="73"/>
      <c r="CF1062" s="75"/>
      <c r="CG1062" s="75"/>
      <c r="CH1062" s="75"/>
      <c r="CI1062" s="73"/>
      <c r="CJ1062" s="75"/>
      <c r="CK1062" s="75"/>
      <c r="CL1062" s="75"/>
      <c r="CM1062" s="73"/>
      <c r="CN1062" s="75"/>
      <c r="CO1062" s="75"/>
      <c r="CP1062" s="75"/>
      <c r="CQ1062" s="73"/>
      <c r="CR1062" s="75"/>
      <c r="CS1062" s="75"/>
      <c r="CT1062" s="75"/>
      <c r="CU1062" s="73"/>
      <c r="CV1062" s="75"/>
      <c r="CW1062" s="75"/>
      <c r="CX1062" s="75"/>
      <c r="CY1062" s="73"/>
      <c r="CZ1062" s="75"/>
      <c r="DA1062" s="75"/>
      <c r="DB1062" s="75"/>
      <c r="DC1062" s="73"/>
      <c r="DD1062" s="75"/>
      <c r="DE1062" s="75"/>
      <c r="DF1062" s="75"/>
      <c r="DG1062" s="73"/>
      <c r="DH1062" s="75"/>
      <c r="DI1062" s="75"/>
      <c r="DJ1062" s="75"/>
      <c r="DK1062" s="76"/>
    </row>
    <row r="1063" spans="63:115" x14ac:dyDescent="0.25">
      <c r="BK1063" s="75"/>
      <c r="BL1063" s="75"/>
      <c r="BM1063" s="75"/>
      <c r="BN1063" s="73"/>
      <c r="BO1063" s="75"/>
      <c r="BP1063" s="75"/>
      <c r="BQ1063" s="75"/>
      <c r="BR1063" s="75"/>
      <c r="BS1063" s="75"/>
      <c r="BT1063" s="75"/>
      <c r="BU1063" s="75"/>
      <c r="BV1063" s="75"/>
      <c r="BW1063" s="75"/>
      <c r="BX1063" s="75"/>
      <c r="BY1063" s="75"/>
      <c r="BZ1063" s="75"/>
      <c r="CA1063" s="73"/>
      <c r="CB1063" s="75"/>
      <c r="CC1063" s="75"/>
      <c r="CD1063" s="75"/>
      <c r="CE1063" s="73"/>
      <c r="CF1063" s="75"/>
      <c r="CG1063" s="75"/>
      <c r="CH1063" s="75"/>
      <c r="CI1063" s="73"/>
      <c r="CJ1063" s="75"/>
      <c r="CK1063" s="75"/>
      <c r="CL1063" s="75"/>
      <c r="CM1063" s="73"/>
      <c r="CN1063" s="75"/>
      <c r="CO1063" s="75"/>
      <c r="CP1063" s="75"/>
      <c r="CQ1063" s="73"/>
      <c r="CR1063" s="75"/>
      <c r="CS1063" s="75"/>
      <c r="CT1063" s="75"/>
      <c r="CU1063" s="73"/>
      <c r="CV1063" s="75"/>
      <c r="CW1063" s="75"/>
      <c r="CX1063" s="75"/>
      <c r="CY1063" s="73"/>
      <c r="CZ1063" s="75"/>
      <c r="DA1063" s="75"/>
      <c r="DB1063" s="75"/>
      <c r="DC1063" s="73"/>
      <c r="DD1063" s="75"/>
      <c r="DE1063" s="75"/>
      <c r="DF1063" s="75"/>
      <c r="DG1063" s="73"/>
      <c r="DH1063" s="75"/>
      <c r="DI1063" s="75"/>
      <c r="DJ1063" s="75"/>
      <c r="DK1063" s="76"/>
    </row>
  </sheetData>
  <mergeCells count="22">
    <mergeCell ref="CZ61:DK61"/>
    <mergeCell ref="A1:N1"/>
    <mergeCell ref="A2:N2"/>
    <mergeCell ref="J4:N4"/>
    <mergeCell ref="J5:L5"/>
    <mergeCell ref="M12:N12"/>
    <mergeCell ref="A15:D15"/>
    <mergeCell ref="A4:E4"/>
    <mergeCell ref="J12:L12"/>
    <mergeCell ref="O13:P13"/>
    <mergeCell ref="O14:P14"/>
    <mergeCell ref="O15:P16"/>
    <mergeCell ref="O10:P12"/>
    <mergeCell ref="CN61:CP61"/>
    <mergeCell ref="BK61:CA61"/>
    <mergeCell ref="CB61:CM61"/>
    <mergeCell ref="AZ62:BA62"/>
    <mergeCell ref="A16:B16"/>
    <mergeCell ref="A17:B17"/>
    <mergeCell ref="A18:B18"/>
    <mergeCell ref="A19:B19"/>
    <mergeCell ref="A20:B20"/>
  </mergeCells>
  <phoneticPr fontId="41" type="noConversion"/>
  <pageMargins left="0.7" right="0.7" top="0.75" bottom="0.75" header="0.3" footer="0.3"/>
  <pageSetup orientation="portrait" verticalDpi="598" r:id="rId1"/>
  <ignoredErrors>
    <ignoredError sqref="M49" evalError="1"/>
  </ignoredErrors>
  <drawing r:id="rId2"/>
  <legacyDrawing r:id="rId3"/>
  <oleObjects>
    <mc:AlternateContent xmlns:mc="http://schemas.openxmlformats.org/markup-compatibility/2006">
      <mc:Choice Requires="x14">
        <oleObject progId="Visio.Drawing.11" shapeId="3073" r:id="rId4">
          <objectPr defaultSize="0" autoPict="0" r:id="rId5">
            <anchor moveWithCells="1">
              <from>
                <xdr:col>0</xdr:col>
                <xdr:colOff>76200</xdr:colOff>
                <xdr:row>18</xdr:row>
                <xdr:rowOff>69850</xdr:rowOff>
              </from>
              <to>
                <xdr:col>9</xdr:col>
                <xdr:colOff>514350</xdr:colOff>
                <xdr:row>43</xdr:row>
                <xdr:rowOff>95250</xdr:rowOff>
              </to>
            </anchor>
          </objectPr>
        </oleObject>
      </mc:Choice>
      <mc:Fallback>
        <oleObject progId="Visio.Drawing.11" shapeId="3073" r:id="rId4"/>
      </mc:Fallback>
    </mc:AlternateContent>
  </oleObjects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Unknown Document Type" ma:contentTypeID="0x010104" ma:contentTypeVersion="0" ma:contentTypeDescription="" ma:contentTypeScope="" ma:versionID="05d83ceaa0bbd2e3bc716e6e66bd857a">
  <xsd:schema xmlns:xsd="http://www.w3.org/2001/XMLSchema" xmlns:xs="http://www.w3.org/2001/XMLSchema" xmlns:p="http://schemas.microsoft.com/office/2006/metadata/properties" targetNamespace="http://schemas.microsoft.com/office/2006/metadata/properties" ma:root="true" ma:fieldsID="b3d69fe45253d5ff147bb69036b756a7">
    <xsd:element name="properties">
      <xsd:complexType>
        <xsd:sequence>
          <xsd:element name="documentManagement">
            <xsd:complexType>
              <xsd:all/>
            </xsd:complexType>
          </xsd:element>
        </xsd:sequence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 ma:readOnly="true"/>
        <xsd:element ref="dc:title" minOccurs="0" maxOccurs="1" ma:index="3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Props1.xml><?xml version="1.0" encoding="utf-8"?>
<ds:datastoreItem xmlns:ds="http://schemas.openxmlformats.org/officeDocument/2006/customXml" ds:itemID="{A1A695B9-11AF-4C70-AE0C-4A5456837AF4}"/>
</file>

<file path=customXml/itemProps2.xml><?xml version="1.0" encoding="utf-8"?>
<ds:datastoreItem xmlns:ds="http://schemas.openxmlformats.org/officeDocument/2006/customXml" ds:itemID="{548BDEFD-1991-40E2-9F6C-6C09B79613BE}"/>
</file>

<file path=customXml/itemProps3.xml><?xml version="1.0" encoding="utf-8"?>
<ds:datastoreItem xmlns:ds="http://schemas.openxmlformats.org/officeDocument/2006/customXml" ds:itemID="{22607635-5672-4705-86D8-A04486870A7C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工作表</vt:lpstr>
      </vt:variant>
      <vt:variant>
        <vt:i4>3</vt:i4>
      </vt:variant>
      <vt:variant>
        <vt:lpstr>命名范围</vt:lpstr>
      </vt:variant>
      <vt:variant>
        <vt:i4>48</vt:i4>
      </vt:variant>
    </vt:vector>
  </HeadingPairs>
  <TitlesOfParts>
    <vt:vector size="51" baseType="lpstr">
      <vt:lpstr>Power Loss</vt:lpstr>
      <vt:lpstr>Efficiency Summary</vt:lpstr>
      <vt:lpstr>Compensator</vt:lpstr>
      <vt:lpstr>_Cap1</vt:lpstr>
      <vt:lpstr>_Cap2</vt:lpstr>
      <vt:lpstr>_Cfb1</vt:lpstr>
      <vt:lpstr>_Cfb2</vt:lpstr>
      <vt:lpstr>_R3</vt:lpstr>
      <vt:lpstr>_R3_T</vt:lpstr>
      <vt:lpstr>_Res1</vt:lpstr>
      <vt:lpstr>_Rfb1</vt:lpstr>
      <vt:lpstr>_Rfb2</vt:lpstr>
      <vt:lpstr>cap</vt:lpstr>
      <vt:lpstr>D</vt:lpstr>
      <vt:lpstr>DCR</vt:lpstr>
      <vt:lpstr>Efficiency</vt:lpstr>
      <vt:lpstr>esr</vt:lpstr>
      <vt:lpstr>Fc</vt:lpstr>
      <vt:lpstr>Fesr</vt:lpstr>
      <vt:lpstr>Fm</vt:lpstr>
      <vt:lpstr>Fo</vt:lpstr>
      <vt:lpstr>Fs</vt:lpstr>
      <vt:lpstr>Fstart</vt:lpstr>
      <vt:lpstr>Fstep</vt:lpstr>
      <vt:lpstr>Fstop</vt:lpstr>
      <vt:lpstr>Gdo</vt:lpstr>
      <vt:lpstr>gm</vt:lpstr>
      <vt:lpstr>Il_rms</vt:lpstr>
      <vt:lpstr>Imax</vt:lpstr>
      <vt:lpstr>Imin</vt:lpstr>
      <vt:lpstr>Iout</vt:lpstr>
      <vt:lpstr>Irip</vt:lpstr>
      <vt:lpstr>Iu_rms</vt:lpstr>
      <vt:lpstr>LIR</vt:lpstr>
      <vt:lpstr>Lout</vt:lpstr>
      <vt:lpstr>Mc</vt:lpstr>
      <vt:lpstr>ncap</vt:lpstr>
      <vt:lpstr>Q</vt:lpstr>
      <vt:lpstr>Qn</vt:lpstr>
      <vt:lpstr>Ron_l</vt:lpstr>
      <vt:lpstr>Ron_u</vt:lpstr>
      <vt:lpstr>Rout</vt:lpstr>
      <vt:lpstr>Rt</vt:lpstr>
      <vt:lpstr>Se</vt:lpstr>
      <vt:lpstr>Sn</vt:lpstr>
      <vt:lpstr>Step</vt:lpstr>
      <vt:lpstr>Tloss</vt:lpstr>
      <vt:lpstr>Vfb</vt:lpstr>
      <vt:lpstr>Vin</vt:lpstr>
      <vt:lpstr>Vout</vt:lpstr>
      <vt:lpstr>Wn</vt:lpstr>
    </vt:vector>
  </TitlesOfParts>
  <Company>Hewlett-Packard Company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>ZhiQiang Pan[潘志强]</cp:lastModifiedBy>
  <dcterms:created xsi:type="dcterms:W3CDTF">2016-07-07T17:24:47Z</dcterms:created>
  <dcterms:modified xsi:type="dcterms:W3CDTF">2024-01-09T07:56:31Z</dcterms:modified>
</cp:coreProperties>
</file>