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workbookProtection workbookPassword="CEF1" lockStructure="1"/>
  <bookViews>
    <workbookView xWindow="39135" yWindow="795" windowWidth="20730" windowHeight="11700"/>
  </bookViews>
  <sheets>
    <sheet name="Calculator" sheetId="2" r:id="rId1"/>
    <sheet name="Notes" sheetId="3" r:id="rId2"/>
    <sheet name="Sheet1 (2)" sheetId="4" state="hidden" r:id="rId3"/>
  </sheets>
  <definedNames>
    <definedName name="BVCEO" localSheetId="0">Calculator!$C$10</definedName>
    <definedName name="BVCES" localSheetId="0">Calculator!$C$9</definedName>
    <definedName name="C_" localSheetId="0">Calculator!$I$15</definedName>
    <definedName name="E" localSheetId="0">Calculator!$I$13</definedName>
    <definedName name="Ecap" localSheetId="0">Calculator!$I$16</definedName>
    <definedName name="fo" localSheetId="0">Calculator!$C$15</definedName>
    <definedName name="HV" localSheetId="0">Calculator!$C$12</definedName>
    <definedName name="I_rms" localSheetId="0">Calculator!$I$12</definedName>
    <definedName name="Imax" localSheetId="0">Calculator!$C$13</definedName>
    <definedName name="Lp" localSheetId="0">Calculator!$C$17</definedName>
    <definedName name="P_pk" localSheetId="0">Calculator!$I$9</definedName>
    <definedName name="Pled_pk" localSheetId="0">Calculator!$I$10</definedName>
    <definedName name="Q" localSheetId="0">Calculator!$I$14</definedName>
    <definedName name="Rcharge" localSheetId="0">Calculator!$I$17</definedName>
    <definedName name="Rlimit" localSheetId="0">Calculator!$I$20</definedName>
    <definedName name="Tcycle" localSheetId="1">Calculator!$C$16</definedName>
    <definedName name="Tcycle" localSheetId="2">Calculator!$C$16</definedName>
    <definedName name="Tcycle">Calculator!$C$16</definedName>
    <definedName name="Tdead" localSheetId="0">Calculator!#REF!</definedName>
    <definedName name="tp" localSheetId="0">Calculator!$C$14</definedName>
    <definedName name="V_ring">Calculator!$I$22</definedName>
    <definedName name="V_rms" localSheetId="0">Calculator!$I$11</definedName>
    <definedName name="Vf" localSheetId="0">Calculator!$C$11</definedName>
    <definedName name="Xloop" localSheetId="0">Calculator!$I$19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2" l="1"/>
  <c r="I19" i="2" l="1"/>
  <c r="I20" i="2" s="1"/>
  <c r="E17" i="2" s="1"/>
  <c r="I12" i="2"/>
  <c r="I11" i="2"/>
  <c r="I10" i="2"/>
  <c r="I9" i="2"/>
  <c r="I13" i="2" l="1"/>
  <c r="I14" i="2"/>
  <c r="I15" i="2" s="1"/>
  <c r="I21" i="2"/>
  <c r="I17" i="2" l="1"/>
  <c r="I16" i="2"/>
  <c r="I22" i="2"/>
</calcChain>
</file>

<file path=xl/sharedStrings.xml><?xml version="1.0" encoding="utf-8"?>
<sst xmlns="http://schemas.openxmlformats.org/spreadsheetml/2006/main" count="193" uniqueCount="125">
  <si>
    <t>Avalanche calculator</t>
  </si>
  <si>
    <t>Copyright, Diodes Incorporated, 2019</t>
  </si>
  <si>
    <t xml:space="preserve"> </t>
  </si>
  <si>
    <t>Input system design parameters</t>
  </si>
  <si>
    <t>Symbol</t>
  </si>
  <si>
    <t>INPUT</t>
  </si>
  <si>
    <t>Units</t>
  </si>
  <si>
    <t>Recommendations/Comments</t>
  </si>
  <si>
    <t>Output parameters</t>
  </si>
  <si>
    <t>RESULTS</t>
  </si>
  <si>
    <t>Q1 BVCES_min</t>
  </si>
  <si>
    <t>BVCES</t>
  </si>
  <si>
    <t>V</t>
  </si>
  <si>
    <t>Enter min shorted base breakdown voltage &gt; BVCEO</t>
  </si>
  <si>
    <t>Peak power</t>
  </si>
  <si>
    <t>P_pk</t>
  </si>
  <si>
    <t>W</t>
  </si>
  <si>
    <t>Q1 BVCEO_max</t>
  </si>
  <si>
    <t>BVCEO</t>
  </si>
  <si>
    <t>Enter max open base breakdown voltage &lt; BVCES</t>
  </si>
  <si>
    <t>Peak LED power</t>
  </si>
  <si>
    <t>Pled_pk</t>
  </si>
  <si>
    <t>Led forward voltage</t>
  </si>
  <si>
    <t>Vf</t>
  </si>
  <si>
    <t>Enter the LED forward voltage &gt;= 0V</t>
  </si>
  <si>
    <t>RMS pulse voltage</t>
  </si>
  <si>
    <t>V_rms</t>
  </si>
  <si>
    <t xml:space="preserve">DC input high voltage </t>
  </si>
  <si>
    <t>HV</t>
  </si>
  <si>
    <t>Set a voltage (BVCES+Vf) &gt; HV &gt;( BVCEO+Vf)</t>
  </si>
  <si>
    <t>RMS pulse current</t>
  </si>
  <si>
    <t>I_rms</t>
  </si>
  <si>
    <t>A</t>
  </si>
  <si>
    <t>Peak current</t>
  </si>
  <si>
    <t>Imax</t>
  </si>
  <si>
    <t>Set the peak avalanche current &gt;= 5A</t>
  </si>
  <si>
    <t>Pulse energy</t>
  </si>
  <si>
    <t>E</t>
  </si>
  <si>
    <t>uJ</t>
  </si>
  <si>
    <t>Pulse width</t>
  </si>
  <si>
    <t>tp</t>
  </si>
  <si>
    <t>ns</t>
  </si>
  <si>
    <t>Set the desired  pulse width &gt;= 0.5ns</t>
  </si>
  <si>
    <t>Charge required</t>
  </si>
  <si>
    <t>Q</t>
  </si>
  <si>
    <t>nC</t>
  </si>
  <si>
    <t>fo</t>
  </si>
  <si>
    <t>kHz</t>
  </si>
  <si>
    <t>Capacitance</t>
  </si>
  <si>
    <t>C</t>
  </si>
  <si>
    <t>pF</t>
  </si>
  <si>
    <t>Minimum cycle time</t>
  </si>
  <si>
    <t>Tcycle</t>
  </si>
  <si>
    <t>us</t>
  </si>
  <si>
    <t>Set the minimum time between pulses &gt;= 0.5us</t>
  </si>
  <si>
    <t>Capacitive energy</t>
  </si>
  <si>
    <t>Ecap</t>
  </si>
  <si>
    <t>Parasitic inductance in loop</t>
  </si>
  <si>
    <t>Lp</t>
  </si>
  <si>
    <t>nH</t>
  </si>
  <si>
    <t>Charge resistor</t>
  </si>
  <si>
    <t>Rcharge</t>
  </si>
  <si>
    <t>kΩ</t>
  </si>
  <si>
    <t>Charge resistor power (W/s)</t>
  </si>
  <si>
    <t>P_Rcharge</t>
  </si>
  <si>
    <t>Loop reactance</t>
  </si>
  <si>
    <t>Xloop</t>
  </si>
  <si>
    <t>Ω</t>
  </si>
  <si>
    <t>Limit resistor</t>
  </si>
  <si>
    <t>Rlimit</t>
  </si>
  <si>
    <t>Limit resistor power (W/s)</t>
  </si>
  <si>
    <t>P_Rlimit</t>
  </si>
  <si>
    <t>Inductive overshoot voltage</t>
  </si>
  <si>
    <t>V_ring</t>
  </si>
  <si>
    <t>Grey : Results/Outputs</t>
  </si>
  <si>
    <t xml:space="preserve">Yellow: Input </t>
  </si>
  <si>
    <t>White: units and comments</t>
  </si>
  <si>
    <r>
      <t xml:space="preserve">Avalanche calculator is a tool to </t>
    </r>
    <r>
      <rPr>
        <b/>
        <i/>
        <sz val="11"/>
        <color rgb="FF000000"/>
        <rFont val="Calibri"/>
        <family val="2"/>
        <scheme val="minor"/>
      </rPr>
      <t>estimate</t>
    </r>
    <r>
      <rPr>
        <sz val="11"/>
        <color rgb="FF000000"/>
        <rFont val="Calibri"/>
        <family val="2"/>
        <scheme val="minor"/>
      </rPr>
      <t xml:space="preserve"> the initial component values for a simple avalanche circuit. Final values will be dependant on parasitics and driving circuits.</t>
    </r>
  </si>
  <si>
    <t>Input parameters</t>
  </si>
  <si>
    <t>Description</t>
  </si>
  <si>
    <t>This is the LED forward voltage</t>
  </si>
  <si>
    <t>This voltage needs to be in the range (BVCES + Vf) &gt; HV &gt; (BVCEO + Vf)</t>
  </si>
  <si>
    <t>Enter the peak forward current required in the LED</t>
  </si>
  <si>
    <t>Enter the required avalanche pulse width</t>
  </si>
  <si>
    <t>Enter the operating frequency or maximum pulses per second for power calculations</t>
  </si>
  <si>
    <t>Enter the minimum time between consecutive pulses for charging calculations</t>
  </si>
  <si>
    <t>This is the peak power per pulse</t>
  </si>
  <si>
    <t>This is the energy expended in each pulse</t>
  </si>
  <si>
    <t>This is the charge required in the capacitor for each pulse</t>
  </si>
  <si>
    <t>This is the capacitance needed to hold the required energy when fully charged</t>
  </si>
  <si>
    <t>This is the energy stored in the capacitor</t>
  </si>
  <si>
    <t>This is the required resistance to recharge the capacitor  in the minimum time before the next pulse</t>
  </si>
  <si>
    <t>This is the minimum power rating for the charge resistor</t>
  </si>
  <si>
    <t>This is the reactance of the parasitic inductance</t>
  </si>
  <si>
    <t>This is the value of the avalanche current limit resistor</t>
  </si>
  <si>
    <t>This is the minimum power rating for the limi resistor</t>
  </si>
  <si>
    <t>This is the calculated overshoot of the resonant voltage</t>
  </si>
  <si>
    <t>Apps group feedback from preliminary review</t>
  </si>
  <si>
    <t>Engineer</t>
  </si>
  <si>
    <t>Comments</t>
  </si>
  <si>
    <t>Done</t>
  </si>
  <si>
    <t>Leonhard Link</t>
  </si>
  <si>
    <t>use engineering units eg mW</t>
  </si>
  <si>
    <t>ü</t>
  </si>
  <si>
    <t>Colin Davies</t>
  </si>
  <si>
    <t>Use engineering units rather than scientific notation</t>
  </si>
  <si>
    <t>Lock page so title and issue don't disappear ???</t>
  </si>
  <si>
    <t>Range limits in input cells</t>
  </si>
  <si>
    <t>Calculator warnings for over or under range</t>
  </si>
  <si>
    <t>negative power P_Rlimit</t>
  </si>
  <si>
    <t>Phil Armitage</t>
  </si>
  <si>
    <t>Make sure results box can hold result (##### issue)</t>
  </si>
  <si>
    <t>Issue 1.1</t>
  </si>
  <si>
    <t>Avalanche Calculator - issue 1.1</t>
  </si>
  <si>
    <t>Operating frequency / Pulses per second</t>
  </si>
  <si>
    <t>This is the minimum Collector - Emitter breakdown voltage with Base shorted to emitter.</t>
  </si>
  <si>
    <t>This is the maximum Collector - Emitter breakdown voltage with Base open circuit.</t>
  </si>
  <si>
    <t>Enter an  estimate of the series parasitic inductance in the loop. ( Rule of thumb = 5nH /cm over GND plane)</t>
  </si>
  <si>
    <t>Operating frequency / cycles per second</t>
  </si>
  <si>
    <t>Charge resistor power</t>
  </si>
  <si>
    <t>Set the number of pulses in 1 second</t>
  </si>
  <si>
    <t>Limit resistor power</t>
  </si>
  <si>
    <t>This is the peak power developed in the LED per pulse</t>
  </si>
  <si>
    <t>This is the RMS voltage per pulse.</t>
  </si>
  <si>
    <t>This is the RMS current per pulse.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</si>
</sst>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£&quot;* #,##0.00_-;\-&quot;£&quot;* #,##0.00_-;_-&quot;£&quot;* &quot;-&quot;??_-;_-@_-"/>
    <numFmt numFmtId="165" formatCode="0.0"/>
    <numFmt numFmtId="166" formatCode="0.000"/>
    <numFmt numFmtId="167" formatCode="##0.00E+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11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color theme="1"/>
      <name val="Matura MT Script Capitals"/>
      <family val="4"/>
    </font>
    <font>
      <b/>
      <i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B050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/>
    <xf numFmtId="0" fontId="11" fillId="0" borderId="0" xfId="0" applyFont="1" applyProtection="1"/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6" borderId="3" xfId="0" applyFill="1" applyBorder="1" applyProtection="1"/>
    <xf numFmtId="0" fontId="0" fillId="4" borderId="3" xfId="0" applyFont="1" applyFill="1" applyBorder="1" applyAlignment="1" applyProtection="1">
      <alignment horizontal="left" vertical="center"/>
    </xf>
    <xf numFmtId="0" fontId="0" fillId="4" borderId="4" xfId="0" applyFont="1" applyFill="1" applyBorder="1" applyAlignment="1" applyProtection="1">
      <alignment horizontal="center" vertical="center"/>
    </xf>
    <xf numFmtId="0" fontId="0" fillId="4" borderId="3" xfId="0" applyFont="1" applyFill="1" applyBorder="1" applyAlignment="1" applyProtection="1">
      <alignment vertical="center"/>
    </xf>
    <xf numFmtId="0" fontId="0" fillId="4" borderId="3" xfId="0" applyFont="1" applyFill="1" applyBorder="1" applyAlignment="1" applyProtection="1">
      <alignment horizontal="center" vertical="center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13" fillId="0" borderId="3" xfId="0" applyFont="1" applyBorder="1" applyProtection="1">
      <protection locked="0"/>
    </xf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quotePrefix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Protection="1"/>
    <xf numFmtId="0" fontId="3" fillId="2" borderId="2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3" xfId="0" applyFont="1" applyFill="1" applyBorder="1" applyProtection="1"/>
    <xf numFmtId="0" fontId="3" fillId="0" borderId="4" xfId="0" applyFont="1" applyBorder="1" applyProtection="1"/>
    <xf numFmtId="0" fontId="3" fillId="2" borderId="3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horizontal="left" vertical="center" wrapText="1"/>
    </xf>
    <xf numFmtId="0" fontId="0" fillId="5" borderId="4" xfId="0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 wrapText="1"/>
    </xf>
    <xf numFmtId="165" fontId="0" fillId="5" borderId="3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1" fontId="0" fillId="0" borderId="0" xfId="0" applyNumberFormat="1" applyAlignment="1" applyProtection="1">
      <alignment vertical="center"/>
    </xf>
    <xf numFmtId="0" fontId="9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2" fontId="0" fillId="5" borderId="3" xfId="0" applyNumberFormat="1" applyFill="1" applyBorder="1" applyAlignment="1" applyProtection="1">
      <alignment horizontal="center" vertical="center"/>
    </xf>
    <xf numFmtId="0" fontId="0" fillId="0" borderId="3" xfId="0" applyBorder="1" applyProtection="1"/>
    <xf numFmtId="0" fontId="0" fillId="0" borderId="8" xfId="0" applyBorder="1" applyAlignment="1" applyProtection="1">
      <alignment wrapText="1"/>
    </xf>
    <xf numFmtId="166" fontId="0" fillId="5" borderId="3" xfId="0" applyNumberFormat="1" applyFill="1" applyBorder="1" applyAlignment="1" applyProtection="1">
      <alignment horizontal="center" vertical="center"/>
    </xf>
    <xf numFmtId="167" fontId="0" fillId="0" borderId="0" xfId="0" applyNumberFormat="1" applyAlignment="1" applyProtection="1">
      <alignment horizontal="center"/>
    </xf>
    <xf numFmtId="11" fontId="0" fillId="0" borderId="0" xfId="0" applyNumberFormat="1" applyAlignment="1" applyProtection="1">
      <alignment horizontal="center"/>
    </xf>
    <xf numFmtId="0" fontId="10" fillId="0" borderId="3" xfId="0" applyFont="1" applyBorder="1" applyAlignment="1" applyProtection="1">
      <alignment wrapText="1"/>
    </xf>
    <xf numFmtId="48" fontId="0" fillId="0" borderId="0" xfId="0" applyNumberFormat="1" applyAlignment="1" applyProtection="1">
      <alignment horizontal="center"/>
    </xf>
    <xf numFmtId="164" fontId="0" fillId="0" borderId="3" xfId="1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/>
    </xf>
    <xf numFmtId="11" fontId="2" fillId="0" borderId="0" xfId="0" applyNumberFormat="1" applyFont="1" applyAlignment="1" applyProtection="1">
      <alignment horizontal="center"/>
    </xf>
    <xf numFmtId="167" fontId="2" fillId="0" borderId="0" xfId="0" applyNumberFormat="1" applyFont="1" applyAlignment="1" applyProtection="1">
      <alignment horizontal="center"/>
    </xf>
    <xf numFmtId="0" fontId="0" fillId="0" borderId="0" xfId="0" quotePrefix="1" applyProtection="1"/>
    <xf numFmtId="0" fontId="0" fillId="0" borderId="0" xfId="0" quotePrefix="1" applyAlignment="1" applyProtection="1">
      <alignment horizontal="center"/>
    </xf>
    <xf numFmtId="167" fontId="2" fillId="0" borderId="0" xfId="0" applyNumberFormat="1" applyFont="1" applyFill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48" fontId="2" fillId="0" borderId="0" xfId="0" applyNumberFormat="1" applyFont="1" applyAlignment="1" applyProtection="1">
      <alignment horizontal="center"/>
    </xf>
    <xf numFmtId="0" fontId="0" fillId="4" borderId="3" xfId="0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left" vertical="center"/>
    </xf>
    <xf numFmtId="0" fontId="0" fillId="4" borderId="7" xfId="0" applyFill="1" applyBorder="1" applyAlignment="1">
      <alignment horizontal="center" vertical="center"/>
    </xf>
    <xf numFmtId="0" fontId="0" fillId="6" borderId="3" xfId="0" applyFill="1" applyBorder="1" applyAlignment="1" applyProtection="1">
      <alignment horizontal="left" vertical="center" wrapText="1"/>
    </xf>
    <xf numFmtId="0" fontId="0" fillId="6" borderId="3" xfId="0" applyFill="1" applyBorder="1" applyAlignment="1" applyProtection="1">
      <alignment wrapText="1"/>
    </xf>
    <xf numFmtId="0" fontId="3" fillId="2" borderId="3" xfId="0" applyFont="1" applyFill="1" applyBorder="1"/>
    <xf numFmtId="0" fontId="3" fillId="2" borderId="0" xfId="0" applyFont="1" applyFill="1" applyAlignment="1" applyProtection="1">
      <alignment horizontal="center" vertical="center"/>
      <protection hidden="1"/>
    </xf>
    <xf numFmtId="0" fontId="3" fillId="2" borderId="3" xfId="0" applyFont="1" applyFill="1" applyBorder="1" applyAlignment="1">
      <alignment horizontal="left" vertical="center"/>
    </xf>
    <xf numFmtId="0" fontId="0" fillId="4" borderId="3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7" xfId="0" applyFont="1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</xf>
    <xf numFmtId="166" fontId="0" fillId="5" borderId="0" xfId="0" applyNumberFormat="1" applyFill="1" applyAlignment="1" applyProtection="1">
      <alignment horizontal="center"/>
    </xf>
    <xf numFmtId="0" fontId="0" fillId="4" borderId="3" xfId="0" applyFill="1" applyBorder="1" applyAlignment="1" applyProtection="1">
      <alignment horizontal="left" vertical="center"/>
    </xf>
    <xf numFmtId="0" fontId="0" fillId="4" borderId="6" xfId="0" applyFill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</cellXfs>
  <cellStyles count="2">
    <cellStyle name="Currency" xfId="1" builtinId="4"/>
    <cellStyle name="Normal" xfId="0" builtinId="0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CECFF"/>
      <color rgb="FFCCFFFF"/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38100</xdr:rowOff>
    </xdr:from>
    <xdr:to>
      <xdr:col>9</xdr:col>
      <xdr:colOff>771525</xdr:colOff>
      <xdr:row>5</xdr:row>
      <xdr:rowOff>57150</xdr:rowOff>
    </xdr:to>
    <xdr:pic>
      <xdr:nvPicPr>
        <xdr:cNvPr id="2" name="Picture 9" descr="Diodes-logo">
          <a:extLst>
            <a:ext uri="{FF2B5EF4-FFF2-40B4-BE49-F238E27FC236}">
              <a16:creationId xmlns:a16="http://schemas.microsoft.com/office/drawing/2014/main" xmlns="" id="{015100DD-BEB5-4910-AFEB-73CEA4B28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8100"/>
          <a:ext cx="42481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2275978</xdr:colOff>
      <xdr:row>18</xdr:row>
      <xdr:rowOff>37819</xdr:rowOff>
    </xdr:from>
    <xdr:to>
      <xdr:col>4</xdr:col>
      <xdr:colOff>1428988</xdr:colOff>
      <xdr:row>36</xdr:row>
      <xdr:rowOff>86412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59BF60AA-A512-4C89-8EDC-F242895AD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4233" y="3500437"/>
          <a:ext cx="3784507" cy="3275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="115" zoomScaleNormal="115" workbookViewId="0">
      <pane ySplit="5" topLeftCell="A6" activePane="bottomLeft" state="frozen"/>
      <selection pane="bottomLeft" activeCell="C15" sqref="C15"/>
    </sheetView>
  </sheetViews>
  <sheetFormatPr defaultColWidth="9" defaultRowHeight="15" x14ac:dyDescent="0.25"/>
  <cols>
    <col min="1" max="1" width="32.85546875" style="2" customWidth="1"/>
    <col min="2" max="2" width="9.5703125" style="18" customWidth="1"/>
    <col min="3" max="4" width="11" style="2" customWidth="1"/>
    <col min="5" max="5" width="46.5703125" style="2" customWidth="1"/>
    <col min="6" max="6" width="3.42578125" style="2" customWidth="1"/>
    <col min="7" max="7" width="27.85546875" style="2" customWidth="1"/>
    <col min="8" max="8" width="9.7109375" style="18" customWidth="1"/>
    <col min="9" max="9" width="11.140625" style="18" bestFit="1" customWidth="1"/>
    <col min="10" max="10" width="11.140625" style="18" customWidth="1"/>
    <col min="11" max="11" width="2.5703125" style="2" customWidth="1"/>
    <col min="12" max="12" width="18" style="2" customWidth="1"/>
    <col min="13" max="13" width="28.140625" style="2" bestFit="1" customWidth="1"/>
    <col min="14" max="14" width="10" style="2" bestFit="1" customWidth="1"/>
    <col min="15" max="16384" width="9" style="2"/>
  </cols>
  <sheetData>
    <row r="1" spans="1:15" ht="17.649999999999999" x14ac:dyDescent="0.5">
      <c r="E1" s="19" t="s">
        <v>0</v>
      </c>
      <c r="F1" s="19"/>
    </row>
    <row r="2" spans="1:15" ht="14.25" x14ac:dyDescent="0.45">
      <c r="A2" s="20"/>
      <c r="B2" s="21"/>
      <c r="C2" s="22"/>
      <c r="D2" s="22"/>
      <c r="E2" s="23" t="s">
        <v>112</v>
      </c>
      <c r="F2" s="23"/>
    </row>
    <row r="3" spans="1:15" ht="14.25" x14ac:dyDescent="0.45">
      <c r="A3" s="24"/>
      <c r="B3" s="25"/>
      <c r="C3" s="22"/>
      <c r="D3" s="22"/>
      <c r="E3" s="23" t="s">
        <v>1</v>
      </c>
      <c r="F3" s="23"/>
      <c r="L3" s="26"/>
      <c r="M3" s="26"/>
      <c r="N3" s="26"/>
      <c r="O3" s="18"/>
    </row>
    <row r="4" spans="1:15" ht="23.25" x14ac:dyDescent="0.7">
      <c r="A4" s="24"/>
      <c r="B4" s="25"/>
      <c r="C4" s="27"/>
      <c r="D4" s="27"/>
      <c r="L4" s="28"/>
      <c r="M4" s="28"/>
      <c r="N4" s="28"/>
      <c r="O4" s="28"/>
    </row>
    <row r="5" spans="1:15" ht="16.5" x14ac:dyDescent="0.45">
      <c r="A5" s="24"/>
      <c r="B5" s="25"/>
      <c r="C5" s="22"/>
      <c r="D5" s="29" t="s">
        <v>2</v>
      </c>
      <c r="G5" s="30"/>
      <c r="H5" s="31"/>
      <c r="L5" s="32"/>
      <c r="M5" s="18"/>
      <c r="N5" s="18"/>
      <c r="O5" s="18"/>
    </row>
    <row r="6" spans="1:15" ht="14.25" x14ac:dyDescent="0.45">
      <c r="C6" s="33"/>
      <c r="D6" s="33"/>
      <c r="L6" s="18"/>
      <c r="M6" s="18"/>
      <c r="N6" s="18"/>
      <c r="O6" s="18"/>
    </row>
    <row r="7" spans="1:15" ht="14.25" x14ac:dyDescent="0.45">
      <c r="A7" s="34"/>
      <c r="B7" s="35"/>
      <c r="C7" s="36"/>
      <c r="D7" s="36"/>
      <c r="F7" s="37"/>
      <c r="L7" s="18"/>
      <c r="M7" s="18"/>
      <c r="N7" s="18"/>
      <c r="O7" s="18"/>
    </row>
    <row r="8" spans="1:15" ht="14.25" x14ac:dyDescent="0.45">
      <c r="A8" s="38" t="s">
        <v>3</v>
      </c>
      <c r="B8" s="39" t="s">
        <v>4</v>
      </c>
      <c r="C8" s="40" t="s">
        <v>5</v>
      </c>
      <c r="D8" s="40" t="s">
        <v>6</v>
      </c>
      <c r="E8" s="41" t="s">
        <v>7</v>
      </c>
      <c r="F8" s="42"/>
      <c r="G8" s="43" t="s">
        <v>8</v>
      </c>
      <c r="H8" s="44" t="s">
        <v>4</v>
      </c>
      <c r="I8" s="44" t="s">
        <v>9</v>
      </c>
      <c r="J8" s="44" t="s">
        <v>6</v>
      </c>
      <c r="L8" s="18"/>
      <c r="M8" s="18"/>
      <c r="N8" s="18"/>
      <c r="O8" s="18"/>
    </row>
    <row r="9" spans="1:15" ht="14.25" x14ac:dyDescent="0.45">
      <c r="A9" s="93" t="s">
        <v>10</v>
      </c>
      <c r="B9" s="12" t="s">
        <v>11</v>
      </c>
      <c r="C9" s="1">
        <v>250</v>
      </c>
      <c r="D9" s="45" t="s">
        <v>12</v>
      </c>
      <c r="E9" s="46" t="s">
        <v>13</v>
      </c>
      <c r="F9" s="47"/>
      <c r="G9" s="9" t="s">
        <v>14</v>
      </c>
      <c r="H9" s="10" t="s">
        <v>15</v>
      </c>
      <c r="I9" s="48">
        <f>HV*Imax</f>
        <v>7350</v>
      </c>
      <c r="J9" s="49" t="s">
        <v>16</v>
      </c>
      <c r="L9" s="18"/>
      <c r="M9" s="18"/>
      <c r="N9" s="18"/>
      <c r="O9" s="18"/>
    </row>
    <row r="10" spans="1:15" s="53" customFormat="1" ht="15.75" customHeight="1" x14ac:dyDescent="0.45">
      <c r="A10" s="86" t="s">
        <v>17</v>
      </c>
      <c r="B10" s="87" t="s">
        <v>18</v>
      </c>
      <c r="C10" s="1">
        <v>100</v>
      </c>
      <c r="D10" s="49" t="s">
        <v>12</v>
      </c>
      <c r="E10" s="50" t="s">
        <v>19</v>
      </c>
      <c r="F10" s="51"/>
      <c r="G10" s="11" t="s">
        <v>20</v>
      </c>
      <c r="H10" s="12" t="s">
        <v>21</v>
      </c>
      <c r="I10" s="52">
        <f>Vf*Imax</f>
        <v>420</v>
      </c>
      <c r="J10" s="49" t="s">
        <v>16</v>
      </c>
      <c r="L10" s="33"/>
      <c r="M10" s="33"/>
      <c r="N10" s="54"/>
    </row>
    <row r="11" spans="1:15" s="53" customFormat="1" ht="15.75" customHeight="1" x14ac:dyDescent="0.45">
      <c r="A11" s="9" t="s">
        <v>22</v>
      </c>
      <c r="B11" s="12" t="s">
        <v>23</v>
      </c>
      <c r="C11" s="1">
        <v>12</v>
      </c>
      <c r="D11" s="49" t="s">
        <v>12</v>
      </c>
      <c r="E11" s="46" t="s">
        <v>24</v>
      </c>
      <c r="F11" s="51"/>
      <c r="G11" s="11" t="s">
        <v>25</v>
      </c>
      <c r="H11" s="12" t="s">
        <v>26</v>
      </c>
      <c r="I11" s="52">
        <f>(HV)/SQRT(3)</f>
        <v>121.24355652982142</v>
      </c>
      <c r="J11" s="55" t="s">
        <v>12</v>
      </c>
      <c r="L11" s="33"/>
      <c r="M11" s="33"/>
      <c r="N11" s="54"/>
    </row>
    <row r="12" spans="1:15" ht="14.25" x14ac:dyDescent="0.45">
      <c r="A12" s="94" t="s">
        <v>27</v>
      </c>
      <c r="B12" s="88" t="s">
        <v>28</v>
      </c>
      <c r="C12" s="1">
        <v>210</v>
      </c>
      <c r="D12" s="49" t="s">
        <v>12</v>
      </c>
      <c r="E12" s="46" t="s">
        <v>29</v>
      </c>
      <c r="F12" s="56"/>
      <c r="G12" s="9" t="s">
        <v>30</v>
      </c>
      <c r="H12" s="12" t="s">
        <v>31</v>
      </c>
      <c r="I12" s="57">
        <f>Imax/SQRT(3)</f>
        <v>20.207259421636902</v>
      </c>
      <c r="J12" s="49" t="s">
        <v>32</v>
      </c>
      <c r="L12" s="18"/>
      <c r="M12" s="18"/>
      <c r="N12" s="18"/>
      <c r="O12" s="18"/>
    </row>
    <row r="13" spans="1:15" ht="14.25" x14ac:dyDescent="0.45">
      <c r="A13" s="9" t="s">
        <v>33</v>
      </c>
      <c r="B13" s="12" t="s">
        <v>34</v>
      </c>
      <c r="C13" s="1">
        <v>35</v>
      </c>
      <c r="D13" s="45" t="s">
        <v>32</v>
      </c>
      <c r="E13" s="58" t="s">
        <v>35</v>
      </c>
      <c r="F13" s="59"/>
      <c r="G13" s="9" t="s">
        <v>36</v>
      </c>
      <c r="H13" s="12" t="s">
        <v>37</v>
      </c>
      <c r="I13" s="60">
        <f>(V_rms-12)*I_rms*(tp/1000000000)*1000000</f>
        <v>8.8300515477614319</v>
      </c>
      <c r="J13" s="49" t="s">
        <v>38</v>
      </c>
      <c r="L13" s="61"/>
      <c r="M13" s="18"/>
      <c r="N13" s="62"/>
      <c r="O13" s="18"/>
    </row>
    <row r="14" spans="1:15" ht="14.25" x14ac:dyDescent="0.45">
      <c r="A14" s="9" t="s">
        <v>39</v>
      </c>
      <c r="B14" s="12" t="s">
        <v>40</v>
      </c>
      <c r="C14" s="1">
        <v>4</v>
      </c>
      <c r="D14" s="45" t="s">
        <v>41</v>
      </c>
      <c r="E14" s="63" t="s">
        <v>42</v>
      </c>
      <c r="F14" s="56"/>
      <c r="G14" s="9" t="s">
        <v>43</v>
      </c>
      <c r="H14" s="12" t="s">
        <v>44</v>
      </c>
      <c r="I14" s="60">
        <f>I_rms*(tp/1000000000)*1000000000</f>
        <v>80.829037686547622</v>
      </c>
      <c r="J14" s="49" t="s">
        <v>45</v>
      </c>
      <c r="L14" s="18"/>
      <c r="M14" s="18"/>
      <c r="N14" s="64"/>
      <c r="O14" s="18"/>
    </row>
    <row r="15" spans="1:15" ht="14.25" x14ac:dyDescent="0.45">
      <c r="A15" s="9" t="s">
        <v>114</v>
      </c>
      <c r="B15" s="12" t="s">
        <v>46</v>
      </c>
      <c r="C15" s="1">
        <v>250</v>
      </c>
      <c r="D15" s="45" t="s">
        <v>47</v>
      </c>
      <c r="E15" s="63" t="s">
        <v>120</v>
      </c>
      <c r="F15" s="56"/>
      <c r="G15" s="9" t="s">
        <v>48</v>
      </c>
      <c r="H15" s="12" t="s">
        <v>49</v>
      </c>
      <c r="I15" s="60">
        <f>(Q*0.000000001)/HV * 1000000000000</f>
        <v>384.90017945975063</v>
      </c>
      <c r="J15" s="49" t="s">
        <v>50</v>
      </c>
      <c r="L15" s="18"/>
      <c r="M15" s="18"/>
      <c r="N15" s="62"/>
      <c r="O15" s="18"/>
    </row>
    <row r="16" spans="1:15" ht="14.25" x14ac:dyDescent="0.45">
      <c r="A16" s="9" t="s">
        <v>51</v>
      </c>
      <c r="B16" s="12" t="s">
        <v>52</v>
      </c>
      <c r="C16" s="1">
        <v>4</v>
      </c>
      <c r="D16" s="45" t="s">
        <v>53</v>
      </c>
      <c r="E16" s="63" t="s">
        <v>54</v>
      </c>
      <c r="F16" s="56"/>
      <c r="G16" s="9" t="s">
        <v>55</v>
      </c>
      <c r="H16" s="12" t="s">
        <v>56</v>
      </c>
      <c r="I16" s="60">
        <f>0.5*( C_*0.000000000001 ) *(HV^2) * 1000000</f>
        <v>8.4870489570875005</v>
      </c>
      <c r="J16" s="49" t="s">
        <v>38</v>
      </c>
      <c r="L16" s="32"/>
      <c r="M16" s="18"/>
      <c r="N16" s="62"/>
      <c r="O16" s="18"/>
    </row>
    <row r="17" spans="1:15" x14ac:dyDescent="0.25">
      <c r="A17" s="9" t="s">
        <v>57</v>
      </c>
      <c r="B17" s="12" t="s">
        <v>58</v>
      </c>
      <c r="C17" s="1">
        <v>1</v>
      </c>
      <c r="D17" s="65" t="s">
        <v>59</v>
      </c>
      <c r="E17" s="63" t="str">
        <f>IF(Rlimit&gt;=0, "Enter the estimated loop inductance", "Loop inductance too high")</f>
        <v>Enter the estimated loop inductance</v>
      </c>
      <c r="G17" s="9" t="s">
        <v>60</v>
      </c>
      <c r="H17" s="12" t="s">
        <v>61</v>
      </c>
      <c r="I17" s="60">
        <f>(Tcycle/1000000)/ ( C_* 0.000000000001) /5 /1000</f>
        <v>2.0784609690826521</v>
      </c>
      <c r="J17" s="66" t="s">
        <v>62</v>
      </c>
      <c r="L17" s="18"/>
      <c r="M17" s="61"/>
      <c r="N17" s="67"/>
      <c r="O17" s="18"/>
    </row>
    <row r="18" spans="1:15" ht="14.25" x14ac:dyDescent="0.45">
      <c r="G18" s="9" t="s">
        <v>119</v>
      </c>
      <c r="H18" s="12" t="s">
        <v>64</v>
      </c>
      <c r="I18" s="92">
        <f>0.5*C_*0.000000000001*(HV-Vf)^2*fo*1000</f>
        <v>1.886203329442508</v>
      </c>
      <c r="J18" s="66" t="s">
        <v>16</v>
      </c>
      <c r="L18" s="18"/>
      <c r="M18" s="61"/>
      <c r="N18" s="67"/>
      <c r="O18" s="18"/>
    </row>
    <row r="19" spans="1:15" x14ac:dyDescent="0.25">
      <c r="B19" s="2"/>
      <c r="G19" s="9" t="s">
        <v>65</v>
      </c>
      <c r="H19" s="12" t="s">
        <v>66</v>
      </c>
      <c r="I19" s="60">
        <f>2*PI()*(1/(tp/1000000000))*(Lp/1000000000)</f>
        <v>1.5707963267948966</v>
      </c>
      <c r="J19" s="66" t="s">
        <v>67</v>
      </c>
      <c r="L19" s="18"/>
      <c r="M19" s="61"/>
      <c r="N19" s="67"/>
      <c r="O19" s="18"/>
    </row>
    <row r="20" spans="1:15" x14ac:dyDescent="0.25">
      <c r="G20" s="9" t="s">
        <v>68</v>
      </c>
      <c r="H20" s="12" t="s">
        <v>69</v>
      </c>
      <c r="I20" s="60">
        <f>(HV-Vf)/Imax-Xloop</f>
        <v>4.0863465303479609</v>
      </c>
      <c r="J20" s="66" t="s">
        <v>67</v>
      </c>
      <c r="L20" s="18"/>
      <c r="M20" s="18"/>
      <c r="N20" s="67"/>
      <c r="O20" s="18"/>
    </row>
    <row r="21" spans="1:15" ht="14.25" x14ac:dyDescent="0.45">
      <c r="A21" s="30"/>
      <c r="G21" s="9" t="s">
        <v>121</v>
      </c>
      <c r="H21" s="12" t="s">
        <v>71</v>
      </c>
      <c r="I21" s="60">
        <f>I_rms^2*Rlimit*(tp/1000000000)*(fo*1000)</f>
        <v>1.6685914998920841</v>
      </c>
      <c r="J21" s="66" t="s">
        <v>16</v>
      </c>
      <c r="L21" s="18"/>
      <c r="M21" s="18"/>
      <c r="N21" s="68"/>
      <c r="O21" s="18"/>
    </row>
    <row r="22" spans="1:15" ht="14.25" x14ac:dyDescent="0.45">
      <c r="A22" s="69"/>
      <c r="B22" s="70"/>
      <c r="G22" s="9" t="s">
        <v>72</v>
      </c>
      <c r="H22" s="12" t="s">
        <v>73</v>
      </c>
      <c r="I22" s="60">
        <f>I_rms*SQRT( (Lp*0.000000001) / (C_*0.000000000001))</f>
        <v>32.571170068573487</v>
      </c>
      <c r="J22" s="49" t="s">
        <v>12</v>
      </c>
      <c r="L22" s="18"/>
      <c r="M22" s="18"/>
      <c r="N22" s="68"/>
      <c r="O22" s="18"/>
    </row>
    <row r="23" spans="1:15" ht="14.25" x14ac:dyDescent="0.45">
      <c r="A23" s="69"/>
      <c r="B23" s="70"/>
      <c r="L23" s="18"/>
      <c r="M23" s="18"/>
      <c r="N23" s="68"/>
      <c r="O23" s="18"/>
    </row>
    <row r="24" spans="1:15" ht="14.25" x14ac:dyDescent="0.45">
      <c r="I24" s="61"/>
      <c r="L24" s="18"/>
      <c r="M24" s="18"/>
      <c r="N24" s="68"/>
      <c r="O24" s="18"/>
    </row>
    <row r="25" spans="1:15" ht="14.25" x14ac:dyDescent="0.45">
      <c r="G25" s="3"/>
      <c r="I25" s="61"/>
      <c r="L25" s="18"/>
      <c r="M25" s="18"/>
      <c r="N25" s="71"/>
      <c r="O25" s="18"/>
    </row>
    <row r="26" spans="1:15" ht="14.25" x14ac:dyDescent="0.45">
      <c r="G26" s="89" t="s">
        <v>74</v>
      </c>
      <c r="H26" s="22"/>
      <c r="I26" s="72"/>
      <c r="L26" s="18"/>
      <c r="M26" s="18"/>
      <c r="N26" s="67"/>
      <c r="O26" s="18"/>
    </row>
    <row r="27" spans="1:15" ht="14.25" x14ac:dyDescent="0.45">
      <c r="G27" s="90" t="s">
        <v>75</v>
      </c>
      <c r="H27" s="22"/>
      <c r="I27" s="6"/>
      <c r="L27" s="18"/>
      <c r="M27" s="18"/>
      <c r="N27" s="68"/>
      <c r="O27" s="73"/>
    </row>
    <row r="28" spans="1:15" ht="14.25" x14ac:dyDescent="0.45">
      <c r="G28" s="91" t="s">
        <v>76</v>
      </c>
      <c r="L28" s="18"/>
      <c r="M28" s="18"/>
      <c r="N28" s="67"/>
      <c r="O28" s="73"/>
    </row>
    <row r="29" spans="1:15" ht="14.25" x14ac:dyDescent="0.45">
      <c r="L29" s="18"/>
      <c r="M29" s="18"/>
      <c r="N29" s="74"/>
      <c r="O29" s="18"/>
    </row>
    <row r="30" spans="1:15" ht="14.25" x14ac:dyDescent="0.45">
      <c r="L30" s="18"/>
      <c r="M30" s="18"/>
      <c r="N30" s="67"/>
      <c r="O30" s="73"/>
    </row>
    <row r="31" spans="1:15" ht="14.25" x14ac:dyDescent="0.45">
      <c r="L31" s="18"/>
      <c r="M31" s="18"/>
      <c r="N31" s="18"/>
      <c r="O31" s="18"/>
    </row>
    <row r="37" spans="5:6" ht="14.25" x14ac:dyDescent="0.45">
      <c r="F37" s="7"/>
    </row>
    <row r="38" spans="5:6" ht="14.25" x14ac:dyDescent="0.45">
      <c r="E38" s="7"/>
    </row>
  </sheetData>
  <sheetProtection password="CEF1" sheet="1" objects="1" scenarios="1" selectLockedCells="1"/>
  <conditionalFormatting sqref="E14 C14">
    <cfRule type="expression" dxfId="13" priority="16">
      <formula>$C$14&lt;0.5</formula>
    </cfRule>
  </conditionalFormatting>
  <conditionalFormatting sqref="C13 E13">
    <cfRule type="expression" dxfId="12" priority="15">
      <formula>$C$13&lt;5</formula>
    </cfRule>
  </conditionalFormatting>
  <conditionalFormatting sqref="E19">
    <cfRule type="expression" dxfId="11" priority="14">
      <formula>OR(C19&lt;25,C19&gt;2500)</formula>
    </cfRule>
  </conditionalFormatting>
  <conditionalFormatting sqref="G26:H26">
    <cfRule type="expression" dxfId="10" priority="12">
      <formula>$I$9&gt;6</formula>
    </cfRule>
    <cfRule type="expression" dxfId="9" priority="13">
      <formula>$I$9&lt;1.4</formula>
    </cfRule>
  </conditionalFormatting>
  <conditionalFormatting sqref="G27:H27">
    <cfRule type="expression" dxfId="8" priority="10">
      <formula>$I$9&gt;6</formula>
    </cfRule>
    <cfRule type="expression" dxfId="7" priority="11">
      <formula>$I$9&lt;1.4</formula>
    </cfRule>
  </conditionalFormatting>
  <conditionalFormatting sqref="E12 C12">
    <cfRule type="expression" dxfId="6" priority="17">
      <formula>$C$9+$C$11&lt;$C$12</formula>
    </cfRule>
    <cfRule type="expression" dxfId="5" priority="18">
      <formula>$C$12&lt;$C$10+$C$11</formula>
    </cfRule>
  </conditionalFormatting>
  <conditionalFormatting sqref="E15 C15">
    <cfRule type="expression" dxfId="4" priority="6">
      <formula>$C$15&gt;2000</formula>
    </cfRule>
  </conditionalFormatting>
  <conditionalFormatting sqref="E16 C16">
    <cfRule type="expression" dxfId="3" priority="5">
      <formula>$C$16&lt;0.5</formula>
    </cfRule>
  </conditionalFormatting>
  <conditionalFormatting sqref="E17 C17 I20:I21">
    <cfRule type="expression" dxfId="2" priority="4">
      <formula>$I$20&lt;0</formula>
    </cfRule>
  </conditionalFormatting>
  <conditionalFormatting sqref="C9:C10 E9:E10">
    <cfRule type="expression" dxfId="1" priority="2">
      <formula>$C$9&lt;$C$10</formula>
    </cfRule>
  </conditionalFormatting>
  <conditionalFormatting sqref="C11 E11">
    <cfRule type="expression" dxfId="0" priority="1">
      <formula>$C$11&lt;0</formula>
    </cfRule>
  </conditionalFormatting>
  <dataValidations disablePrompts="1" count="1">
    <dataValidation type="list" allowBlank="1" showInputMessage="1" showErrorMessage="1" promptTitle="Select the device " prompt="Select the device type" sqref="C2">
      <formula1>$A$22:$A$23</formula1>
    </dataValidation>
  </dataValidations>
  <pageMargins left="0.7" right="0.7" top="0.75" bottom="0.75" header="0.3" footer="0.3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showGridLines="0" zoomScale="115" zoomScaleNormal="115" workbookViewId="0">
      <pane ySplit="3" topLeftCell="A4" activePane="bottomLeft" state="frozen"/>
      <selection pane="bottomLeft" activeCell="C21" sqref="C21"/>
    </sheetView>
  </sheetViews>
  <sheetFormatPr defaultColWidth="9" defaultRowHeight="15" x14ac:dyDescent="0.25"/>
  <cols>
    <col min="1" max="1" width="33.85546875" style="2" bestFit="1" customWidth="1"/>
    <col min="2" max="2" width="10.85546875" style="2" customWidth="1"/>
    <col min="3" max="3" width="90" style="2" bestFit="1" customWidth="1"/>
    <col min="4" max="16384" width="9" style="2"/>
  </cols>
  <sheetData>
    <row r="1" spans="1:48" ht="14.25" x14ac:dyDescent="0.45">
      <c r="A1" s="95" t="s">
        <v>113</v>
      </c>
      <c r="B1" s="95"/>
      <c r="C1" s="95"/>
      <c r="D1" s="95"/>
      <c r="E1" s="95"/>
    </row>
    <row r="3" spans="1:48" s="3" customFormat="1" ht="15" customHeight="1" x14ac:dyDescent="0.45">
      <c r="A3" s="4" t="s">
        <v>77</v>
      </c>
    </row>
    <row r="5" spans="1:48" ht="14.25" x14ac:dyDescent="0.45">
      <c r="A5" s="83" t="s">
        <v>78</v>
      </c>
      <c r="B5" s="84" t="s">
        <v>4</v>
      </c>
      <c r="C5" s="83" t="s">
        <v>79</v>
      </c>
    </row>
    <row r="6" spans="1:48" ht="14.25" x14ac:dyDescent="0.45">
      <c r="A6" s="75" t="s">
        <v>10</v>
      </c>
      <c r="B6" s="76" t="s">
        <v>11</v>
      </c>
      <c r="C6" s="81" t="s">
        <v>115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14.25" x14ac:dyDescent="0.45">
      <c r="A7" s="77" t="s">
        <v>17</v>
      </c>
      <c r="B7" s="78" t="s">
        <v>18</v>
      </c>
      <c r="C7" s="81" t="s">
        <v>116</v>
      </c>
    </row>
    <row r="8" spans="1:48" ht="14.25" x14ac:dyDescent="0.45">
      <c r="A8" s="75" t="s">
        <v>22</v>
      </c>
      <c r="B8" s="76" t="s">
        <v>23</v>
      </c>
      <c r="C8" s="8" t="s">
        <v>80</v>
      </c>
    </row>
    <row r="9" spans="1:48" ht="14.25" x14ac:dyDescent="0.45">
      <c r="A9" s="79" t="s">
        <v>27</v>
      </c>
      <c r="B9" s="80" t="s">
        <v>28</v>
      </c>
      <c r="C9" s="82" t="s">
        <v>81</v>
      </c>
      <c r="D9" s="7"/>
      <c r="E9" s="7"/>
      <c r="F9" s="7"/>
    </row>
    <row r="10" spans="1:48" ht="14.25" x14ac:dyDescent="0.45">
      <c r="A10" s="75" t="s">
        <v>33</v>
      </c>
      <c r="B10" s="76" t="s">
        <v>34</v>
      </c>
      <c r="C10" s="8" t="s">
        <v>82</v>
      </c>
    </row>
    <row r="11" spans="1:48" ht="14.25" x14ac:dyDescent="0.45">
      <c r="A11" s="75" t="s">
        <v>39</v>
      </c>
      <c r="B11" s="76" t="s">
        <v>40</v>
      </c>
      <c r="C11" s="8" t="s">
        <v>83</v>
      </c>
    </row>
    <row r="12" spans="1:48" ht="14.25" x14ac:dyDescent="0.45">
      <c r="A12" s="75" t="s">
        <v>118</v>
      </c>
      <c r="B12" s="76" t="s">
        <v>46</v>
      </c>
      <c r="C12" s="8" t="s">
        <v>84</v>
      </c>
    </row>
    <row r="13" spans="1:48" ht="14.25" x14ac:dyDescent="0.45">
      <c r="A13" s="75" t="s">
        <v>51</v>
      </c>
      <c r="B13" s="76" t="s">
        <v>52</v>
      </c>
      <c r="C13" s="8" t="s">
        <v>85</v>
      </c>
    </row>
    <row r="14" spans="1:48" ht="14.25" x14ac:dyDescent="0.45">
      <c r="A14" s="75" t="s">
        <v>57</v>
      </c>
      <c r="B14" s="76" t="s">
        <v>58</v>
      </c>
      <c r="C14" s="8" t="s">
        <v>117</v>
      </c>
    </row>
    <row r="15" spans="1:48" ht="14.25" x14ac:dyDescent="0.45">
      <c r="A15" s="30"/>
      <c r="B15" s="30"/>
    </row>
    <row r="16" spans="1:48" ht="14.25" x14ac:dyDescent="0.45">
      <c r="A16" s="85" t="s">
        <v>8</v>
      </c>
      <c r="B16" s="84" t="s">
        <v>4</v>
      </c>
      <c r="C16" s="83" t="s">
        <v>79</v>
      </c>
    </row>
    <row r="17" spans="1:3" ht="14.25" x14ac:dyDescent="0.45">
      <c r="A17" s="9" t="s">
        <v>14</v>
      </c>
      <c r="B17" s="10" t="s">
        <v>15</v>
      </c>
      <c r="C17" s="8" t="s">
        <v>86</v>
      </c>
    </row>
    <row r="18" spans="1:3" ht="14.25" x14ac:dyDescent="0.45">
      <c r="A18" s="11" t="s">
        <v>20</v>
      </c>
      <c r="B18" s="12" t="s">
        <v>21</v>
      </c>
      <c r="C18" s="8" t="s">
        <v>122</v>
      </c>
    </row>
    <row r="19" spans="1:3" ht="14.25" x14ac:dyDescent="0.45">
      <c r="A19" s="11" t="s">
        <v>25</v>
      </c>
      <c r="B19" s="12" t="s">
        <v>26</v>
      </c>
      <c r="C19" s="8" t="s">
        <v>123</v>
      </c>
    </row>
    <row r="20" spans="1:3" ht="14.25" x14ac:dyDescent="0.45">
      <c r="A20" s="9" t="s">
        <v>30</v>
      </c>
      <c r="B20" s="12" t="s">
        <v>31</v>
      </c>
      <c r="C20" s="8" t="s">
        <v>124</v>
      </c>
    </row>
    <row r="21" spans="1:3" ht="14.25" x14ac:dyDescent="0.45">
      <c r="A21" s="9" t="s">
        <v>36</v>
      </c>
      <c r="B21" s="12" t="s">
        <v>37</v>
      </c>
      <c r="C21" s="8" t="s">
        <v>87</v>
      </c>
    </row>
    <row r="22" spans="1:3" ht="14.25" x14ac:dyDescent="0.45">
      <c r="A22" s="9" t="s">
        <v>43</v>
      </c>
      <c r="B22" s="12" t="s">
        <v>44</v>
      </c>
      <c r="C22" s="8" t="s">
        <v>88</v>
      </c>
    </row>
    <row r="23" spans="1:3" ht="14.25" x14ac:dyDescent="0.45">
      <c r="A23" s="9" t="s">
        <v>48</v>
      </c>
      <c r="B23" s="12" t="s">
        <v>49</v>
      </c>
      <c r="C23" s="8" t="s">
        <v>89</v>
      </c>
    </row>
    <row r="24" spans="1:3" ht="14.25" x14ac:dyDescent="0.45">
      <c r="A24" s="9" t="s">
        <v>55</v>
      </c>
      <c r="B24" s="12" t="s">
        <v>56</v>
      </c>
      <c r="C24" s="8" t="s">
        <v>90</v>
      </c>
    </row>
    <row r="25" spans="1:3" ht="14.25" x14ac:dyDescent="0.45">
      <c r="A25" s="9" t="s">
        <v>60</v>
      </c>
      <c r="B25" s="12" t="s">
        <v>61</v>
      </c>
      <c r="C25" s="8" t="s">
        <v>91</v>
      </c>
    </row>
    <row r="26" spans="1:3" ht="14.25" x14ac:dyDescent="0.45">
      <c r="A26" s="9" t="s">
        <v>63</v>
      </c>
      <c r="B26" s="12" t="s">
        <v>64</v>
      </c>
      <c r="C26" s="8" t="s">
        <v>92</v>
      </c>
    </row>
    <row r="27" spans="1:3" ht="14.25" x14ac:dyDescent="0.45">
      <c r="A27" s="9" t="s">
        <v>65</v>
      </c>
      <c r="B27" s="12" t="s">
        <v>66</v>
      </c>
      <c r="C27" s="8" t="s">
        <v>93</v>
      </c>
    </row>
    <row r="28" spans="1:3" ht="14.25" x14ac:dyDescent="0.45">
      <c r="A28" s="9" t="s">
        <v>68</v>
      </c>
      <c r="B28" s="12" t="s">
        <v>69</v>
      </c>
      <c r="C28" s="8" t="s">
        <v>94</v>
      </c>
    </row>
    <row r="29" spans="1:3" ht="14.25" x14ac:dyDescent="0.45">
      <c r="A29" s="9" t="s">
        <v>70</v>
      </c>
      <c r="B29" s="12" t="s">
        <v>71</v>
      </c>
      <c r="C29" s="8" t="s">
        <v>95</v>
      </c>
    </row>
    <row r="30" spans="1:3" ht="14.25" x14ac:dyDescent="0.45">
      <c r="A30" s="9" t="s">
        <v>72</v>
      </c>
      <c r="B30" s="12" t="s">
        <v>73</v>
      </c>
      <c r="C30" s="8" t="s">
        <v>96</v>
      </c>
    </row>
  </sheetData>
  <sheetProtection password="CEF1" sheet="1" objects="1" scenarios="1" selectLockedCells="1" selectUnlockedCells="1"/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F23" sqref="F23"/>
    </sheetView>
  </sheetViews>
  <sheetFormatPr defaultColWidth="9" defaultRowHeight="15" x14ac:dyDescent="0.25"/>
  <cols>
    <col min="1" max="1" width="14.5703125" style="14" customWidth="1"/>
    <col min="2" max="2" width="46" style="14" customWidth="1"/>
    <col min="3" max="16384" width="9" style="14"/>
  </cols>
  <sheetData>
    <row r="1" spans="1:3" ht="14.25" x14ac:dyDescent="0.45">
      <c r="A1" s="13" t="s">
        <v>97</v>
      </c>
    </row>
    <row r="3" spans="1:3" ht="14.25" x14ac:dyDescent="0.45">
      <c r="A3" s="15" t="s">
        <v>98</v>
      </c>
      <c r="B3" s="15" t="s">
        <v>99</v>
      </c>
      <c r="C3" s="15" t="s">
        <v>100</v>
      </c>
    </row>
    <row r="4" spans="1:3" ht="14.25" x14ac:dyDescent="0.45">
      <c r="A4" s="16"/>
      <c r="B4" s="16"/>
      <c r="C4" s="16"/>
    </row>
    <row r="5" spans="1:3" x14ac:dyDescent="0.25">
      <c r="A5" s="16" t="s">
        <v>101</v>
      </c>
      <c r="B5" s="16" t="s">
        <v>102</v>
      </c>
      <c r="C5" s="17" t="s">
        <v>103</v>
      </c>
    </row>
    <row r="6" spans="1:3" ht="14.25" x14ac:dyDescent="0.45">
      <c r="A6" s="16"/>
      <c r="B6" s="16"/>
      <c r="C6" s="16"/>
    </row>
    <row r="7" spans="1:3" x14ac:dyDescent="0.25">
      <c r="A7" s="16" t="s">
        <v>104</v>
      </c>
      <c r="B7" s="16" t="s">
        <v>105</v>
      </c>
      <c r="C7" s="17" t="s">
        <v>103</v>
      </c>
    </row>
    <row r="8" spans="1:3" x14ac:dyDescent="0.25">
      <c r="A8" s="16"/>
      <c r="B8" s="16" t="s">
        <v>106</v>
      </c>
      <c r="C8" s="17" t="s">
        <v>103</v>
      </c>
    </row>
    <row r="9" spans="1:3" x14ac:dyDescent="0.25">
      <c r="A9" s="16"/>
      <c r="B9" s="16" t="s">
        <v>107</v>
      </c>
      <c r="C9" s="17" t="s">
        <v>103</v>
      </c>
    </row>
    <row r="10" spans="1:3" x14ac:dyDescent="0.25">
      <c r="A10" s="16"/>
      <c r="B10" s="16" t="s">
        <v>108</v>
      </c>
      <c r="C10" s="17" t="s">
        <v>103</v>
      </c>
    </row>
    <row r="11" spans="1:3" x14ac:dyDescent="0.25">
      <c r="A11" s="16"/>
      <c r="B11" s="16" t="s">
        <v>109</v>
      </c>
      <c r="C11" s="17" t="s">
        <v>103</v>
      </c>
    </row>
    <row r="12" spans="1:3" ht="14.25" x14ac:dyDescent="0.45">
      <c r="B12" s="16"/>
      <c r="C12" s="16"/>
    </row>
    <row r="13" spans="1:3" x14ac:dyDescent="0.25">
      <c r="A13" s="16" t="s">
        <v>110</v>
      </c>
      <c r="B13" s="16" t="s">
        <v>105</v>
      </c>
      <c r="C13" s="17" t="s">
        <v>103</v>
      </c>
    </row>
    <row r="14" spans="1:3" x14ac:dyDescent="0.25">
      <c r="A14" s="16"/>
      <c r="B14" s="16" t="s">
        <v>111</v>
      </c>
      <c r="C14" s="17" t="s">
        <v>103</v>
      </c>
    </row>
    <row r="15" spans="1:3" ht="14.25" x14ac:dyDescent="0.45">
      <c r="A15" s="16"/>
      <c r="B15" s="16"/>
      <c r="C15" s="16"/>
    </row>
    <row r="16" spans="1:3" ht="14.25" x14ac:dyDescent="0.45">
      <c r="A16" s="16"/>
      <c r="B16" s="16"/>
      <c r="C16" s="16"/>
    </row>
    <row r="17" spans="1:3" ht="14.25" x14ac:dyDescent="0.45">
      <c r="A17" s="16"/>
      <c r="B17" s="16"/>
      <c r="C17" s="16"/>
    </row>
    <row r="18" spans="1:3" ht="14.25" x14ac:dyDescent="0.45">
      <c r="A18" s="16"/>
      <c r="B18" s="16"/>
      <c r="C18" s="16"/>
    </row>
    <row r="19" spans="1:3" ht="14.25" x14ac:dyDescent="0.45">
      <c r="A19" s="16"/>
      <c r="B19" s="16"/>
      <c r="C19" s="16"/>
    </row>
    <row r="20" spans="1:3" ht="14.25" x14ac:dyDescent="0.45">
      <c r="A20" s="16"/>
      <c r="B20" s="16"/>
      <c r="C20" s="16"/>
    </row>
    <row r="21" spans="1:3" ht="14.25" x14ac:dyDescent="0.45">
      <c r="A21" s="16"/>
      <c r="B21" s="16"/>
      <c r="C21" s="16"/>
    </row>
    <row r="22" spans="1:3" ht="14.25" x14ac:dyDescent="0.45">
      <c r="A22" s="16"/>
      <c r="B22" s="16"/>
      <c r="C22" s="16"/>
    </row>
    <row r="23" spans="1:3" ht="14.25" x14ac:dyDescent="0.45">
      <c r="A23" s="16"/>
      <c r="B23" s="16"/>
      <c r="C23" s="16"/>
    </row>
    <row r="24" spans="1:3" ht="14.25" x14ac:dyDescent="0.45">
      <c r="A24" s="16"/>
      <c r="B24" s="16"/>
      <c r="C24" s="16"/>
    </row>
    <row r="25" spans="1:3" ht="14.25" x14ac:dyDescent="0.45">
      <c r="A25" s="16"/>
      <c r="B25" s="16"/>
      <c r="C25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23</vt:i4>
      </vt:variant>
    </vt:vector>
  </HeadingPairs>
  <TitlesOfParts>
    <vt:vector size="26" baseType="lpstr">
      <vt:lpstr>Calculator</vt:lpstr>
      <vt:lpstr>Notes</vt:lpstr>
      <vt:lpstr>Sheet1 (2)</vt:lpstr>
      <vt:lpstr>Calculator!BVCEO</vt:lpstr>
      <vt:lpstr>Calculator!BVCES</vt:lpstr>
      <vt:lpstr>Calculator!C_</vt:lpstr>
      <vt:lpstr>Calculator!E</vt:lpstr>
      <vt:lpstr>Calculator!Ecap</vt:lpstr>
      <vt:lpstr>Calculator!fo</vt:lpstr>
      <vt:lpstr>Calculator!HV</vt:lpstr>
      <vt:lpstr>Calculator!I_rms</vt:lpstr>
      <vt:lpstr>Calculator!Imax</vt:lpstr>
      <vt:lpstr>Calculator!Lp</vt:lpstr>
      <vt:lpstr>Calculator!P_pk</vt:lpstr>
      <vt:lpstr>Calculator!Pled_pk</vt:lpstr>
      <vt:lpstr>Calculator!Q</vt:lpstr>
      <vt:lpstr>Calculator!Rcharge</vt:lpstr>
      <vt:lpstr>Calculator!Rlimit</vt:lpstr>
      <vt:lpstr>Notes!Tcycle</vt:lpstr>
      <vt:lpstr>'Sheet1 (2)'!Tcycle</vt:lpstr>
      <vt:lpstr>Tcycle</vt:lpstr>
      <vt:lpstr>Calculator!tp</vt:lpstr>
      <vt:lpstr>V_ring</vt:lpstr>
      <vt:lpstr>Calculator!V_rms</vt:lpstr>
      <vt:lpstr>Calculator!Vf</vt:lpstr>
      <vt:lpstr>Calculator!Xloop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2019-07-15T15:51:39Z</dcterms:modified>
</cp:coreProperties>
</file>