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0" windowWidth="23750" windowHeight="1250"/>
  </bookViews>
  <sheets>
    <sheet name="Power Loss" sheetId="1" r:id="rId1"/>
    <sheet name="Efficiency Summary" sheetId="2" r:id="rId2"/>
    <sheet name="Compensation" sheetId="3" r:id="rId3"/>
  </sheets>
  <definedNames>
    <definedName name="_Cap1">Compensation!$M$30</definedName>
    <definedName name="_cap2">Compensation!$M$31</definedName>
    <definedName name="_Cfb1">Compensation!$C$33</definedName>
    <definedName name="_Cfb2">Compensation!$C$34</definedName>
    <definedName name="_res1">Compensation!$M$29</definedName>
    <definedName name="_Rfb1">Compensation!$C$31</definedName>
    <definedName name="_Rfb2">Compensation!$C$32</definedName>
    <definedName name="Cap">'Power Loss'!$B$32</definedName>
    <definedName name="D">'Power Loss'!$F$19</definedName>
    <definedName name="DCR">'Power Loss'!$B$28</definedName>
    <definedName name="Dmax">Compensation!$M$20</definedName>
    <definedName name="EA_BW">Compensation!$M$26</definedName>
    <definedName name="EA_DC">Compensation!$M$23</definedName>
    <definedName name="Efficiency">'Power Loss'!$B$96</definedName>
    <definedName name="ESR">'Power Loss'!$B$33</definedName>
    <definedName name="F0">Compensation!$C$26</definedName>
    <definedName name="Fc">Compensation!$M$28</definedName>
    <definedName name="Fm">Compensation!$A$43</definedName>
    <definedName name="Fs">'Power Loss'!$B$18</definedName>
    <definedName name="Fstart">Compensation!$C$55</definedName>
    <definedName name="Fstep">Compensation!$C$57</definedName>
    <definedName name="Fstop">Compensation!$C$56</definedName>
    <definedName name="Gdo">Compensation!$C$24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Compensation!$C$27</definedName>
    <definedName name="Qn">Compensation!$A$41</definedName>
    <definedName name="Roerr">Compensation!$M$24</definedName>
    <definedName name="Ron_l">'Power Loss'!$B$63</definedName>
    <definedName name="Ron_u">'Power Loss'!$B$46</definedName>
    <definedName name="Rout">'Power Loss'!$F$20</definedName>
    <definedName name="RT">Compensation!$M$20</definedName>
    <definedName name="Se">Compensation!$M$21</definedName>
    <definedName name="Sn">Compensation!$M$22</definedName>
    <definedName name="Step">Compensation!$C$58</definedName>
    <definedName name="Tloss">'Power Loss'!$B$95</definedName>
    <definedName name="VFB">Compensation!$M$25</definedName>
    <definedName name="Vin">'Power Loss'!$B$19</definedName>
    <definedName name="Vout">'Power Loss'!$B$20</definedName>
    <definedName name="wn">Compensation!$A$40</definedName>
  </definedNames>
  <calcPr calcId="145621"/>
</workbook>
</file>

<file path=xl/calcChain.xml><?xml version="1.0" encoding="utf-8"?>
<calcChain xmlns="http://schemas.openxmlformats.org/spreadsheetml/2006/main">
  <c r="H42" i="1" l="1"/>
  <c r="A20" i="1"/>
  <c r="A19" i="1"/>
  <c r="F34" i="1" l="1"/>
  <c r="G31" i="1"/>
  <c r="A27" i="1"/>
  <c r="B39" i="1"/>
  <c r="B36" i="1"/>
  <c r="B63" i="1" l="1"/>
  <c r="B46" i="1"/>
  <c r="H37" i="1" l="1"/>
  <c r="C44" i="2" l="1"/>
  <c r="A13" i="2"/>
  <c r="D72" i="2" l="1"/>
  <c r="D44" i="2"/>
  <c r="E72" i="2" l="1"/>
  <c r="H41" i="2" s="1"/>
  <c r="E44" i="2"/>
  <c r="F44" i="2" l="1"/>
  <c r="H13" i="2"/>
  <c r="G44" i="2"/>
  <c r="E32" i="3"/>
  <c r="M22" i="3" l="1"/>
  <c r="C58" i="3" l="1"/>
  <c r="B80" i="3" s="1"/>
  <c r="C80" i="3" s="1"/>
  <c r="A41" i="3"/>
  <c r="M33" i="3"/>
  <c r="M32" i="3"/>
  <c r="C31" i="3"/>
  <c r="C28" i="3"/>
  <c r="C26" i="3"/>
  <c r="C25" i="3"/>
  <c r="B10" i="2"/>
  <c r="B80" i="1"/>
  <c r="B83" i="1" s="1"/>
  <c r="B79" i="1"/>
  <c r="B74" i="1"/>
  <c r="B58" i="1"/>
  <c r="F26" i="1"/>
  <c r="F20" i="1"/>
  <c r="J263" i="3" s="1"/>
  <c r="E9" i="2" l="1"/>
  <c r="A22" i="1"/>
  <c r="C72" i="2"/>
  <c r="C68" i="2"/>
  <c r="C64" i="2"/>
  <c r="C60" i="2"/>
  <c r="C56" i="2"/>
  <c r="C52" i="2"/>
  <c r="C48" i="2"/>
  <c r="A38" i="2"/>
  <c r="A34" i="2"/>
  <c r="A30" i="2"/>
  <c r="A26" i="2"/>
  <c r="A22" i="2"/>
  <c r="A18" i="2"/>
  <c r="A14" i="2"/>
  <c r="C71" i="2"/>
  <c r="C67" i="2"/>
  <c r="C63" i="2"/>
  <c r="C59" i="2"/>
  <c r="C55" i="2"/>
  <c r="C51" i="2"/>
  <c r="C47" i="2"/>
  <c r="A41" i="2"/>
  <c r="A37" i="2"/>
  <c r="A33" i="2"/>
  <c r="A29" i="2"/>
  <c r="A25" i="2"/>
  <c r="C70" i="2"/>
  <c r="C66" i="2"/>
  <c r="C62" i="2"/>
  <c r="C58" i="2"/>
  <c r="C54" i="2"/>
  <c r="C50" i="2"/>
  <c r="C46" i="2"/>
  <c r="A40" i="2"/>
  <c r="A36" i="2"/>
  <c r="A32" i="2"/>
  <c r="A28" i="2"/>
  <c r="A24" i="2"/>
  <c r="A20" i="2"/>
  <c r="A16" i="2"/>
  <c r="C69" i="2"/>
  <c r="C65" i="2"/>
  <c r="C61" i="2"/>
  <c r="C57" i="2"/>
  <c r="C53" i="2"/>
  <c r="C49" i="2"/>
  <c r="C45" i="2"/>
  <c r="A39" i="2"/>
  <c r="A35" i="2"/>
  <c r="A31" i="2"/>
  <c r="A27" i="2"/>
  <c r="A23" i="2"/>
  <c r="A19" i="2"/>
  <c r="A15" i="2"/>
  <c r="A21" i="2"/>
  <c r="A17" i="2"/>
  <c r="A40" i="3"/>
  <c r="E28" i="1"/>
  <c r="R73" i="3"/>
  <c r="R151" i="3"/>
  <c r="B89" i="1"/>
  <c r="K31" i="1" s="1"/>
  <c r="F27" i="1"/>
  <c r="R89" i="3"/>
  <c r="J173" i="3"/>
  <c r="J109" i="3"/>
  <c r="J205" i="3"/>
  <c r="R130" i="3"/>
  <c r="J237" i="3"/>
  <c r="R65" i="3"/>
  <c r="R81" i="3"/>
  <c r="R98" i="3"/>
  <c r="R119" i="3"/>
  <c r="J141" i="3"/>
  <c r="R162" i="3"/>
  <c r="J189" i="3"/>
  <c r="J221" i="3"/>
  <c r="R69" i="3"/>
  <c r="R85" i="3"/>
  <c r="R103" i="3"/>
  <c r="J125" i="3"/>
  <c r="R146" i="3"/>
  <c r="R167" i="3"/>
  <c r="J197" i="3"/>
  <c r="J229" i="3"/>
  <c r="R77" i="3"/>
  <c r="R93" i="3"/>
  <c r="R114" i="3"/>
  <c r="R135" i="3"/>
  <c r="J157" i="3"/>
  <c r="J181" i="3"/>
  <c r="J213" i="3"/>
  <c r="J249" i="3"/>
  <c r="J66" i="3"/>
  <c r="J74" i="3"/>
  <c r="J82" i="3"/>
  <c r="J90" i="3"/>
  <c r="J99" i="3"/>
  <c r="R109" i="3"/>
  <c r="R120" i="3"/>
  <c r="J131" i="3"/>
  <c r="R141" i="3"/>
  <c r="J147" i="3"/>
  <c r="R157" i="3"/>
  <c r="R168" i="3"/>
  <c r="R189" i="3"/>
  <c r="R213" i="3"/>
  <c r="C24" i="3"/>
  <c r="R67" i="3"/>
  <c r="R71" i="3"/>
  <c r="R75" i="3"/>
  <c r="R79" i="3"/>
  <c r="R83" i="3"/>
  <c r="R87" i="3"/>
  <c r="R91" i="3"/>
  <c r="R95" i="3"/>
  <c r="J101" i="3"/>
  <c r="R106" i="3"/>
  <c r="R111" i="3"/>
  <c r="J117" i="3"/>
  <c r="R122" i="3"/>
  <c r="R127" i="3"/>
  <c r="J133" i="3"/>
  <c r="R138" i="3"/>
  <c r="R143" i="3"/>
  <c r="J149" i="3"/>
  <c r="R154" i="3"/>
  <c r="R159" i="3"/>
  <c r="J165" i="3"/>
  <c r="R170" i="3"/>
  <c r="J177" i="3"/>
  <c r="J185" i="3"/>
  <c r="J193" i="3"/>
  <c r="J201" i="3"/>
  <c r="J209" i="3"/>
  <c r="J217" i="3"/>
  <c r="J225" i="3"/>
  <c r="J233" i="3"/>
  <c r="J241" i="3"/>
  <c r="J257" i="3"/>
  <c r="J70" i="3"/>
  <c r="J78" i="3"/>
  <c r="J86" i="3"/>
  <c r="J94" i="3"/>
  <c r="R104" i="3"/>
  <c r="J115" i="3"/>
  <c r="R125" i="3"/>
  <c r="R136" i="3"/>
  <c r="R152" i="3"/>
  <c r="J163" i="3"/>
  <c r="R173" i="3"/>
  <c r="R181" i="3"/>
  <c r="R197" i="3"/>
  <c r="R205" i="3"/>
  <c r="R221" i="3"/>
  <c r="R229" i="3"/>
  <c r="R237" i="3"/>
  <c r="J253" i="3"/>
  <c r="J64" i="3"/>
  <c r="J68" i="3"/>
  <c r="J72" i="3"/>
  <c r="J76" i="3"/>
  <c r="J80" i="3"/>
  <c r="J84" i="3"/>
  <c r="J88" i="3"/>
  <c r="J92" i="3"/>
  <c r="R96" i="3"/>
  <c r="R101" i="3"/>
  <c r="J107" i="3"/>
  <c r="R112" i="3"/>
  <c r="R117" i="3"/>
  <c r="J123" i="3"/>
  <c r="R128" i="3"/>
  <c r="R133" i="3"/>
  <c r="J139" i="3"/>
  <c r="R144" i="3"/>
  <c r="R149" i="3"/>
  <c r="J155" i="3"/>
  <c r="R160" i="3"/>
  <c r="R165" i="3"/>
  <c r="J171" i="3"/>
  <c r="R177" i="3"/>
  <c r="R185" i="3"/>
  <c r="R193" i="3"/>
  <c r="R201" i="3"/>
  <c r="R209" i="3"/>
  <c r="R217" i="3"/>
  <c r="R225" i="3"/>
  <c r="R233" i="3"/>
  <c r="J245" i="3"/>
  <c r="J261" i="3"/>
  <c r="R241" i="3"/>
  <c r="R245" i="3"/>
  <c r="R249" i="3"/>
  <c r="R253" i="3"/>
  <c r="R257" i="3"/>
  <c r="R261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J97" i="3"/>
  <c r="R99" i="3"/>
  <c r="R102" i="3"/>
  <c r="J105" i="3"/>
  <c r="R107" i="3"/>
  <c r="R110" i="3"/>
  <c r="J113" i="3"/>
  <c r="R115" i="3"/>
  <c r="R118" i="3"/>
  <c r="J121" i="3"/>
  <c r="R123" i="3"/>
  <c r="R126" i="3"/>
  <c r="J129" i="3"/>
  <c r="R131" i="3"/>
  <c r="R134" i="3"/>
  <c r="J137" i="3"/>
  <c r="R139" i="3"/>
  <c r="R142" i="3"/>
  <c r="J145" i="3"/>
  <c r="R147" i="3"/>
  <c r="R150" i="3"/>
  <c r="J153" i="3"/>
  <c r="R155" i="3"/>
  <c r="R158" i="3"/>
  <c r="J161" i="3"/>
  <c r="R163" i="3"/>
  <c r="R166" i="3"/>
  <c r="J169" i="3"/>
  <c r="R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R264" i="3"/>
  <c r="R262" i="3"/>
  <c r="R260" i="3"/>
  <c r="R258" i="3"/>
  <c r="R256" i="3"/>
  <c r="R254" i="3"/>
  <c r="R252" i="3"/>
  <c r="R250" i="3"/>
  <c r="R248" i="3"/>
  <c r="R246" i="3"/>
  <c r="R244" i="3"/>
  <c r="R242" i="3"/>
  <c r="R240" i="3"/>
  <c r="R238" i="3"/>
  <c r="R236" i="3"/>
  <c r="R234" i="3"/>
  <c r="R232" i="3"/>
  <c r="R230" i="3"/>
  <c r="R228" i="3"/>
  <c r="R226" i="3"/>
  <c r="R224" i="3"/>
  <c r="R222" i="3"/>
  <c r="R220" i="3"/>
  <c r="R218" i="3"/>
  <c r="R216" i="3"/>
  <c r="R214" i="3"/>
  <c r="R212" i="3"/>
  <c r="R210" i="3"/>
  <c r="R208" i="3"/>
  <c r="R206" i="3"/>
  <c r="R204" i="3"/>
  <c r="R202" i="3"/>
  <c r="R200" i="3"/>
  <c r="R198" i="3"/>
  <c r="R196" i="3"/>
  <c r="R194" i="3"/>
  <c r="R192" i="3"/>
  <c r="R190" i="3"/>
  <c r="R188" i="3"/>
  <c r="R186" i="3"/>
  <c r="R184" i="3"/>
  <c r="R182" i="3"/>
  <c r="R180" i="3"/>
  <c r="R178" i="3"/>
  <c r="R176" i="3"/>
  <c r="R174" i="3"/>
  <c r="J264" i="3"/>
  <c r="J262" i="3"/>
  <c r="J260" i="3"/>
  <c r="J258" i="3"/>
  <c r="J256" i="3"/>
  <c r="J254" i="3"/>
  <c r="J252" i="3"/>
  <c r="J250" i="3"/>
  <c r="J248" i="3"/>
  <c r="J246" i="3"/>
  <c r="J244" i="3"/>
  <c r="J242" i="3"/>
  <c r="J240" i="3"/>
  <c r="J238" i="3"/>
  <c r="J236" i="3"/>
  <c r="J234" i="3"/>
  <c r="J232" i="3"/>
  <c r="J230" i="3"/>
  <c r="J228" i="3"/>
  <c r="J226" i="3"/>
  <c r="J224" i="3"/>
  <c r="J222" i="3"/>
  <c r="J220" i="3"/>
  <c r="J218" i="3"/>
  <c r="J216" i="3"/>
  <c r="J214" i="3"/>
  <c r="J212" i="3"/>
  <c r="J210" i="3"/>
  <c r="J208" i="3"/>
  <c r="J206" i="3"/>
  <c r="J204" i="3"/>
  <c r="J202" i="3"/>
  <c r="J200" i="3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R97" i="3"/>
  <c r="R100" i="3"/>
  <c r="J103" i="3"/>
  <c r="R105" i="3"/>
  <c r="R108" i="3"/>
  <c r="J111" i="3"/>
  <c r="R113" i="3"/>
  <c r="R116" i="3"/>
  <c r="J119" i="3"/>
  <c r="R121" i="3"/>
  <c r="R124" i="3"/>
  <c r="J127" i="3"/>
  <c r="R129" i="3"/>
  <c r="R132" i="3"/>
  <c r="J135" i="3"/>
  <c r="R137" i="3"/>
  <c r="R140" i="3"/>
  <c r="J143" i="3"/>
  <c r="R145" i="3"/>
  <c r="R148" i="3"/>
  <c r="J151" i="3"/>
  <c r="R153" i="3"/>
  <c r="R156" i="3"/>
  <c r="J159" i="3"/>
  <c r="R161" i="3"/>
  <c r="R164" i="3"/>
  <c r="J167" i="3"/>
  <c r="R169" i="3"/>
  <c r="R172" i="3"/>
  <c r="R175" i="3"/>
  <c r="R179" i="3"/>
  <c r="R183" i="3"/>
  <c r="R187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B84" i="1"/>
  <c r="B67" i="1"/>
  <c r="B68" i="1"/>
  <c r="F19" i="1"/>
  <c r="B26" i="1" s="1"/>
  <c r="B51" i="1"/>
  <c r="B50" i="1"/>
  <c r="B82" i="1"/>
  <c r="B57" i="1"/>
  <c r="B73" i="1"/>
  <c r="AQ80" i="3"/>
  <c r="AR80" i="3"/>
  <c r="AL80" i="3"/>
  <c r="AM80" i="3" s="1"/>
  <c r="AN80" i="3" s="1"/>
  <c r="AK80" i="3"/>
  <c r="AS80" i="3"/>
  <c r="S80" i="3"/>
  <c r="K80" i="3"/>
  <c r="B78" i="3"/>
  <c r="C78" i="3" s="1"/>
  <c r="M23" i="3"/>
  <c r="A43" i="3" s="1"/>
  <c r="B264" i="3"/>
  <c r="C264" i="3" s="1"/>
  <c r="B262" i="3"/>
  <c r="C262" i="3" s="1"/>
  <c r="B263" i="3"/>
  <c r="C263" i="3" s="1"/>
  <c r="AJ263" i="3" s="1"/>
  <c r="B261" i="3"/>
  <c r="C261" i="3" s="1"/>
  <c r="B259" i="3"/>
  <c r="C259" i="3" s="1"/>
  <c r="B256" i="3"/>
  <c r="C256" i="3" s="1"/>
  <c r="B258" i="3"/>
  <c r="C258" i="3" s="1"/>
  <c r="B253" i="3"/>
  <c r="C253" i="3" s="1"/>
  <c r="B251" i="3"/>
  <c r="C251" i="3" s="1"/>
  <c r="B249" i="3"/>
  <c r="C249" i="3" s="1"/>
  <c r="AJ249" i="3" s="1"/>
  <c r="B260" i="3"/>
  <c r="C260" i="3" s="1"/>
  <c r="B257" i="3"/>
  <c r="C257" i="3" s="1"/>
  <c r="AJ257" i="3" s="1"/>
  <c r="B255" i="3"/>
  <c r="C255" i="3" s="1"/>
  <c r="AJ255" i="3" s="1"/>
  <c r="B254" i="3"/>
  <c r="C254" i="3" s="1"/>
  <c r="B246" i="3"/>
  <c r="C246" i="3" s="1"/>
  <c r="AJ246" i="3" s="1"/>
  <c r="B244" i="3"/>
  <c r="C244" i="3" s="1"/>
  <c r="B242" i="3"/>
  <c r="C242" i="3" s="1"/>
  <c r="B240" i="3"/>
  <c r="C240" i="3" s="1"/>
  <c r="AJ240" i="3" s="1"/>
  <c r="B238" i="3"/>
  <c r="C238" i="3" s="1"/>
  <c r="AJ238" i="3" s="1"/>
  <c r="B236" i="3"/>
  <c r="C236" i="3" s="1"/>
  <c r="B250" i="3"/>
  <c r="C250" i="3" s="1"/>
  <c r="B248" i="3"/>
  <c r="C248" i="3" s="1"/>
  <c r="B235" i="3"/>
  <c r="C235" i="3" s="1"/>
  <c r="B233" i="3"/>
  <c r="C233" i="3" s="1"/>
  <c r="B231" i="3"/>
  <c r="C231" i="3" s="1"/>
  <c r="B229" i="3"/>
  <c r="C229" i="3" s="1"/>
  <c r="B227" i="3"/>
  <c r="C227" i="3" s="1"/>
  <c r="B225" i="3"/>
  <c r="C225" i="3" s="1"/>
  <c r="B223" i="3"/>
  <c r="C223" i="3" s="1"/>
  <c r="B221" i="3"/>
  <c r="C221" i="3" s="1"/>
  <c r="B219" i="3"/>
  <c r="C219" i="3" s="1"/>
  <c r="B247" i="3"/>
  <c r="C247" i="3" s="1"/>
  <c r="B245" i="3"/>
  <c r="C245" i="3" s="1"/>
  <c r="B243" i="3"/>
  <c r="C243" i="3" s="1"/>
  <c r="B252" i="3"/>
  <c r="C252" i="3" s="1"/>
  <c r="B239" i="3"/>
  <c r="C239" i="3" s="1"/>
  <c r="B237" i="3"/>
  <c r="C237" i="3" s="1"/>
  <c r="B234" i="3"/>
  <c r="C234" i="3" s="1"/>
  <c r="B232" i="3"/>
  <c r="C232" i="3" s="1"/>
  <c r="B230" i="3"/>
  <c r="C230" i="3" s="1"/>
  <c r="B228" i="3"/>
  <c r="C228" i="3" s="1"/>
  <c r="B218" i="3"/>
  <c r="C218" i="3" s="1"/>
  <c r="B216" i="3"/>
  <c r="C216" i="3" s="1"/>
  <c r="AJ216" i="3" s="1"/>
  <c r="B226" i="3"/>
  <c r="C226" i="3" s="1"/>
  <c r="B224" i="3"/>
  <c r="C224" i="3" s="1"/>
  <c r="B222" i="3"/>
  <c r="C222" i="3" s="1"/>
  <c r="AJ222" i="3" s="1"/>
  <c r="B220" i="3"/>
  <c r="C220" i="3" s="1"/>
  <c r="B214" i="3"/>
  <c r="C214" i="3" s="1"/>
  <c r="B212" i="3"/>
  <c r="C212" i="3" s="1"/>
  <c r="B210" i="3"/>
  <c r="C210" i="3" s="1"/>
  <c r="B208" i="3"/>
  <c r="C208" i="3" s="1"/>
  <c r="B206" i="3"/>
  <c r="C206" i="3" s="1"/>
  <c r="B215" i="3"/>
  <c r="C215" i="3" s="1"/>
  <c r="AJ215" i="3" s="1"/>
  <c r="B217" i="3"/>
  <c r="C217" i="3" s="1"/>
  <c r="AJ217" i="3" s="1"/>
  <c r="B211" i="3"/>
  <c r="C211" i="3" s="1"/>
  <c r="B205" i="3"/>
  <c r="C205" i="3" s="1"/>
  <c r="AJ205" i="3" s="1"/>
  <c r="B203" i="3"/>
  <c r="C203" i="3" s="1"/>
  <c r="B201" i="3"/>
  <c r="C201" i="3" s="1"/>
  <c r="AJ201" i="3" s="1"/>
  <c r="B199" i="3"/>
  <c r="C199" i="3" s="1"/>
  <c r="B197" i="3"/>
  <c r="C197" i="3" s="1"/>
  <c r="AJ197" i="3" s="1"/>
  <c r="B195" i="3"/>
  <c r="C195" i="3" s="1"/>
  <c r="AJ195" i="3" s="1"/>
  <c r="B193" i="3"/>
  <c r="C193" i="3" s="1"/>
  <c r="AJ193" i="3" s="1"/>
  <c r="B191" i="3"/>
  <c r="C191" i="3" s="1"/>
  <c r="B189" i="3"/>
  <c r="C189" i="3" s="1"/>
  <c r="B241" i="3"/>
  <c r="C241" i="3" s="1"/>
  <c r="B213" i="3"/>
  <c r="C213" i="3" s="1"/>
  <c r="AJ213" i="3" s="1"/>
  <c r="B209" i="3"/>
  <c r="C209" i="3" s="1"/>
  <c r="B204" i="3"/>
  <c r="C204" i="3" s="1"/>
  <c r="B202" i="3"/>
  <c r="C202" i="3" s="1"/>
  <c r="B207" i="3"/>
  <c r="C207" i="3" s="1"/>
  <c r="AJ207" i="3" s="1"/>
  <c r="B200" i="3"/>
  <c r="C200" i="3" s="1"/>
  <c r="AJ200" i="3" s="1"/>
  <c r="B198" i="3"/>
  <c r="C198" i="3" s="1"/>
  <c r="B196" i="3"/>
  <c r="C196" i="3" s="1"/>
  <c r="B186" i="3"/>
  <c r="C186" i="3" s="1"/>
  <c r="AJ186" i="3" s="1"/>
  <c r="B184" i="3"/>
  <c r="C184" i="3" s="1"/>
  <c r="AJ184" i="3" s="1"/>
  <c r="B194" i="3"/>
  <c r="C194" i="3" s="1"/>
  <c r="B190" i="3"/>
  <c r="C190" i="3" s="1"/>
  <c r="B182" i="3"/>
  <c r="C182" i="3" s="1"/>
  <c r="B180" i="3"/>
  <c r="C180" i="3" s="1"/>
  <c r="B178" i="3"/>
  <c r="C178" i="3" s="1"/>
  <c r="B176" i="3"/>
  <c r="C176" i="3" s="1"/>
  <c r="B174" i="3"/>
  <c r="C174" i="3" s="1"/>
  <c r="B172" i="3"/>
  <c r="C172" i="3" s="1"/>
  <c r="B170" i="3"/>
  <c r="C170" i="3" s="1"/>
  <c r="AJ170" i="3" s="1"/>
  <c r="B169" i="3"/>
  <c r="C169" i="3" s="1"/>
  <c r="AJ169" i="3" s="1"/>
  <c r="B167" i="3"/>
  <c r="C167" i="3" s="1"/>
  <c r="B165" i="3"/>
  <c r="C165" i="3" s="1"/>
  <c r="B163" i="3"/>
  <c r="C163" i="3" s="1"/>
  <c r="B161" i="3"/>
  <c r="C161" i="3" s="1"/>
  <c r="AJ161" i="3" s="1"/>
  <c r="B159" i="3"/>
  <c r="C159" i="3" s="1"/>
  <c r="AJ159" i="3" s="1"/>
  <c r="B157" i="3"/>
  <c r="C157" i="3" s="1"/>
  <c r="B183" i="3"/>
  <c r="C183" i="3" s="1"/>
  <c r="B192" i="3"/>
  <c r="C192" i="3" s="1"/>
  <c r="AJ192" i="3" s="1"/>
  <c r="B188" i="3"/>
  <c r="C188" i="3" s="1"/>
  <c r="B187" i="3"/>
  <c r="C187" i="3" s="1"/>
  <c r="B185" i="3"/>
  <c r="C185" i="3" s="1"/>
  <c r="B175" i="3"/>
  <c r="C175" i="3" s="1"/>
  <c r="B181" i="3"/>
  <c r="C181" i="3" s="1"/>
  <c r="B173" i="3"/>
  <c r="C173" i="3" s="1"/>
  <c r="B168" i="3"/>
  <c r="C168" i="3" s="1"/>
  <c r="B166" i="3"/>
  <c r="C166" i="3" s="1"/>
  <c r="AJ166" i="3" s="1"/>
  <c r="B164" i="3"/>
  <c r="C164" i="3" s="1"/>
  <c r="B154" i="3"/>
  <c r="C154" i="3" s="1"/>
  <c r="AJ154" i="3" s="1"/>
  <c r="B152" i="3"/>
  <c r="C152" i="3" s="1"/>
  <c r="AJ152" i="3" s="1"/>
  <c r="B150" i="3"/>
  <c r="C150" i="3" s="1"/>
  <c r="B148" i="3"/>
  <c r="C148" i="3" s="1"/>
  <c r="AJ148" i="3" s="1"/>
  <c r="B146" i="3"/>
  <c r="C146" i="3" s="1"/>
  <c r="B144" i="3"/>
  <c r="C144" i="3" s="1"/>
  <c r="B142" i="3"/>
  <c r="C142" i="3" s="1"/>
  <c r="B140" i="3"/>
  <c r="C140" i="3" s="1"/>
  <c r="AJ140" i="3" s="1"/>
  <c r="B138" i="3"/>
  <c r="C138" i="3" s="1"/>
  <c r="AJ138" i="3" s="1"/>
  <c r="B136" i="3"/>
  <c r="C136" i="3" s="1"/>
  <c r="B134" i="3"/>
  <c r="C134" i="3" s="1"/>
  <c r="B132" i="3"/>
  <c r="C132" i="3" s="1"/>
  <c r="AJ132" i="3" s="1"/>
  <c r="B130" i="3"/>
  <c r="C130" i="3" s="1"/>
  <c r="AJ130" i="3" s="1"/>
  <c r="B128" i="3"/>
  <c r="C128" i="3" s="1"/>
  <c r="AJ128" i="3" s="1"/>
  <c r="B126" i="3"/>
  <c r="C126" i="3" s="1"/>
  <c r="B124" i="3"/>
  <c r="C124" i="3" s="1"/>
  <c r="AJ124" i="3" s="1"/>
  <c r="B122" i="3"/>
  <c r="C122" i="3" s="1"/>
  <c r="B120" i="3"/>
  <c r="C120" i="3" s="1"/>
  <c r="B118" i="3"/>
  <c r="C118" i="3" s="1"/>
  <c r="B116" i="3"/>
  <c r="C116" i="3" s="1"/>
  <c r="AJ116" i="3" s="1"/>
  <c r="B179" i="3"/>
  <c r="C179" i="3" s="1"/>
  <c r="B177" i="3"/>
  <c r="C177" i="3" s="1"/>
  <c r="B162" i="3"/>
  <c r="C162" i="3" s="1"/>
  <c r="AJ162" i="3" s="1"/>
  <c r="B160" i="3"/>
  <c r="C160" i="3" s="1"/>
  <c r="AJ160" i="3" s="1"/>
  <c r="B158" i="3"/>
  <c r="C158" i="3" s="1"/>
  <c r="B156" i="3"/>
  <c r="C156" i="3" s="1"/>
  <c r="B133" i="3"/>
  <c r="C133" i="3" s="1"/>
  <c r="B131" i="3"/>
  <c r="C131" i="3" s="1"/>
  <c r="B129" i="3"/>
  <c r="C129" i="3" s="1"/>
  <c r="B127" i="3"/>
  <c r="C127" i="3" s="1"/>
  <c r="B125" i="3"/>
  <c r="C125" i="3" s="1"/>
  <c r="AJ125" i="3" s="1"/>
  <c r="B123" i="3"/>
  <c r="C123" i="3" s="1"/>
  <c r="AJ123" i="3" s="1"/>
  <c r="B121" i="3"/>
  <c r="C121" i="3" s="1"/>
  <c r="B119" i="3"/>
  <c r="C119" i="3" s="1"/>
  <c r="B117" i="3"/>
  <c r="C117" i="3" s="1"/>
  <c r="B115" i="3"/>
  <c r="C115" i="3" s="1"/>
  <c r="AJ115" i="3" s="1"/>
  <c r="B113" i="3"/>
  <c r="C113" i="3" s="1"/>
  <c r="B111" i="3"/>
  <c r="C111" i="3" s="1"/>
  <c r="B109" i="3"/>
  <c r="C109" i="3" s="1"/>
  <c r="B155" i="3"/>
  <c r="C155" i="3" s="1"/>
  <c r="AJ155" i="3" s="1"/>
  <c r="B153" i="3"/>
  <c r="C153" i="3" s="1"/>
  <c r="AJ153" i="3" s="1"/>
  <c r="B151" i="3"/>
  <c r="C151" i="3" s="1"/>
  <c r="B149" i="3"/>
  <c r="C149" i="3" s="1"/>
  <c r="AJ149" i="3" s="1"/>
  <c r="B147" i="3"/>
  <c r="C147" i="3" s="1"/>
  <c r="B145" i="3"/>
  <c r="C145" i="3" s="1"/>
  <c r="AJ145" i="3" s="1"/>
  <c r="B143" i="3"/>
  <c r="C143" i="3" s="1"/>
  <c r="B141" i="3"/>
  <c r="C141" i="3" s="1"/>
  <c r="B139" i="3"/>
  <c r="C139" i="3" s="1"/>
  <c r="B137" i="3"/>
  <c r="C137" i="3" s="1"/>
  <c r="B135" i="3"/>
  <c r="C135" i="3" s="1"/>
  <c r="B171" i="3"/>
  <c r="C171" i="3" s="1"/>
  <c r="B114" i="3"/>
  <c r="C114" i="3" s="1"/>
  <c r="B112" i="3"/>
  <c r="C112" i="3" s="1"/>
  <c r="B110" i="3"/>
  <c r="C110" i="3" s="1"/>
  <c r="AJ110" i="3" s="1"/>
  <c r="B108" i="3"/>
  <c r="C108" i="3" s="1"/>
  <c r="AJ108" i="3" s="1"/>
  <c r="B106" i="3"/>
  <c r="C106" i="3" s="1"/>
  <c r="B104" i="3"/>
  <c r="C104" i="3" s="1"/>
  <c r="AJ104" i="3" s="1"/>
  <c r="B102" i="3"/>
  <c r="C102" i="3" s="1"/>
  <c r="B100" i="3"/>
  <c r="C100" i="3" s="1"/>
  <c r="AJ100" i="3" s="1"/>
  <c r="B98" i="3"/>
  <c r="C98" i="3" s="1"/>
  <c r="B96" i="3"/>
  <c r="C96" i="3" s="1"/>
  <c r="AJ96" i="3" s="1"/>
  <c r="B94" i="3"/>
  <c r="C94" i="3" s="1"/>
  <c r="B92" i="3"/>
  <c r="C92" i="3" s="1"/>
  <c r="AJ92" i="3" s="1"/>
  <c r="B90" i="3"/>
  <c r="C90" i="3" s="1"/>
  <c r="AJ90" i="3" s="1"/>
  <c r="B88" i="3"/>
  <c r="C88" i="3" s="1"/>
  <c r="AJ88" i="3" s="1"/>
  <c r="B86" i="3"/>
  <c r="C86" i="3" s="1"/>
  <c r="B84" i="3"/>
  <c r="C84" i="3" s="1"/>
  <c r="AJ84" i="3" s="1"/>
  <c r="B82" i="3"/>
  <c r="C82" i="3" s="1"/>
  <c r="AJ82" i="3" s="1"/>
  <c r="B79" i="3"/>
  <c r="C79" i="3" s="1"/>
  <c r="B77" i="3"/>
  <c r="C77" i="3" s="1"/>
  <c r="B75" i="3"/>
  <c r="C75" i="3" s="1"/>
  <c r="B73" i="3"/>
  <c r="C73" i="3" s="1"/>
  <c r="B71" i="3"/>
  <c r="C71" i="3" s="1"/>
  <c r="B69" i="3"/>
  <c r="C69" i="3" s="1"/>
  <c r="B67" i="3"/>
  <c r="C67" i="3" s="1"/>
  <c r="B65" i="3"/>
  <c r="C65" i="3" s="1"/>
  <c r="B83" i="3"/>
  <c r="C83" i="3" s="1"/>
  <c r="AJ83" i="3" s="1"/>
  <c r="B107" i="3"/>
  <c r="C107" i="3" s="1"/>
  <c r="B105" i="3"/>
  <c r="C105" i="3" s="1"/>
  <c r="B103" i="3"/>
  <c r="C103" i="3" s="1"/>
  <c r="AJ103" i="3" s="1"/>
  <c r="B101" i="3"/>
  <c r="C101" i="3" s="1"/>
  <c r="AJ101" i="3" s="1"/>
  <c r="B99" i="3"/>
  <c r="C99" i="3" s="1"/>
  <c r="AJ99" i="3" s="1"/>
  <c r="B97" i="3"/>
  <c r="C97" i="3" s="1"/>
  <c r="B95" i="3"/>
  <c r="C95" i="3" s="1"/>
  <c r="B93" i="3"/>
  <c r="C93" i="3" s="1"/>
  <c r="B91" i="3"/>
  <c r="C91" i="3" s="1"/>
  <c r="B89" i="3"/>
  <c r="C89" i="3" s="1"/>
  <c r="B87" i="3"/>
  <c r="C87" i="3" s="1"/>
  <c r="B85" i="3"/>
  <c r="C85" i="3" s="1"/>
  <c r="B81" i="3"/>
  <c r="C81" i="3" s="1"/>
  <c r="M28" i="3"/>
  <c r="K29" i="3" s="1"/>
  <c r="K31" i="3" s="1"/>
  <c r="B64" i="3"/>
  <c r="C64" i="3" s="1"/>
  <c r="B66" i="3"/>
  <c r="C66" i="3" s="1"/>
  <c r="B68" i="3"/>
  <c r="C68" i="3" s="1"/>
  <c r="AJ68" i="3" s="1"/>
  <c r="B70" i="3"/>
  <c r="C70" i="3" s="1"/>
  <c r="B72" i="3"/>
  <c r="C72" i="3" s="1"/>
  <c r="B74" i="3"/>
  <c r="C74" i="3" s="1"/>
  <c r="B76" i="3"/>
  <c r="C76" i="3" s="1"/>
  <c r="AJ80" i="3"/>
  <c r="I10" i="2"/>
  <c r="B88" i="1"/>
  <c r="B93" i="1"/>
  <c r="K32" i="1" s="1"/>
  <c r="B56" i="1"/>
  <c r="A58" i="2" l="1"/>
  <c r="B58" i="2" s="1"/>
  <c r="F27" i="2" s="1"/>
  <c r="A60" i="2"/>
  <c r="B60" i="2" s="1"/>
  <c r="F29" i="2" s="1"/>
  <c r="A44" i="2"/>
  <c r="B44" i="2" s="1"/>
  <c r="D13" i="2" s="1"/>
  <c r="A46" i="2"/>
  <c r="B46" i="2" s="1"/>
  <c r="F15" i="2" s="1"/>
  <c r="A62" i="2"/>
  <c r="B62" i="2" s="1"/>
  <c r="F31" i="2" s="1"/>
  <c r="A55" i="2"/>
  <c r="B55" i="2" s="1"/>
  <c r="F24" i="2" s="1"/>
  <c r="A71" i="2"/>
  <c r="B71" i="2" s="1"/>
  <c r="F40" i="2" s="1"/>
  <c r="A56" i="2"/>
  <c r="B56" i="2" s="1"/>
  <c r="F25" i="2" s="1"/>
  <c r="A72" i="2"/>
  <c r="B72" i="2" s="1"/>
  <c r="G41" i="2" s="1"/>
  <c r="A45" i="2"/>
  <c r="B45" i="2" s="1"/>
  <c r="F14" i="2" s="1"/>
  <c r="A50" i="2"/>
  <c r="B50" i="2" s="1"/>
  <c r="F19" i="2" s="1"/>
  <c r="A66" i="2"/>
  <c r="B66" i="2" s="1"/>
  <c r="F35" i="2" s="1"/>
  <c r="A59" i="2"/>
  <c r="B59" i="2" s="1"/>
  <c r="F28" i="2" s="1"/>
  <c r="A49" i="2"/>
  <c r="B49" i="2" s="1"/>
  <c r="F18" i="2" s="1"/>
  <c r="A61" i="2"/>
  <c r="B61" i="2" s="1"/>
  <c r="F30" i="2" s="1"/>
  <c r="A65" i="2"/>
  <c r="B65" i="2" s="1"/>
  <c r="F34" i="2" s="1"/>
  <c r="A54" i="2"/>
  <c r="B54" i="2" s="1"/>
  <c r="F23" i="2" s="1"/>
  <c r="A53" i="2"/>
  <c r="B53" i="2" s="1"/>
  <c r="F22" i="2" s="1"/>
  <c r="A69" i="2"/>
  <c r="B69" i="2" s="1"/>
  <c r="O69" i="2" s="1"/>
  <c r="L259" i="3"/>
  <c r="D169" i="3"/>
  <c r="E250" i="3"/>
  <c r="D80" i="3"/>
  <c r="E193" i="3"/>
  <c r="E100" i="3"/>
  <c r="E218" i="3"/>
  <c r="E80" i="3"/>
  <c r="D126" i="3"/>
  <c r="D252" i="3"/>
  <c r="D150" i="3"/>
  <c r="D67" i="3"/>
  <c r="D81" i="3"/>
  <c r="D69" i="3"/>
  <c r="E77" i="3"/>
  <c r="D94" i="3"/>
  <c r="D143" i="3"/>
  <c r="D127" i="3"/>
  <c r="D120" i="3"/>
  <c r="D168" i="3"/>
  <c r="E194" i="3"/>
  <c r="E198" i="3"/>
  <c r="E226" i="3"/>
  <c r="E247" i="3"/>
  <c r="E244" i="3"/>
  <c r="E133" i="3"/>
  <c r="E95" i="3"/>
  <c r="E132" i="3"/>
  <c r="D162" i="3"/>
  <c r="E229" i="3"/>
  <c r="E70" i="3"/>
  <c r="E87" i="3"/>
  <c r="D73" i="3"/>
  <c r="E106" i="3"/>
  <c r="E114" i="3"/>
  <c r="D147" i="3"/>
  <c r="E131" i="3"/>
  <c r="D164" i="3"/>
  <c r="E181" i="3"/>
  <c r="D188" i="3"/>
  <c r="E167" i="3"/>
  <c r="E182" i="3"/>
  <c r="D210" i="3"/>
  <c r="D218" i="3"/>
  <c r="D243" i="3"/>
  <c r="D248" i="3"/>
  <c r="D240" i="3"/>
  <c r="D254" i="3"/>
  <c r="E256" i="3"/>
  <c r="D262" i="3"/>
  <c r="D142" i="3"/>
  <c r="E115" i="3"/>
  <c r="D133" i="3"/>
  <c r="D190" i="3"/>
  <c r="E264" i="3"/>
  <c r="AP80" i="3"/>
  <c r="D75" i="3"/>
  <c r="E84" i="3"/>
  <c r="E108" i="3"/>
  <c r="E141" i="3"/>
  <c r="D149" i="3"/>
  <c r="D117" i="3"/>
  <c r="D134" i="3"/>
  <c r="E166" i="3"/>
  <c r="E196" i="3"/>
  <c r="D241" i="3"/>
  <c r="E215" i="3"/>
  <c r="E237" i="3"/>
  <c r="E251" i="3"/>
  <c r="D100" i="3"/>
  <c r="F100" i="3" s="1"/>
  <c r="H100" i="3" s="1"/>
  <c r="E103" i="3"/>
  <c r="E92" i="3"/>
  <c r="D118" i="3"/>
  <c r="D141" i="3"/>
  <c r="E184" i="3"/>
  <c r="E224" i="3"/>
  <c r="E245" i="3"/>
  <c r="D264" i="3"/>
  <c r="D98" i="3"/>
  <c r="E66" i="3"/>
  <c r="E85" i="3"/>
  <c r="E93" i="3"/>
  <c r="E101" i="3"/>
  <c r="E71" i="3"/>
  <c r="D79" i="3"/>
  <c r="D104" i="3"/>
  <c r="D113" i="3"/>
  <c r="E121" i="3"/>
  <c r="E179" i="3"/>
  <c r="E122" i="3"/>
  <c r="E130" i="3"/>
  <c r="D146" i="3"/>
  <c r="D173" i="3"/>
  <c r="D187" i="3"/>
  <c r="E165" i="3"/>
  <c r="E180" i="3"/>
  <c r="E191" i="3"/>
  <c r="E199" i="3"/>
  <c r="D220" i="3"/>
  <c r="E232" i="3"/>
  <c r="E235" i="3"/>
  <c r="E263" i="3"/>
  <c r="D108" i="3"/>
  <c r="F108" i="3" s="1"/>
  <c r="D78" i="3"/>
  <c r="D83" i="3"/>
  <c r="E124" i="3"/>
  <c r="E149" i="3"/>
  <c r="D181" i="3"/>
  <c r="D209" i="3"/>
  <c r="E234" i="3"/>
  <c r="D48" i="2"/>
  <c r="E48" i="2" s="1"/>
  <c r="H17" i="2" s="1"/>
  <c r="D69" i="2"/>
  <c r="E69" i="2" s="1"/>
  <c r="H38" i="2" s="1"/>
  <c r="D47" i="2"/>
  <c r="E47" i="2" s="1"/>
  <c r="H16" i="2" s="1"/>
  <c r="D62" i="2"/>
  <c r="E62" i="2" s="1"/>
  <c r="H31" i="2" s="1"/>
  <c r="D63" i="2"/>
  <c r="E63" i="2" s="1"/>
  <c r="H32" i="2" s="1"/>
  <c r="D53" i="2"/>
  <c r="E53" i="2" s="1"/>
  <c r="A48" i="2"/>
  <c r="B48" i="2" s="1"/>
  <c r="F17" i="2" s="1"/>
  <c r="A64" i="2"/>
  <c r="B64" i="2" s="1"/>
  <c r="F33" i="2" s="1"/>
  <c r="D52" i="2"/>
  <c r="E52" i="2" s="1"/>
  <c r="H21" i="2" s="1"/>
  <c r="D57" i="2"/>
  <c r="E57" i="2" s="1"/>
  <c r="H26" i="2" s="1"/>
  <c r="D51" i="2"/>
  <c r="E51" i="2" s="1"/>
  <c r="H20" i="2" s="1"/>
  <c r="D66" i="2"/>
  <c r="E66" i="2" s="1"/>
  <c r="H35" i="2" s="1"/>
  <c r="D67" i="2"/>
  <c r="E67" i="2" s="1"/>
  <c r="H36" i="2" s="1"/>
  <c r="D56" i="2"/>
  <c r="E56" i="2" s="1"/>
  <c r="H25" i="2" s="1"/>
  <c r="L201" i="3"/>
  <c r="L98" i="3"/>
  <c r="L139" i="3"/>
  <c r="L234" i="3"/>
  <c r="A47" i="2"/>
  <c r="B47" i="2" s="1"/>
  <c r="F16" i="2" s="1"/>
  <c r="A63" i="2"/>
  <c r="B63" i="2" s="1"/>
  <c r="F32" i="2" s="1"/>
  <c r="A57" i="2"/>
  <c r="B57" i="2" s="1"/>
  <c r="F26" i="2" s="1"/>
  <c r="A52" i="2"/>
  <c r="B52" i="2" s="1"/>
  <c r="A68" i="2"/>
  <c r="B68" i="2" s="1"/>
  <c r="D46" i="2"/>
  <c r="E46" i="2" s="1"/>
  <c r="H15" i="2" s="1"/>
  <c r="D61" i="2"/>
  <c r="E61" i="2" s="1"/>
  <c r="H30" i="2" s="1"/>
  <c r="D54" i="2"/>
  <c r="E54" i="2" s="1"/>
  <c r="H23" i="2" s="1"/>
  <c r="D70" i="2"/>
  <c r="E70" i="2" s="1"/>
  <c r="H39" i="2" s="1"/>
  <c r="D55" i="2"/>
  <c r="E55" i="2" s="1"/>
  <c r="H24" i="2" s="1"/>
  <c r="D71" i="2"/>
  <c r="E71" i="2" s="1"/>
  <c r="H40" i="2" s="1"/>
  <c r="F72" i="2"/>
  <c r="G72" i="2"/>
  <c r="D45" i="2"/>
  <c r="E45" i="2" s="1"/>
  <c r="H14" i="2" s="1"/>
  <c r="D60" i="2"/>
  <c r="E60" i="2" s="1"/>
  <c r="H29" i="2" s="1"/>
  <c r="D68" i="2"/>
  <c r="E68" i="2" s="1"/>
  <c r="H37" i="2" s="1"/>
  <c r="L134" i="3"/>
  <c r="L250" i="3"/>
  <c r="A51" i="2"/>
  <c r="B51" i="2" s="1"/>
  <c r="F20" i="2" s="1"/>
  <c r="A67" i="2"/>
  <c r="B67" i="2" s="1"/>
  <c r="F36" i="2" s="1"/>
  <c r="A70" i="2"/>
  <c r="B70" i="2" s="1"/>
  <c r="D50" i="2"/>
  <c r="E50" i="2" s="1"/>
  <c r="H19" i="2" s="1"/>
  <c r="D65" i="2"/>
  <c r="E65" i="2" s="1"/>
  <c r="H34" i="2" s="1"/>
  <c r="D58" i="2"/>
  <c r="E58" i="2" s="1"/>
  <c r="H27" i="2" s="1"/>
  <c r="D59" i="2"/>
  <c r="E59" i="2" s="1"/>
  <c r="H28" i="2" s="1"/>
  <c r="D49" i="2"/>
  <c r="E49" i="2" s="1"/>
  <c r="H18" i="2" s="1"/>
  <c r="D64" i="2"/>
  <c r="E64" i="2" s="1"/>
  <c r="H33" i="2" s="1"/>
  <c r="B75" i="1"/>
  <c r="L29" i="1" s="1"/>
  <c r="B59" i="1"/>
  <c r="L28" i="1" s="1"/>
  <c r="L148" i="3"/>
  <c r="L205" i="3"/>
  <c r="L260" i="3"/>
  <c r="L106" i="3"/>
  <c r="L169" i="3"/>
  <c r="L217" i="3"/>
  <c r="L162" i="3"/>
  <c r="L93" i="3"/>
  <c r="L174" i="3"/>
  <c r="L231" i="3"/>
  <c r="L88" i="3"/>
  <c r="L112" i="3"/>
  <c r="L137" i="3"/>
  <c r="L129" i="3"/>
  <c r="L158" i="3"/>
  <c r="L157" i="3"/>
  <c r="L172" i="3"/>
  <c r="L184" i="3"/>
  <c r="L219" i="3"/>
  <c r="L227" i="3"/>
  <c r="L114" i="3"/>
  <c r="L80" i="3"/>
  <c r="L101" i="3"/>
  <c r="L141" i="3"/>
  <c r="L182" i="3"/>
  <c r="L238" i="3"/>
  <c r="L242" i="3"/>
  <c r="L263" i="3"/>
  <c r="L79" i="3"/>
  <c r="L92" i="3"/>
  <c r="L118" i="3"/>
  <c r="L155" i="3"/>
  <c r="L211" i="3"/>
  <c r="L210" i="3"/>
  <c r="L249" i="3"/>
  <c r="C27" i="3"/>
  <c r="M261" i="3" s="1"/>
  <c r="L108" i="3"/>
  <c r="L103" i="3"/>
  <c r="L171" i="3"/>
  <c r="L145" i="3"/>
  <c r="L164" i="3"/>
  <c r="L186" i="3"/>
  <c r="L198" i="3"/>
  <c r="L215" i="3"/>
  <c r="L240" i="3"/>
  <c r="L246" i="3"/>
  <c r="L252" i="3"/>
  <c r="L262" i="3"/>
  <c r="L146" i="3"/>
  <c r="L117" i="3"/>
  <c r="L90" i="3"/>
  <c r="L89" i="3"/>
  <c r="L113" i="3"/>
  <c r="L179" i="3"/>
  <c r="L153" i="3"/>
  <c r="L209" i="3"/>
  <c r="L195" i="3"/>
  <c r="L203" i="3"/>
  <c r="L208" i="3"/>
  <c r="L229" i="3"/>
  <c r="L245" i="3"/>
  <c r="L258" i="3"/>
  <c r="L121" i="3"/>
  <c r="L82" i="3"/>
  <c r="L100" i="3"/>
  <c r="L142" i="3"/>
  <c r="L95" i="3"/>
  <c r="L105" i="3"/>
  <c r="L126" i="3"/>
  <c r="L125" i="3"/>
  <c r="L173" i="3"/>
  <c r="L147" i="3"/>
  <c r="L161" i="3"/>
  <c r="L166" i="3"/>
  <c r="L176" i="3"/>
  <c r="L190" i="3"/>
  <c r="L193" i="3"/>
  <c r="L200" i="3"/>
  <c r="L207" i="3"/>
  <c r="L222" i="3"/>
  <c r="L212" i="3"/>
  <c r="L221" i="3"/>
  <c r="L235" i="3"/>
  <c r="L241" i="3"/>
  <c r="L251" i="3"/>
  <c r="L254" i="3"/>
  <c r="L255" i="3"/>
  <c r="L264" i="3"/>
  <c r="L181" i="3"/>
  <c r="L84" i="3"/>
  <c r="L104" i="3"/>
  <c r="L150" i="3"/>
  <c r="L97" i="3"/>
  <c r="L109" i="3"/>
  <c r="L130" i="3"/>
  <c r="L133" i="3"/>
  <c r="L175" i="3"/>
  <c r="L149" i="3"/>
  <c r="L165" i="3"/>
  <c r="L168" i="3"/>
  <c r="L180" i="3"/>
  <c r="L192" i="3"/>
  <c r="L196" i="3"/>
  <c r="L228" i="3"/>
  <c r="L224" i="3"/>
  <c r="L202" i="3"/>
  <c r="L218" i="3"/>
  <c r="L223" i="3"/>
  <c r="L237" i="3"/>
  <c r="L243" i="3"/>
  <c r="L248" i="3"/>
  <c r="L256" i="3"/>
  <c r="L102" i="3"/>
  <c r="L151" i="3"/>
  <c r="L144" i="3"/>
  <c r="L189" i="3"/>
  <c r="L225" i="3"/>
  <c r="B85" i="1"/>
  <c r="L30" i="1"/>
  <c r="F22" i="1"/>
  <c r="B55" i="1" s="1"/>
  <c r="F18" i="1"/>
  <c r="F17" i="1" s="1"/>
  <c r="F23" i="1"/>
  <c r="B72" i="1" s="1"/>
  <c r="D180" i="3"/>
  <c r="L122" i="3"/>
  <c r="L220" i="3"/>
  <c r="E123" i="3"/>
  <c r="D154" i="3"/>
  <c r="D161" i="3"/>
  <c r="E173" i="3"/>
  <c r="F173" i="3" s="1"/>
  <c r="H173" i="3" s="1"/>
  <c r="E188" i="3"/>
  <c r="E207" i="3"/>
  <c r="D217" i="3"/>
  <c r="AJ85" i="3"/>
  <c r="AJ114" i="3"/>
  <c r="AJ146" i="3"/>
  <c r="AJ220" i="3"/>
  <c r="AJ248" i="3"/>
  <c r="AO80" i="3"/>
  <c r="L127" i="3"/>
  <c r="L197" i="3"/>
  <c r="L138" i="3"/>
  <c r="D199" i="3"/>
  <c r="D216" i="3"/>
  <c r="E246" i="3"/>
  <c r="L96" i="3"/>
  <c r="L85" i="3"/>
  <c r="L191" i="3"/>
  <c r="L199" i="3"/>
  <c r="L232" i="3"/>
  <c r="D71" i="3"/>
  <c r="L87" i="3"/>
  <c r="L123" i="3"/>
  <c r="L131" i="3"/>
  <c r="L216" i="3"/>
  <c r="L257" i="3"/>
  <c r="E78" i="3"/>
  <c r="E116" i="3"/>
  <c r="D125" i="3"/>
  <c r="E161" i="3"/>
  <c r="E201" i="3"/>
  <c r="D246" i="3"/>
  <c r="D222" i="3"/>
  <c r="D249" i="3"/>
  <c r="E254" i="3"/>
  <c r="F254" i="3" s="1"/>
  <c r="H254" i="3" s="1"/>
  <c r="AJ93" i="3"/>
  <c r="AJ122" i="3"/>
  <c r="AJ187" i="3"/>
  <c r="AJ218" i="3"/>
  <c r="AJ256" i="3"/>
  <c r="AT80" i="3"/>
  <c r="AU80" i="3" s="1"/>
  <c r="AL76" i="3"/>
  <c r="AM76" i="3" s="1"/>
  <c r="AN76" i="3" s="1"/>
  <c r="AR76" i="3"/>
  <c r="S76" i="3"/>
  <c r="AQ76" i="3"/>
  <c r="AK76" i="3"/>
  <c r="AS76" i="3"/>
  <c r="K76" i="3"/>
  <c r="AL64" i="3"/>
  <c r="AM64" i="3" s="1"/>
  <c r="AN64" i="3" s="1"/>
  <c r="AR64" i="3"/>
  <c r="S64" i="3"/>
  <c r="AK64" i="3"/>
  <c r="AQ64" i="3"/>
  <c r="L64" i="3"/>
  <c r="K64" i="3"/>
  <c r="AS64" i="3"/>
  <c r="AS91" i="3"/>
  <c r="AK91" i="3"/>
  <c r="AQ91" i="3"/>
  <c r="AL91" i="3"/>
  <c r="AM91" i="3" s="1"/>
  <c r="AN91" i="3" s="1"/>
  <c r="K91" i="3"/>
  <c r="AR91" i="3"/>
  <c r="S91" i="3"/>
  <c r="AS107" i="3"/>
  <c r="AK107" i="3"/>
  <c r="AQ107" i="3"/>
  <c r="AL107" i="3"/>
  <c r="AM107" i="3" s="1"/>
  <c r="AN107" i="3" s="1"/>
  <c r="K107" i="3"/>
  <c r="AR107" i="3"/>
  <c r="S107" i="3"/>
  <c r="AQ86" i="3"/>
  <c r="S86" i="3"/>
  <c r="AR86" i="3"/>
  <c r="AL86" i="3"/>
  <c r="AM86" i="3" s="1"/>
  <c r="AN86" i="3" s="1"/>
  <c r="K86" i="3"/>
  <c r="AK86" i="3"/>
  <c r="AS86" i="3"/>
  <c r="AQ94" i="3"/>
  <c r="S94" i="3"/>
  <c r="AR94" i="3"/>
  <c r="AL94" i="3"/>
  <c r="AM94" i="3" s="1"/>
  <c r="AN94" i="3" s="1"/>
  <c r="AK94" i="3"/>
  <c r="K94" i="3"/>
  <c r="AS94" i="3"/>
  <c r="AS135" i="3"/>
  <c r="AK135" i="3"/>
  <c r="AL135" i="3"/>
  <c r="AM135" i="3" s="1"/>
  <c r="AN135" i="3" s="1"/>
  <c r="S135" i="3"/>
  <c r="K135" i="3"/>
  <c r="AQ135" i="3"/>
  <c r="AR135" i="3"/>
  <c r="AR111" i="3"/>
  <c r="K111" i="3"/>
  <c r="AS111" i="3"/>
  <c r="AK111" i="3"/>
  <c r="S111" i="3"/>
  <c r="AQ111" i="3"/>
  <c r="AL111" i="3"/>
  <c r="AM111" i="3" s="1"/>
  <c r="AN111" i="3" s="1"/>
  <c r="AL119" i="3"/>
  <c r="AM119" i="3" s="1"/>
  <c r="AN119" i="3" s="1"/>
  <c r="AR119" i="3"/>
  <c r="S119" i="3"/>
  <c r="AS119" i="3"/>
  <c r="AQ119" i="3"/>
  <c r="K119" i="3"/>
  <c r="AK119" i="3"/>
  <c r="AQ177" i="3"/>
  <c r="S177" i="3"/>
  <c r="AK177" i="3"/>
  <c r="K177" i="3"/>
  <c r="AL177" i="3"/>
  <c r="AM177" i="3" s="1"/>
  <c r="AN177" i="3" s="1"/>
  <c r="AS177" i="3"/>
  <c r="AR177" i="3"/>
  <c r="AQ136" i="3"/>
  <c r="S136" i="3"/>
  <c r="AR136" i="3"/>
  <c r="K136" i="3"/>
  <c r="AS136" i="3"/>
  <c r="AK136" i="3"/>
  <c r="AL136" i="3"/>
  <c r="AM136" i="3" s="1"/>
  <c r="AN136" i="3" s="1"/>
  <c r="AQ144" i="3"/>
  <c r="S144" i="3"/>
  <c r="AR144" i="3"/>
  <c r="K144" i="3"/>
  <c r="AS144" i="3"/>
  <c r="AK144" i="3"/>
  <c r="AL144" i="3"/>
  <c r="AM144" i="3" s="1"/>
  <c r="AN144" i="3" s="1"/>
  <c r="AL185" i="3"/>
  <c r="AM185" i="3" s="1"/>
  <c r="AN185" i="3" s="1"/>
  <c r="AS185" i="3"/>
  <c r="AK185" i="3"/>
  <c r="AQ185" i="3"/>
  <c r="S185" i="3"/>
  <c r="AR185" i="3"/>
  <c r="K185" i="3"/>
  <c r="AL183" i="3"/>
  <c r="AM183" i="3" s="1"/>
  <c r="AN183" i="3" s="1"/>
  <c r="AS183" i="3"/>
  <c r="AK183" i="3"/>
  <c r="AQ183" i="3"/>
  <c r="S183" i="3"/>
  <c r="K183" i="3"/>
  <c r="AR183" i="3"/>
  <c r="AS178" i="3"/>
  <c r="AK178" i="3"/>
  <c r="AR178" i="3"/>
  <c r="S178" i="3"/>
  <c r="AQ178" i="3"/>
  <c r="K178" i="3"/>
  <c r="AL178" i="3"/>
  <c r="AM178" i="3" s="1"/>
  <c r="AN178" i="3" s="1"/>
  <c r="AS204" i="3"/>
  <c r="AK204" i="3"/>
  <c r="AR204" i="3"/>
  <c r="S204" i="3"/>
  <c r="AQ204" i="3"/>
  <c r="K204" i="3"/>
  <c r="AL204" i="3"/>
  <c r="AM204" i="3" s="1"/>
  <c r="AN204" i="3" s="1"/>
  <c r="AR189" i="3"/>
  <c r="K189" i="3"/>
  <c r="AS189" i="3"/>
  <c r="S189" i="3"/>
  <c r="AQ189" i="3"/>
  <c r="AL189" i="3"/>
  <c r="AM189" i="3" s="1"/>
  <c r="AN189" i="3" s="1"/>
  <c r="AK189" i="3"/>
  <c r="AS206" i="3"/>
  <c r="AK206" i="3"/>
  <c r="AR206" i="3"/>
  <c r="AL206" i="3"/>
  <c r="AM206" i="3" s="1"/>
  <c r="AN206" i="3" s="1"/>
  <c r="S206" i="3"/>
  <c r="K206" i="3"/>
  <c r="AQ206" i="3"/>
  <c r="AS214" i="3"/>
  <c r="AK214" i="3"/>
  <c r="AR214" i="3"/>
  <c r="S214" i="3"/>
  <c r="AQ214" i="3"/>
  <c r="AL214" i="3"/>
  <c r="AM214" i="3" s="1"/>
  <c r="AN214" i="3" s="1"/>
  <c r="K214" i="3"/>
  <c r="AL239" i="3"/>
  <c r="AM239" i="3" s="1"/>
  <c r="AN239" i="3" s="1"/>
  <c r="AQ239" i="3"/>
  <c r="AK239" i="3"/>
  <c r="K239" i="3"/>
  <c r="AR239" i="3"/>
  <c r="S239" i="3"/>
  <c r="AS239" i="3"/>
  <c r="AR233" i="3"/>
  <c r="K233" i="3"/>
  <c r="AQ233" i="3"/>
  <c r="S233" i="3"/>
  <c r="AS233" i="3"/>
  <c r="AK233" i="3"/>
  <c r="AL233" i="3"/>
  <c r="AM233" i="3" s="1"/>
  <c r="AN233" i="3" s="1"/>
  <c r="AR236" i="3"/>
  <c r="K236" i="3"/>
  <c r="AS236" i="3"/>
  <c r="S236" i="3"/>
  <c r="AK236" i="3"/>
  <c r="AL236" i="3"/>
  <c r="AM236" i="3" s="1"/>
  <c r="AN236" i="3" s="1"/>
  <c r="AQ236" i="3"/>
  <c r="AS253" i="3"/>
  <c r="AQ253" i="3"/>
  <c r="S253" i="3"/>
  <c r="AR253" i="3"/>
  <c r="AL253" i="3"/>
  <c r="AM253" i="3" s="1"/>
  <c r="AN253" i="3" s="1"/>
  <c r="K253" i="3"/>
  <c r="AK253" i="3"/>
  <c r="AQ261" i="3"/>
  <c r="S261" i="3"/>
  <c r="AL261" i="3"/>
  <c r="AM261" i="3" s="1"/>
  <c r="AN261" i="3" s="1"/>
  <c r="AR261" i="3"/>
  <c r="K261" i="3"/>
  <c r="AS261" i="3"/>
  <c r="AK261" i="3"/>
  <c r="AJ64" i="3"/>
  <c r="E119" i="3"/>
  <c r="D68" i="3"/>
  <c r="D76" i="3"/>
  <c r="D91" i="3"/>
  <c r="E170" i="3"/>
  <c r="E136" i="3"/>
  <c r="D183" i="3"/>
  <c r="D198" i="3"/>
  <c r="AJ177" i="3"/>
  <c r="AJ185" i="3"/>
  <c r="AJ206" i="3"/>
  <c r="AJ239" i="3"/>
  <c r="AJ233" i="3"/>
  <c r="K30" i="3"/>
  <c r="K32" i="3" s="1"/>
  <c r="K33" i="3"/>
  <c r="L120" i="3"/>
  <c r="AJ143" i="3"/>
  <c r="L110" i="3"/>
  <c r="D102" i="3"/>
  <c r="D86" i="3"/>
  <c r="AL74" i="3"/>
  <c r="AM74" i="3" s="1"/>
  <c r="AN74" i="3" s="1"/>
  <c r="AR74" i="3"/>
  <c r="S74" i="3"/>
  <c r="AQ74" i="3"/>
  <c r="AK74" i="3"/>
  <c r="L74" i="3"/>
  <c r="K74" i="3"/>
  <c r="AS74" i="3"/>
  <c r="AL70" i="3"/>
  <c r="AM70" i="3" s="1"/>
  <c r="AN70" i="3" s="1"/>
  <c r="AR70" i="3"/>
  <c r="S70" i="3"/>
  <c r="AK70" i="3"/>
  <c r="L70" i="3"/>
  <c r="AQ70" i="3"/>
  <c r="AS70" i="3"/>
  <c r="K70" i="3"/>
  <c r="AL66" i="3"/>
  <c r="AM66" i="3" s="1"/>
  <c r="AN66" i="3" s="1"/>
  <c r="AR66" i="3"/>
  <c r="S66" i="3"/>
  <c r="AQ66" i="3"/>
  <c r="AK66" i="3"/>
  <c r="L66" i="3"/>
  <c r="AS66" i="3"/>
  <c r="K66" i="3"/>
  <c r="L81" i="3"/>
  <c r="L170" i="3"/>
  <c r="L178" i="3"/>
  <c r="L194" i="3"/>
  <c r="L185" i="3"/>
  <c r="L206" i="3"/>
  <c r="L214" i="3"/>
  <c r="L253" i="3"/>
  <c r="L261" i="3"/>
  <c r="AS87" i="3"/>
  <c r="AK87" i="3"/>
  <c r="AQ87" i="3"/>
  <c r="AL87" i="3"/>
  <c r="AM87" i="3" s="1"/>
  <c r="AN87" i="3" s="1"/>
  <c r="K87" i="3"/>
  <c r="AR87" i="3"/>
  <c r="S87" i="3"/>
  <c r="AS95" i="3"/>
  <c r="AK95" i="3"/>
  <c r="AQ95" i="3"/>
  <c r="AL95" i="3"/>
  <c r="AM95" i="3" s="1"/>
  <c r="AN95" i="3" s="1"/>
  <c r="K95" i="3"/>
  <c r="AR95" i="3"/>
  <c r="S95" i="3"/>
  <c r="AR65" i="3"/>
  <c r="K65" i="3"/>
  <c r="AK65" i="3"/>
  <c r="AS65" i="3"/>
  <c r="S65" i="3"/>
  <c r="AQ65" i="3"/>
  <c r="AL65" i="3"/>
  <c r="AM65" i="3" s="1"/>
  <c r="AN65" i="3" s="1"/>
  <c r="AO65" i="3" s="1"/>
  <c r="L65" i="3"/>
  <c r="AQ82" i="3"/>
  <c r="S82" i="3"/>
  <c r="AR82" i="3"/>
  <c r="AL82" i="3"/>
  <c r="AM82" i="3" s="1"/>
  <c r="AN82" i="3" s="1"/>
  <c r="AK82" i="3"/>
  <c r="AP82" i="3" s="1"/>
  <c r="K82" i="3"/>
  <c r="AS82" i="3"/>
  <c r="AQ98" i="3"/>
  <c r="S98" i="3"/>
  <c r="AR98" i="3"/>
  <c r="AL98" i="3"/>
  <c r="AM98" i="3" s="1"/>
  <c r="AN98" i="3" s="1"/>
  <c r="AK98" i="3"/>
  <c r="K98" i="3"/>
  <c r="AS98" i="3"/>
  <c r="AS139" i="3"/>
  <c r="AK139" i="3"/>
  <c r="AL139" i="3"/>
  <c r="AM139" i="3" s="1"/>
  <c r="AN139" i="3" s="1"/>
  <c r="S139" i="3"/>
  <c r="K139" i="3"/>
  <c r="AQ139" i="3"/>
  <c r="AR139" i="3"/>
  <c r="D106" i="3"/>
  <c r="D90" i="3"/>
  <c r="AJ78" i="3"/>
  <c r="D77" i="3"/>
  <c r="D65" i="3"/>
  <c r="L140" i="3"/>
  <c r="L136" i="3"/>
  <c r="L86" i="3"/>
  <c r="L94" i="3"/>
  <c r="L115" i="3"/>
  <c r="L83" i="3"/>
  <c r="L91" i="3"/>
  <c r="L99" i="3"/>
  <c r="L107" i="3"/>
  <c r="L116" i="3"/>
  <c r="L124" i="3"/>
  <c r="L132" i="3"/>
  <c r="L160" i="3"/>
  <c r="L135" i="3"/>
  <c r="L143" i="3"/>
  <c r="L159" i="3"/>
  <c r="L167" i="3"/>
  <c r="L188" i="3"/>
  <c r="L187" i="3"/>
  <c r="L213" i="3"/>
  <c r="L226" i="3"/>
  <c r="L233" i="3"/>
  <c r="L244" i="3"/>
  <c r="L247" i="3"/>
  <c r="AS89" i="3"/>
  <c r="AK89" i="3"/>
  <c r="AQ89" i="3"/>
  <c r="AL89" i="3"/>
  <c r="AM89" i="3" s="1"/>
  <c r="AN89" i="3" s="1"/>
  <c r="K89" i="3"/>
  <c r="AR89" i="3"/>
  <c r="S89" i="3"/>
  <c r="AS97" i="3"/>
  <c r="AK97" i="3"/>
  <c r="AQ97" i="3"/>
  <c r="AL97" i="3"/>
  <c r="AM97" i="3" s="1"/>
  <c r="AN97" i="3" s="1"/>
  <c r="K97" i="3"/>
  <c r="AR97" i="3"/>
  <c r="S97" i="3"/>
  <c r="AS105" i="3"/>
  <c r="AK105" i="3"/>
  <c r="AQ105" i="3"/>
  <c r="AL105" i="3"/>
  <c r="AM105" i="3" s="1"/>
  <c r="AN105" i="3" s="1"/>
  <c r="K105" i="3"/>
  <c r="AR105" i="3"/>
  <c r="S105" i="3"/>
  <c r="AR67" i="3"/>
  <c r="K67" i="3"/>
  <c r="AK67" i="3"/>
  <c r="S67" i="3"/>
  <c r="AS67" i="3"/>
  <c r="AQ67" i="3"/>
  <c r="AL67" i="3"/>
  <c r="AM67" i="3" s="1"/>
  <c r="AN67" i="3" s="1"/>
  <c r="L67" i="3"/>
  <c r="AR75" i="3"/>
  <c r="K75" i="3"/>
  <c r="AK75" i="3"/>
  <c r="S75" i="3"/>
  <c r="AS75" i="3"/>
  <c r="AQ75" i="3"/>
  <c r="AL75" i="3"/>
  <c r="AM75" i="3" s="1"/>
  <c r="AN75" i="3" s="1"/>
  <c r="L75" i="3"/>
  <c r="AQ84" i="3"/>
  <c r="S84" i="3"/>
  <c r="AR84" i="3"/>
  <c r="AL84" i="3"/>
  <c r="AM84" i="3" s="1"/>
  <c r="AN84" i="3" s="1"/>
  <c r="AK84" i="3"/>
  <c r="AP84" i="3" s="1"/>
  <c r="K84" i="3"/>
  <c r="AS84" i="3"/>
  <c r="D84" i="3"/>
  <c r="AQ92" i="3"/>
  <c r="S92" i="3"/>
  <c r="AR92" i="3"/>
  <c r="AL92" i="3"/>
  <c r="AM92" i="3" s="1"/>
  <c r="AN92" i="3" s="1"/>
  <c r="AK92" i="3"/>
  <c r="AP92" i="3" s="1"/>
  <c r="K92" i="3"/>
  <c r="AS92" i="3"/>
  <c r="D92" i="3"/>
  <c r="AQ100" i="3"/>
  <c r="S100" i="3"/>
  <c r="AR100" i="3"/>
  <c r="AL100" i="3"/>
  <c r="AM100" i="3" s="1"/>
  <c r="AN100" i="3" s="1"/>
  <c r="AK100" i="3"/>
  <c r="AP100" i="3" s="1"/>
  <c r="K100" i="3"/>
  <c r="AS100" i="3"/>
  <c r="AL108" i="3"/>
  <c r="AM108" i="3" s="1"/>
  <c r="AN108" i="3" s="1"/>
  <c r="AQ108" i="3"/>
  <c r="S108" i="3"/>
  <c r="AR108" i="3"/>
  <c r="K108" i="3"/>
  <c r="AS108" i="3"/>
  <c r="AK108" i="3"/>
  <c r="AP108" i="3" s="1"/>
  <c r="AQ171" i="3"/>
  <c r="S171" i="3"/>
  <c r="AK171" i="3"/>
  <c r="K171" i="3"/>
  <c r="AR171" i="3"/>
  <c r="AS171" i="3"/>
  <c r="AL171" i="3"/>
  <c r="AM171" i="3" s="1"/>
  <c r="AN171" i="3" s="1"/>
  <c r="AS141" i="3"/>
  <c r="AK141" i="3"/>
  <c r="AL141" i="3"/>
  <c r="AM141" i="3" s="1"/>
  <c r="AN141" i="3" s="1"/>
  <c r="S141" i="3"/>
  <c r="K141" i="3"/>
  <c r="AQ141" i="3"/>
  <c r="AR141" i="3"/>
  <c r="AS149" i="3"/>
  <c r="AK149" i="3"/>
  <c r="AP149" i="3" s="1"/>
  <c r="AL149" i="3"/>
  <c r="AM149" i="3" s="1"/>
  <c r="AN149" i="3" s="1"/>
  <c r="S149" i="3"/>
  <c r="K149" i="3"/>
  <c r="AQ149" i="3"/>
  <c r="AR149" i="3"/>
  <c r="AR109" i="3"/>
  <c r="K109" i="3"/>
  <c r="AS109" i="3"/>
  <c r="AK109" i="3"/>
  <c r="S109" i="3"/>
  <c r="AQ109" i="3"/>
  <c r="AL109" i="3"/>
  <c r="AM109" i="3" s="1"/>
  <c r="AN109" i="3" s="1"/>
  <c r="AL117" i="3"/>
  <c r="AM117" i="3" s="1"/>
  <c r="AN117" i="3" s="1"/>
  <c r="AR117" i="3"/>
  <c r="S117" i="3"/>
  <c r="AS117" i="3"/>
  <c r="K117" i="3"/>
  <c r="AQ117" i="3"/>
  <c r="AK117" i="3"/>
  <c r="AL125" i="3"/>
  <c r="AM125" i="3" s="1"/>
  <c r="AN125" i="3" s="1"/>
  <c r="AR125" i="3"/>
  <c r="S125" i="3"/>
  <c r="AQ125" i="3"/>
  <c r="AK125" i="3"/>
  <c r="AP125" i="3" s="1"/>
  <c r="AS125" i="3"/>
  <c r="K125" i="3"/>
  <c r="AL133" i="3"/>
  <c r="AM133" i="3" s="1"/>
  <c r="AN133" i="3" s="1"/>
  <c r="AR133" i="3"/>
  <c r="S133" i="3"/>
  <c r="AQ133" i="3"/>
  <c r="AK133" i="3"/>
  <c r="AS133" i="3"/>
  <c r="K133" i="3"/>
  <c r="AL162" i="3"/>
  <c r="AM162" i="3" s="1"/>
  <c r="AN162" i="3" s="1"/>
  <c r="AS162" i="3"/>
  <c r="K162" i="3"/>
  <c r="AK162" i="3"/>
  <c r="AP162" i="3" s="1"/>
  <c r="AR162" i="3"/>
  <c r="S162" i="3"/>
  <c r="AQ162" i="3"/>
  <c r="AR118" i="3"/>
  <c r="K118" i="3"/>
  <c r="AK118" i="3"/>
  <c r="AQ118" i="3"/>
  <c r="AL118" i="3"/>
  <c r="AM118" i="3" s="1"/>
  <c r="AN118" i="3" s="1"/>
  <c r="AS118" i="3"/>
  <c r="S118" i="3"/>
  <c r="AR126" i="3"/>
  <c r="K126" i="3"/>
  <c r="AK126" i="3"/>
  <c r="AQ126" i="3"/>
  <c r="AL126" i="3"/>
  <c r="AM126" i="3" s="1"/>
  <c r="AN126" i="3" s="1"/>
  <c r="S126" i="3"/>
  <c r="AS126" i="3"/>
  <c r="AQ134" i="3"/>
  <c r="S134" i="3"/>
  <c r="AR134" i="3"/>
  <c r="K134" i="3"/>
  <c r="AS134" i="3"/>
  <c r="AK134" i="3"/>
  <c r="AL134" i="3"/>
  <c r="AM134" i="3" s="1"/>
  <c r="AN134" i="3" s="1"/>
  <c r="AQ142" i="3"/>
  <c r="S142" i="3"/>
  <c r="AR142" i="3"/>
  <c r="K142" i="3"/>
  <c r="AS142" i="3"/>
  <c r="AK142" i="3"/>
  <c r="AL142" i="3"/>
  <c r="AM142" i="3" s="1"/>
  <c r="AN142" i="3" s="1"/>
  <c r="AQ150" i="3"/>
  <c r="S150" i="3"/>
  <c r="AR150" i="3"/>
  <c r="K150" i="3"/>
  <c r="AS150" i="3"/>
  <c r="AK150" i="3"/>
  <c r="AL150" i="3"/>
  <c r="AM150" i="3" s="1"/>
  <c r="AN150" i="3" s="1"/>
  <c r="AL166" i="3"/>
  <c r="AS166" i="3"/>
  <c r="AK166" i="3"/>
  <c r="AP166" i="3" s="1"/>
  <c r="AR166" i="3"/>
  <c r="AM166" i="3"/>
  <c r="AN166" i="3" s="1"/>
  <c r="S166" i="3"/>
  <c r="K166" i="3"/>
  <c r="AQ166" i="3"/>
  <c r="AQ175" i="3"/>
  <c r="S175" i="3"/>
  <c r="AK175" i="3"/>
  <c r="K175" i="3"/>
  <c r="AS175" i="3"/>
  <c r="AL175" i="3"/>
  <c r="AM175" i="3" s="1"/>
  <c r="AN175" i="3" s="1"/>
  <c r="AR175" i="3"/>
  <c r="AL192" i="3"/>
  <c r="AM192" i="3" s="1"/>
  <c r="AN192" i="3" s="1"/>
  <c r="K192" i="3"/>
  <c r="AS192" i="3"/>
  <c r="AQ192" i="3"/>
  <c r="AK192" i="3"/>
  <c r="AP192" i="3" s="1"/>
  <c r="AR192" i="3"/>
  <c r="S192" i="3"/>
  <c r="AR161" i="3"/>
  <c r="K161" i="3"/>
  <c r="AQ161" i="3"/>
  <c r="AL161" i="3"/>
  <c r="AM161" i="3" s="1"/>
  <c r="AN161" i="3" s="1"/>
  <c r="AS161" i="3"/>
  <c r="S161" i="3"/>
  <c r="AK161" i="3"/>
  <c r="AP161" i="3" s="1"/>
  <c r="AQ169" i="3"/>
  <c r="S169" i="3"/>
  <c r="AK169" i="3"/>
  <c r="AP169" i="3" s="1"/>
  <c r="K169" i="3"/>
  <c r="AL169" i="3"/>
  <c r="AM169" i="3" s="1"/>
  <c r="AN169" i="3" s="1"/>
  <c r="AR169" i="3"/>
  <c r="AS169" i="3"/>
  <c r="AS176" i="3"/>
  <c r="AK176" i="3"/>
  <c r="AR176" i="3"/>
  <c r="S176" i="3"/>
  <c r="AL176" i="3"/>
  <c r="AM176" i="3" s="1"/>
  <c r="AN176" i="3" s="1"/>
  <c r="K176" i="3"/>
  <c r="AQ176" i="3"/>
  <c r="AL190" i="3"/>
  <c r="AM190" i="3" s="1"/>
  <c r="AN190" i="3" s="1"/>
  <c r="K190" i="3"/>
  <c r="AS190" i="3"/>
  <c r="AQ190" i="3"/>
  <c r="AK190" i="3"/>
  <c r="S190" i="3"/>
  <c r="AR190" i="3"/>
  <c r="AL196" i="3"/>
  <c r="AM196" i="3" s="1"/>
  <c r="AN196" i="3" s="1"/>
  <c r="AS196" i="3"/>
  <c r="AR196" i="3"/>
  <c r="K196" i="3"/>
  <c r="S196" i="3"/>
  <c r="AQ196" i="3"/>
  <c r="AK196" i="3"/>
  <c r="AS202" i="3"/>
  <c r="AK202" i="3"/>
  <c r="AR202" i="3"/>
  <c r="S202" i="3"/>
  <c r="AL202" i="3"/>
  <c r="AM202" i="3" s="1"/>
  <c r="AN202" i="3" s="1"/>
  <c r="K202" i="3"/>
  <c r="AQ202" i="3"/>
  <c r="AL241" i="3"/>
  <c r="AM241" i="3" s="1"/>
  <c r="AN241" i="3" s="1"/>
  <c r="AS241" i="3"/>
  <c r="AK241" i="3"/>
  <c r="AQ241" i="3"/>
  <c r="S241" i="3"/>
  <c r="K241" i="3"/>
  <c r="AR241" i="3"/>
  <c r="AR195" i="3"/>
  <c r="K195" i="3"/>
  <c r="AL195" i="3"/>
  <c r="AM195" i="3" s="1"/>
  <c r="AN195" i="3" s="1"/>
  <c r="AS195" i="3"/>
  <c r="AK195" i="3"/>
  <c r="AP195" i="3" s="1"/>
  <c r="AQ195" i="3"/>
  <c r="S195" i="3"/>
  <c r="AQ203" i="3"/>
  <c r="S203" i="3"/>
  <c r="AR203" i="3"/>
  <c r="AL203" i="3"/>
  <c r="AM203" i="3" s="1"/>
  <c r="AN203" i="3" s="1"/>
  <c r="AK203" i="3"/>
  <c r="K203" i="3"/>
  <c r="AS203" i="3"/>
  <c r="AL215" i="3"/>
  <c r="AM215" i="3" s="1"/>
  <c r="AN215" i="3" s="1"/>
  <c r="AS215" i="3"/>
  <c r="AK215" i="3"/>
  <c r="AP215" i="3" s="1"/>
  <c r="AQ215" i="3"/>
  <c r="S215" i="3"/>
  <c r="AR215" i="3"/>
  <c r="K215" i="3"/>
  <c r="AS212" i="3"/>
  <c r="AK212" i="3"/>
  <c r="AR212" i="3"/>
  <c r="S212" i="3"/>
  <c r="AQ212" i="3"/>
  <c r="AL212" i="3"/>
  <c r="AM212" i="3" s="1"/>
  <c r="AN212" i="3" s="1"/>
  <c r="K212" i="3"/>
  <c r="AL224" i="3"/>
  <c r="AM224" i="3" s="1"/>
  <c r="AN224" i="3" s="1"/>
  <c r="AS224" i="3"/>
  <c r="AR224" i="3"/>
  <c r="S224" i="3"/>
  <c r="K224" i="3"/>
  <c r="AQ224" i="3"/>
  <c r="AK224" i="3"/>
  <c r="AL228" i="3"/>
  <c r="AM228" i="3" s="1"/>
  <c r="AN228" i="3" s="1"/>
  <c r="AS228" i="3"/>
  <c r="AQ228" i="3"/>
  <c r="S228" i="3"/>
  <c r="AR228" i="3"/>
  <c r="AK228" i="3"/>
  <c r="K228" i="3"/>
  <c r="AL237" i="3"/>
  <c r="AM237" i="3" s="1"/>
  <c r="AN237" i="3" s="1"/>
  <c r="AQ237" i="3"/>
  <c r="AK237" i="3"/>
  <c r="K237" i="3"/>
  <c r="AR237" i="3"/>
  <c r="S237" i="3"/>
  <c r="AS237" i="3"/>
  <c r="AL245" i="3"/>
  <c r="AS245" i="3"/>
  <c r="AK245" i="3"/>
  <c r="AQ245" i="3"/>
  <c r="AM245" i="3"/>
  <c r="AN245" i="3" s="1"/>
  <c r="S245" i="3"/>
  <c r="K245" i="3"/>
  <c r="AR245" i="3"/>
  <c r="AR223" i="3"/>
  <c r="K223" i="3"/>
  <c r="AQ223" i="3"/>
  <c r="AL223" i="3"/>
  <c r="AM223" i="3" s="1"/>
  <c r="AN223" i="3" s="1"/>
  <c r="AK223" i="3"/>
  <c r="AS223" i="3"/>
  <c r="S223" i="3"/>
  <c r="AR231" i="3"/>
  <c r="K231" i="3"/>
  <c r="AQ231" i="3"/>
  <c r="S231" i="3"/>
  <c r="AS231" i="3"/>
  <c r="AK231" i="3"/>
  <c r="AL231" i="3"/>
  <c r="AM231" i="3" s="1"/>
  <c r="AN231" i="3" s="1"/>
  <c r="AS250" i="3"/>
  <c r="AK250" i="3"/>
  <c r="AQ250" i="3"/>
  <c r="AL250" i="3"/>
  <c r="AM250" i="3" s="1"/>
  <c r="AN250" i="3" s="1"/>
  <c r="K250" i="3"/>
  <c r="AR250" i="3"/>
  <c r="S250" i="3"/>
  <c r="AR242" i="3"/>
  <c r="K242" i="3"/>
  <c r="AQ242" i="3"/>
  <c r="S242" i="3"/>
  <c r="AS242" i="3"/>
  <c r="AK242" i="3"/>
  <c r="AL242" i="3"/>
  <c r="AM242" i="3" s="1"/>
  <c r="AN242" i="3" s="1"/>
  <c r="AL255" i="3"/>
  <c r="AS255" i="3"/>
  <c r="AK255" i="3"/>
  <c r="AP255" i="3" s="1"/>
  <c r="AQ255" i="3"/>
  <c r="AM255" i="3"/>
  <c r="AN255" i="3" s="1"/>
  <c r="S255" i="3"/>
  <c r="AR255" i="3"/>
  <c r="K255" i="3"/>
  <c r="AQ251" i="3"/>
  <c r="S251" i="3"/>
  <c r="AS251" i="3"/>
  <c r="AR251" i="3"/>
  <c r="AL251" i="3"/>
  <c r="AM251" i="3" s="1"/>
  <c r="AN251" i="3" s="1"/>
  <c r="K251" i="3"/>
  <c r="AK251" i="3"/>
  <c r="AR259" i="3"/>
  <c r="K259" i="3"/>
  <c r="AS259" i="3"/>
  <c r="S259" i="3"/>
  <c r="AQ259" i="3"/>
  <c r="AL259" i="3"/>
  <c r="AM259" i="3" s="1"/>
  <c r="AN259" i="3" s="1"/>
  <c r="AK259" i="3"/>
  <c r="AS264" i="3"/>
  <c r="AK264" i="3"/>
  <c r="AR264" i="3"/>
  <c r="K264" i="3"/>
  <c r="AL264" i="3"/>
  <c r="AM264" i="3" s="1"/>
  <c r="AN264" i="3" s="1"/>
  <c r="S264" i="3"/>
  <c r="AQ264" i="3"/>
  <c r="AJ106" i="3"/>
  <c r="AJ70" i="3"/>
  <c r="E125" i="3"/>
  <c r="L76" i="3"/>
  <c r="AJ74" i="3"/>
  <c r="AJ66" i="3"/>
  <c r="AJ131" i="3"/>
  <c r="E81" i="3"/>
  <c r="F81" i="3" s="1"/>
  <c r="E109" i="3"/>
  <c r="E127" i="3"/>
  <c r="D148" i="3"/>
  <c r="D66" i="3"/>
  <c r="D74" i="3"/>
  <c r="D89" i="3"/>
  <c r="D97" i="3"/>
  <c r="D105" i="3"/>
  <c r="E82" i="3"/>
  <c r="E90" i="3"/>
  <c r="E98" i="3"/>
  <c r="D159" i="3"/>
  <c r="E164" i="3"/>
  <c r="D182" i="3"/>
  <c r="D116" i="3"/>
  <c r="D124" i="3"/>
  <c r="D132" i="3"/>
  <c r="E139" i="3"/>
  <c r="E147" i="3"/>
  <c r="E155" i="3"/>
  <c r="D115" i="3"/>
  <c r="D123" i="3"/>
  <c r="D131" i="3"/>
  <c r="D139" i="3"/>
  <c r="D155" i="3"/>
  <c r="E162" i="3"/>
  <c r="D186" i="3"/>
  <c r="E142" i="3"/>
  <c r="E150" i="3"/>
  <c r="E159" i="3"/>
  <c r="D167" i="3"/>
  <c r="D178" i="3"/>
  <c r="E202" i="3"/>
  <c r="D171" i="3"/>
  <c r="D179" i="3"/>
  <c r="D160" i="3"/>
  <c r="E171" i="3"/>
  <c r="E187" i="3"/>
  <c r="E204" i="3"/>
  <c r="D197" i="3"/>
  <c r="D205" i="3"/>
  <c r="D196" i="3"/>
  <c r="D204" i="3"/>
  <c r="F204" i="3" s="1"/>
  <c r="E212" i="3"/>
  <c r="D213" i="3"/>
  <c r="E205" i="3"/>
  <c r="E213" i="3"/>
  <c r="E222" i="3"/>
  <c r="E216" i="3"/>
  <c r="D223" i="3"/>
  <c r="D231" i="3"/>
  <c r="D215" i="3"/>
  <c r="E223" i="3"/>
  <c r="D242" i="3"/>
  <c r="D228" i="3"/>
  <c r="E243" i="3"/>
  <c r="F243" i="3" s="1"/>
  <c r="D239" i="3"/>
  <c r="D247" i="3"/>
  <c r="D250" i="3"/>
  <c r="E248" i="3"/>
  <c r="E249" i="3"/>
  <c r="E257" i="3"/>
  <c r="D255" i="3"/>
  <c r="E262" i="3"/>
  <c r="E261" i="3"/>
  <c r="AJ119" i="3"/>
  <c r="AJ141" i="3"/>
  <c r="AJ67" i="3"/>
  <c r="AJ75" i="3"/>
  <c r="AJ91" i="3"/>
  <c r="AJ107" i="3"/>
  <c r="AJ117" i="3"/>
  <c r="AJ109" i="3"/>
  <c r="AJ178" i="3"/>
  <c r="AJ120" i="3"/>
  <c r="AJ136" i="3"/>
  <c r="AJ144" i="3"/>
  <c r="AJ164" i="3"/>
  <c r="AJ182" i="3"/>
  <c r="AJ175" i="3"/>
  <c r="AJ183" i="3"/>
  <c r="AJ167" i="3"/>
  <c r="AJ190" i="3"/>
  <c r="AJ198" i="3"/>
  <c r="AJ212" i="3"/>
  <c r="AJ202" i="3"/>
  <c r="AJ214" i="3"/>
  <c r="AJ226" i="3"/>
  <c r="AJ237" i="3"/>
  <c r="AJ223" i="3"/>
  <c r="AP223" i="3" s="1"/>
  <c r="AJ231" i="3"/>
  <c r="AJ245" i="3"/>
  <c r="AJ253" i="3"/>
  <c r="AJ254" i="3"/>
  <c r="AJ261" i="3"/>
  <c r="AJ264" i="3"/>
  <c r="AL72" i="3"/>
  <c r="AM72" i="3" s="1"/>
  <c r="AN72" i="3" s="1"/>
  <c r="AR72" i="3"/>
  <c r="S72" i="3"/>
  <c r="AK72" i="3"/>
  <c r="K72" i="3"/>
  <c r="AQ72" i="3"/>
  <c r="L72" i="3"/>
  <c r="AS72" i="3"/>
  <c r="AS81" i="3"/>
  <c r="AK81" i="3"/>
  <c r="AL81" i="3"/>
  <c r="AM81" i="3" s="1"/>
  <c r="AN81" i="3" s="1"/>
  <c r="K81" i="3"/>
  <c r="AQ81" i="3"/>
  <c r="AR81" i="3"/>
  <c r="S81" i="3"/>
  <c r="AR69" i="3"/>
  <c r="K69" i="3"/>
  <c r="AK69" i="3"/>
  <c r="AS69" i="3"/>
  <c r="S69" i="3"/>
  <c r="AQ69" i="3"/>
  <c r="AL69" i="3"/>
  <c r="AM69" i="3" s="1"/>
  <c r="AN69" i="3" s="1"/>
  <c r="L69" i="3"/>
  <c r="AQ102" i="3"/>
  <c r="S102" i="3"/>
  <c r="AR102" i="3"/>
  <c r="AL102" i="3"/>
  <c r="AM102" i="3" s="1"/>
  <c r="AN102" i="3" s="1"/>
  <c r="AK102" i="3"/>
  <c r="K102" i="3"/>
  <c r="AS102" i="3"/>
  <c r="AS151" i="3"/>
  <c r="AK151" i="3"/>
  <c r="AL151" i="3"/>
  <c r="AM151" i="3" s="1"/>
  <c r="AN151" i="3" s="1"/>
  <c r="S151" i="3"/>
  <c r="K151" i="3"/>
  <c r="AQ151" i="3"/>
  <c r="AR151" i="3"/>
  <c r="AL156" i="3"/>
  <c r="AM156" i="3" s="1"/>
  <c r="AN156" i="3" s="1"/>
  <c r="AS156" i="3"/>
  <c r="K156" i="3"/>
  <c r="AK156" i="3"/>
  <c r="AR156" i="3"/>
  <c r="S156" i="3"/>
  <c r="AQ156" i="3"/>
  <c r="AR128" i="3"/>
  <c r="K128" i="3"/>
  <c r="AK128" i="3"/>
  <c r="AP128" i="3" s="1"/>
  <c r="AQ128" i="3"/>
  <c r="AL128" i="3"/>
  <c r="AM128" i="3" s="1"/>
  <c r="AN128" i="3" s="1"/>
  <c r="AS128" i="3"/>
  <c r="S128" i="3"/>
  <c r="AL168" i="3"/>
  <c r="AM168" i="3" s="1"/>
  <c r="AN168" i="3" s="1"/>
  <c r="AS168" i="3"/>
  <c r="AK168" i="3"/>
  <c r="AR168" i="3"/>
  <c r="S168" i="3"/>
  <c r="K168" i="3"/>
  <c r="AQ168" i="3"/>
  <c r="AR163" i="3"/>
  <c r="K163" i="3"/>
  <c r="AQ163" i="3"/>
  <c r="AL163" i="3"/>
  <c r="AM163" i="3" s="1"/>
  <c r="AN163" i="3" s="1"/>
  <c r="AS163" i="3"/>
  <c r="S163" i="3"/>
  <c r="AK163" i="3"/>
  <c r="AL194" i="3"/>
  <c r="AM194" i="3" s="1"/>
  <c r="AN194" i="3" s="1"/>
  <c r="K194" i="3"/>
  <c r="AS194" i="3"/>
  <c r="AQ194" i="3"/>
  <c r="AK194" i="3"/>
  <c r="AR194" i="3"/>
  <c r="S194" i="3"/>
  <c r="AQ205" i="3"/>
  <c r="S205" i="3"/>
  <c r="AK205" i="3"/>
  <c r="AP205" i="3" s="1"/>
  <c r="AS205" i="3"/>
  <c r="AL205" i="3"/>
  <c r="AM205" i="3" s="1"/>
  <c r="AN205" i="3" s="1"/>
  <c r="K205" i="3"/>
  <c r="AR205" i="3"/>
  <c r="AL230" i="3"/>
  <c r="AM230" i="3" s="1"/>
  <c r="AN230" i="3" s="1"/>
  <c r="AS230" i="3"/>
  <c r="AK230" i="3"/>
  <c r="AQ230" i="3"/>
  <c r="S230" i="3"/>
  <c r="AR230" i="3"/>
  <c r="K230" i="3"/>
  <c r="AR225" i="3"/>
  <c r="K225" i="3"/>
  <c r="AQ225" i="3"/>
  <c r="AL225" i="3"/>
  <c r="AM225" i="3" s="1"/>
  <c r="AN225" i="3" s="1"/>
  <c r="AK225" i="3"/>
  <c r="AS225" i="3"/>
  <c r="S225" i="3"/>
  <c r="AR244" i="3"/>
  <c r="K244" i="3"/>
  <c r="AQ244" i="3"/>
  <c r="S244" i="3"/>
  <c r="AS244" i="3"/>
  <c r="AK244" i="3"/>
  <c r="AL244" i="3"/>
  <c r="AM244" i="3" s="1"/>
  <c r="AN244" i="3" s="1"/>
  <c r="E111" i="3"/>
  <c r="D136" i="3"/>
  <c r="E206" i="3"/>
  <c r="D225" i="3"/>
  <c r="D233" i="3"/>
  <c r="E225" i="3"/>
  <c r="D230" i="3"/>
  <c r="D257" i="3"/>
  <c r="AJ69" i="3"/>
  <c r="AJ230" i="3"/>
  <c r="AJ225" i="3"/>
  <c r="AJ247" i="3"/>
  <c r="L78" i="3"/>
  <c r="L111" i="3"/>
  <c r="L128" i="3"/>
  <c r="L156" i="3"/>
  <c r="L163" i="3"/>
  <c r="L177" i="3"/>
  <c r="L183" i="3"/>
  <c r="L204" i="3"/>
  <c r="L236" i="3"/>
  <c r="L230" i="3"/>
  <c r="L239" i="3"/>
  <c r="AS85" i="3"/>
  <c r="AK85" i="3"/>
  <c r="AQ85" i="3"/>
  <c r="AL85" i="3"/>
  <c r="AM85" i="3" s="1"/>
  <c r="AN85" i="3" s="1"/>
  <c r="K85" i="3"/>
  <c r="AR85" i="3"/>
  <c r="S85" i="3"/>
  <c r="AS93" i="3"/>
  <c r="AK93" i="3"/>
  <c r="AQ93" i="3"/>
  <c r="AL93" i="3"/>
  <c r="AM93" i="3" s="1"/>
  <c r="AN93" i="3" s="1"/>
  <c r="K93" i="3"/>
  <c r="AR93" i="3"/>
  <c r="S93" i="3"/>
  <c r="AS101" i="3"/>
  <c r="AK101" i="3"/>
  <c r="AP101" i="3" s="1"/>
  <c r="AQ101" i="3"/>
  <c r="AL101" i="3"/>
  <c r="AM101" i="3" s="1"/>
  <c r="AN101" i="3" s="1"/>
  <c r="K101" i="3"/>
  <c r="AR101" i="3"/>
  <c r="S101" i="3"/>
  <c r="AS83" i="3"/>
  <c r="AK83" i="3"/>
  <c r="AP83" i="3" s="1"/>
  <c r="AQ83" i="3"/>
  <c r="AL83" i="3"/>
  <c r="AM83" i="3" s="1"/>
  <c r="AN83" i="3" s="1"/>
  <c r="K83" i="3"/>
  <c r="AR83" i="3"/>
  <c r="S83" i="3"/>
  <c r="AR71" i="3"/>
  <c r="K71" i="3"/>
  <c r="AK71" i="3"/>
  <c r="S71" i="3"/>
  <c r="AQ71" i="3"/>
  <c r="AL71" i="3"/>
  <c r="AM71" i="3" s="1"/>
  <c r="AN71" i="3" s="1"/>
  <c r="L71" i="3"/>
  <c r="AS71" i="3"/>
  <c r="AR79" i="3"/>
  <c r="K79" i="3"/>
  <c r="AQ79" i="3"/>
  <c r="S79" i="3"/>
  <c r="AL79" i="3"/>
  <c r="AM79" i="3" s="1"/>
  <c r="AN79" i="3" s="1"/>
  <c r="AK79" i="3"/>
  <c r="AS79" i="3"/>
  <c r="AQ88" i="3"/>
  <c r="S88" i="3"/>
  <c r="AR88" i="3"/>
  <c r="AL88" i="3"/>
  <c r="AM88" i="3" s="1"/>
  <c r="AN88" i="3" s="1"/>
  <c r="AK88" i="3"/>
  <c r="AP88" i="3" s="1"/>
  <c r="K88" i="3"/>
  <c r="AS88" i="3"/>
  <c r="D88" i="3"/>
  <c r="AQ96" i="3"/>
  <c r="S96" i="3"/>
  <c r="AR96" i="3"/>
  <c r="AL96" i="3"/>
  <c r="AM96" i="3" s="1"/>
  <c r="AN96" i="3" s="1"/>
  <c r="AK96" i="3"/>
  <c r="AP96" i="3" s="1"/>
  <c r="K96" i="3"/>
  <c r="AS96" i="3"/>
  <c r="D96" i="3"/>
  <c r="AQ104" i="3"/>
  <c r="S104" i="3"/>
  <c r="AR104" i="3"/>
  <c r="AL104" i="3"/>
  <c r="AM104" i="3" s="1"/>
  <c r="AN104" i="3" s="1"/>
  <c r="AK104" i="3"/>
  <c r="AP104" i="3" s="1"/>
  <c r="K104" i="3"/>
  <c r="AS104" i="3"/>
  <c r="AL112" i="3"/>
  <c r="AM112" i="3" s="1"/>
  <c r="AN112" i="3" s="1"/>
  <c r="AQ112" i="3"/>
  <c r="S112" i="3"/>
  <c r="AR112" i="3"/>
  <c r="AS112" i="3"/>
  <c r="AK112" i="3"/>
  <c r="K112" i="3"/>
  <c r="AS137" i="3"/>
  <c r="AK137" i="3"/>
  <c r="AL137" i="3"/>
  <c r="AM137" i="3" s="1"/>
  <c r="AN137" i="3" s="1"/>
  <c r="S137" i="3"/>
  <c r="K137" i="3"/>
  <c r="AQ137" i="3"/>
  <c r="AR137" i="3"/>
  <c r="AS145" i="3"/>
  <c r="AK145" i="3"/>
  <c r="AP145" i="3" s="1"/>
  <c r="AL145" i="3"/>
  <c r="AM145" i="3" s="1"/>
  <c r="AN145" i="3" s="1"/>
  <c r="S145" i="3"/>
  <c r="K145" i="3"/>
  <c r="AQ145" i="3"/>
  <c r="AR145" i="3"/>
  <c r="AS153" i="3"/>
  <c r="AK153" i="3"/>
  <c r="AP153" i="3" s="1"/>
  <c r="AL153" i="3"/>
  <c r="AM153" i="3" s="1"/>
  <c r="AN153" i="3" s="1"/>
  <c r="S153" i="3"/>
  <c r="K153" i="3"/>
  <c r="AQ153" i="3"/>
  <c r="AR153" i="3"/>
  <c r="AR113" i="3"/>
  <c r="K113" i="3"/>
  <c r="AS113" i="3"/>
  <c r="AK113" i="3"/>
  <c r="S113" i="3"/>
  <c r="AQ113" i="3"/>
  <c r="AL113" i="3"/>
  <c r="AM113" i="3" s="1"/>
  <c r="AN113" i="3" s="1"/>
  <c r="AL121" i="3"/>
  <c r="AM121" i="3" s="1"/>
  <c r="AN121" i="3" s="1"/>
  <c r="AR121" i="3"/>
  <c r="S121" i="3"/>
  <c r="AS121" i="3"/>
  <c r="AK121" i="3"/>
  <c r="AQ121" i="3"/>
  <c r="K121" i="3"/>
  <c r="AL129" i="3"/>
  <c r="AM129" i="3" s="1"/>
  <c r="AN129" i="3" s="1"/>
  <c r="AR129" i="3"/>
  <c r="S129" i="3"/>
  <c r="AQ129" i="3"/>
  <c r="AK129" i="3"/>
  <c r="AS129" i="3"/>
  <c r="K129" i="3"/>
  <c r="AL158" i="3"/>
  <c r="AM158" i="3" s="1"/>
  <c r="AN158" i="3" s="1"/>
  <c r="AS158" i="3"/>
  <c r="K158" i="3"/>
  <c r="AK158" i="3"/>
  <c r="AR158" i="3"/>
  <c r="S158" i="3"/>
  <c r="AQ158" i="3"/>
  <c r="AQ179" i="3"/>
  <c r="S179" i="3"/>
  <c r="AK179" i="3"/>
  <c r="K179" i="3"/>
  <c r="AR179" i="3"/>
  <c r="AL179" i="3"/>
  <c r="AM179" i="3" s="1"/>
  <c r="AN179" i="3" s="1"/>
  <c r="AS179" i="3"/>
  <c r="AR122" i="3"/>
  <c r="K122" i="3"/>
  <c r="AK122" i="3"/>
  <c r="AQ122" i="3"/>
  <c r="AL122" i="3"/>
  <c r="AM122" i="3" s="1"/>
  <c r="AN122" i="3" s="1"/>
  <c r="S122" i="3"/>
  <c r="AS122" i="3"/>
  <c r="AR130" i="3"/>
  <c r="K130" i="3"/>
  <c r="AK130" i="3"/>
  <c r="AP130" i="3" s="1"/>
  <c r="AQ130" i="3"/>
  <c r="AL130" i="3"/>
  <c r="AM130" i="3" s="1"/>
  <c r="AN130" i="3" s="1"/>
  <c r="AS130" i="3"/>
  <c r="S130" i="3"/>
  <c r="AQ138" i="3"/>
  <c r="S138" i="3"/>
  <c r="AR138" i="3"/>
  <c r="K138" i="3"/>
  <c r="AS138" i="3"/>
  <c r="AK138" i="3"/>
  <c r="AP138" i="3" s="1"/>
  <c r="AL138" i="3"/>
  <c r="AM138" i="3" s="1"/>
  <c r="AN138" i="3" s="1"/>
  <c r="AQ146" i="3"/>
  <c r="S146" i="3"/>
  <c r="AR146" i="3"/>
  <c r="K146" i="3"/>
  <c r="AS146" i="3"/>
  <c r="AK146" i="3"/>
  <c r="AL146" i="3"/>
  <c r="AM146" i="3" s="1"/>
  <c r="AN146" i="3" s="1"/>
  <c r="AQ154" i="3"/>
  <c r="S154" i="3"/>
  <c r="AR154" i="3"/>
  <c r="K154" i="3"/>
  <c r="AS154" i="3"/>
  <c r="AK154" i="3"/>
  <c r="AP154" i="3" s="1"/>
  <c r="AL154" i="3"/>
  <c r="AM154" i="3" s="1"/>
  <c r="AN154" i="3" s="1"/>
  <c r="AQ173" i="3"/>
  <c r="S173" i="3"/>
  <c r="AK173" i="3"/>
  <c r="K173" i="3"/>
  <c r="AR173" i="3"/>
  <c r="AS173" i="3"/>
  <c r="AL173" i="3"/>
  <c r="AM173" i="3" s="1"/>
  <c r="AN173" i="3" s="1"/>
  <c r="AR187" i="3"/>
  <c r="AS187" i="3"/>
  <c r="S187" i="3"/>
  <c r="AQ187" i="3"/>
  <c r="AL187" i="3"/>
  <c r="AM187" i="3" s="1"/>
  <c r="AN187" i="3" s="1"/>
  <c r="AK187" i="3"/>
  <c r="K187" i="3"/>
  <c r="AR157" i="3"/>
  <c r="K157" i="3"/>
  <c r="AQ157" i="3"/>
  <c r="AL157" i="3"/>
  <c r="AM157" i="3" s="1"/>
  <c r="AN157" i="3" s="1"/>
  <c r="AS157" i="3"/>
  <c r="S157" i="3"/>
  <c r="AK157" i="3"/>
  <c r="AR165" i="3"/>
  <c r="K165" i="3"/>
  <c r="AQ165" i="3"/>
  <c r="S165" i="3"/>
  <c r="AS165" i="3"/>
  <c r="AK165" i="3"/>
  <c r="AL165" i="3"/>
  <c r="AM165" i="3" s="1"/>
  <c r="AN165" i="3" s="1"/>
  <c r="AS172" i="3"/>
  <c r="AK172" i="3"/>
  <c r="AR172" i="3"/>
  <c r="S172" i="3"/>
  <c r="AQ172" i="3"/>
  <c r="K172" i="3"/>
  <c r="AL172" i="3"/>
  <c r="AM172" i="3" s="1"/>
  <c r="AN172" i="3" s="1"/>
  <c r="AS180" i="3"/>
  <c r="AK180" i="3"/>
  <c r="AR180" i="3"/>
  <c r="S180" i="3"/>
  <c r="AQ180" i="3"/>
  <c r="AL180" i="3"/>
  <c r="AM180" i="3" s="1"/>
  <c r="AN180" i="3" s="1"/>
  <c r="K180" i="3"/>
  <c r="AR184" i="3"/>
  <c r="K184" i="3"/>
  <c r="AQ184" i="3"/>
  <c r="S184" i="3"/>
  <c r="AS184" i="3"/>
  <c r="AK184" i="3"/>
  <c r="AP184" i="3" s="1"/>
  <c r="AL184" i="3"/>
  <c r="AM184" i="3" s="1"/>
  <c r="AN184" i="3" s="1"/>
  <c r="AL200" i="3"/>
  <c r="AM200" i="3" s="1"/>
  <c r="AN200" i="3" s="1"/>
  <c r="AS200" i="3"/>
  <c r="AK200" i="3"/>
  <c r="AP200" i="3" s="1"/>
  <c r="AR200" i="3"/>
  <c r="K200" i="3"/>
  <c r="S200" i="3"/>
  <c r="AQ200" i="3"/>
  <c r="AQ209" i="3"/>
  <c r="S209" i="3"/>
  <c r="AK209" i="3"/>
  <c r="K209" i="3"/>
  <c r="AR209" i="3"/>
  <c r="AS209" i="3"/>
  <c r="AL209" i="3"/>
  <c r="AM209" i="3" s="1"/>
  <c r="AN209" i="3" s="1"/>
  <c r="AR191" i="3"/>
  <c r="K191" i="3"/>
  <c r="AS191" i="3"/>
  <c r="S191" i="3"/>
  <c r="AQ191" i="3"/>
  <c r="AL191" i="3"/>
  <c r="AM191" i="3" s="1"/>
  <c r="AN191" i="3" s="1"/>
  <c r="AK191" i="3"/>
  <c r="AR199" i="3"/>
  <c r="K199" i="3"/>
  <c r="AQ199" i="3"/>
  <c r="S199" i="3"/>
  <c r="AL199" i="3"/>
  <c r="AM199" i="3" s="1"/>
  <c r="AN199" i="3" s="1"/>
  <c r="AS199" i="3"/>
  <c r="AK199" i="3"/>
  <c r="AQ211" i="3"/>
  <c r="S211" i="3"/>
  <c r="AK211" i="3"/>
  <c r="K211" i="3"/>
  <c r="AS211" i="3"/>
  <c r="AR211" i="3"/>
  <c r="AL211" i="3"/>
  <c r="AM211" i="3" s="1"/>
  <c r="AN211" i="3" s="1"/>
  <c r="AS208" i="3"/>
  <c r="AK208" i="3"/>
  <c r="AR208" i="3"/>
  <c r="AL208" i="3"/>
  <c r="AM208" i="3" s="1"/>
  <c r="AN208" i="3" s="1"/>
  <c r="S208" i="3"/>
  <c r="K208" i="3"/>
  <c r="AQ208" i="3"/>
  <c r="AL220" i="3"/>
  <c r="AM220" i="3" s="1"/>
  <c r="AN220" i="3" s="1"/>
  <c r="AS220" i="3"/>
  <c r="AR220" i="3"/>
  <c r="S220" i="3"/>
  <c r="K220" i="3"/>
  <c r="AQ220" i="3"/>
  <c r="AK220" i="3"/>
  <c r="AR216" i="3"/>
  <c r="K216" i="3"/>
  <c r="AQ216" i="3"/>
  <c r="S216" i="3"/>
  <c r="AS216" i="3"/>
  <c r="AK216" i="3"/>
  <c r="AP216" i="3" s="1"/>
  <c r="AL216" i="3"/>
  <c r="AM216" i="3" s="1"/>
  <c r="AN216" i="3" s="1"/>
  <c r="AL232" i="3"/>
  <c r="AM232" i="3" s="1"/>
  <c r="AN232" i="3" s="1"/>
  <c r="AS232" i="3"/>
  <c r="AK232" i="3"/>
  <c r="AQ232" i="3"/>
  <c r="S232" i="3"/>
  <c r="AR232" i="3"/>
  <c r="K232" i="3"/>
  <c r="AS252" i="3"/>
  <c r="AK252" i="3"/>
  <c r="AQ252" i="3"/>
  <c r="AL252" i="3"/>
  <c r="AM252" i="3" s="1"/>
  <c r="AN252" i="3" s="1"/>
  <c r="K252" i="3"/>
  <c r="AR252" i="3"/>
  <c r="S252" i="3"/>
  <c r="AR219" i="3"/>
  <c r="K219" i="3"/>
  <c r="AQ219" i="3"/>
  <c r="AL219" i="3"/>
  <c r="AM219" i="3" s="1"/>
  <c r="AN219" i="3" s="1"/>
  <c r="AK219" i="3"/>
  <c r="AS219" i="3"/>
  <c r="S219" i="3"/>
  <c r="AR227" i="3"/>
  <c r="K227" i="3"/>
  <c r="AQ227" i="3"/>
  <c r="AL227" i="3"/>
  <c r="AM227" i="3" s="1"/>
  <c r="AN227" i="3" s="1"/>
  <c r="AK227" i="3"/>
  <c r="AS227" i="3"/>
  <c r="S227" i="3"/>
  <c r="AL235" i="3"/>
  <c r="AM235" i="3" s="1"/>
  <c r="AN235" i="3" s="1"/>
  <c r="AQ235" i="3"/>
  <c r="AK235" i="3"/>
  <c r="K235" i="3"/>
  <c r="S235" i="3"/>
  <c r="AR235" i="3"/>
  <c r="AS235" i="3"/>
  <c r="AR238" i="3"/>
  <c r="K238" i="3"/>
  <c r="AS238" i="3"/>
  <c r="S238" i="3"/>
  <c r="AK238" i="3"/>
  <c r="AP238" i="3" s="1"/>
  <c r="AQ238" i="3"/>
  <c r="AL238" i="3"/>
  <c r="AM238" i="3" s="1"/>
  <c r="AN238" i="3" s="1"/>
  <c r="AR246" i="3"/>
  <c r="K246" i="3"/>
  <c r="AQ246" i="3"/>
  <c r="S246" i="3"/>
  <c r="AS246" i="3"/>
  <c r="AK246" i="3"/>
  <c r="AP246" i="3" s="1"/>
  <c r="AL246" i="3"/>
  <c r="AM246" i="3" s="1"/>
  <c r="AN246" i="3" s="1"/>
  <c r="AS260" i="3"/>
  <c r="AK260" i="3"/>
  <c r="AR260" i="3"/>
  <c r="AL260" i="3"/>
  <c r="AM260" i="3" s="1"/>
  <c r="AN260" i="3" s="1"/>
  <c r="K260" i="3"/>
  <c r="AQ260" i="3"/>
  <c r="S260" i="3"/>
  <c r="AL258" i="3"/>
  <c r="AM258" i="3" s="1"/>
  <c r="AN258" i="3" s="1"/>
  <c r="K258" i="3"/>
  <c r="AS258" i="3"/>
  <c r="AQ258" i="3"/>
  <c r="AK258" i="3"/>
  <c r="AR258" i="3"/>
  <c r="S258" i="3"/>
  <c r="AQ263" i="3"/>
  <c r="S263" i="3"/>
  <c r="AL263" i="3"/>
  <c r="AM263" i="3" s="1"/>
  <c r="AN263" i="3" s="1"/>
  <c r="AR263" i="3"/>
  <c r="K263" i="3"/>
  <c r="AS263" i="3"/>
  <c r="AK263" i="3"/>
  <c r="AP263" i="3" s="1"/>
  <c r="AJ121" i="3"/>
  <c r="AJ102" i="3"/>
  <c r="E74" i="3"/>
  <c r="AJ76" i="3"/>
  <c r="L119" i="3"/>
  <c r="E83" i="3"/>
  <c r="E75" i="3"/>
  <c r="E67" i="3"/>
  <c r="E89" i="3"/>
  <c r="E97" i="3"/>
  <c r="E105" i="3"/>
  <c r="E113" i="3"/>
  <c r="D144" i="3"/>
  <c r="E79" i="3"/>
  <c r="D70" i="3"/>
  <c r="D85" i="3"/>
  <c r="D93" i="3"/>
  <c r="D101" i="3"/>
  <c r="D109" i="3"/>
  <c r="E129" i="3"/>
  <c r="D172" i="3"/>
  <c r="E86" i="3"/>
  <c r="E94" i="3"/>
  <c r="E102" i="3"/>
  <c r="E110" i="3"/>
  <c r="E118" i="3"/>
  <c r="E126" i="3"/>
  <c r="E134" i="3"/>
  <c r="D163" i="3"/>
  <c r="E168" i="3"/>
  <c r="D112" i="3"/>
  <c r="D128" i="3"/>
  <c r="E135" i="3"/>
  <c r="E143" i="3"/>
  <c r="E151" i="3"/>
  <c r="D119" i="3"/>
  <c r="D135" i="3"/>
  <c r="F135" i="3" s="1"/>
  <c r="D151" i="3"/>
  <c r="E158" i="3"/>
  <c r="D176" i="3"/>
  <c r="E138" i="3"/>
  <c r="E146" i="3"/>
  <c r="E154" i="3"/>
  <c r="E163" i="3"/>
  <c r="D170" i="3"/>
  <c r="D189" i="3"/>
  <c r="D175" i="3"/>
  <c r="D156" i="3"/>
  <c r="D191" i="3"/>
  <c r="E175" i="3"/>
  <c r="E183" i="3"/>
  <c r="E186" i="3"/>
  <c r="E208" i="3"/>
  <c r="E190" i="3"/>
  <c r="D212" i="3"/>
  <c r="D201" i="3"/>
  <c r="D214" i="3"/>
  <c r="D206" i="3"/>
  <c r="D192" i="3"/>
  <c r="D200" i="3"/>
  <c r="D207" i="3"/>
  <c r="D244" i="3"/>
  <c r="E209" i="3"/>
  <c r="E217" i="3"/>
  <c r="D219" i="3"/>
  <c r="D227" i="3"/>
  <c r="D235" i="3"/>
  <c r="E219" i="3"/>
  <c r="E227" i="3"/>
  <c r="E228" i="3"/>
  <c r="D236" i="3"/>
  <c r="E231" i="3"/>
  <c r="E239" i="3"/>
  <c r="D224" i="3"/>
  <c r="D232" i="3"/>
  <c r="D251" i="3"/>
  <c r="E252" i="3"/>
  <c r="E253" i="3"/>
  <c r="E258" i="3"/>
  <c r="D258" i="3"/>
  <c r="D261" i="3"/>
  <c r="E72" i="3"/>
  <c r="AJ133" i="3"/>
  <c r="AJ71" i="3"/>
  <c r="AJ79" i="3"/>
  <c r="AJ87" i="3"/>
  <c r="AJ95" i="3"/>
  <c r="AJ139" i="3"/>
  <c r="AJ113" i="3"/>
  <c r="AJ156" i="3"/>
  <c r="AJ172" i="3"/>
  <c r="AJ168" i="3"/>
  <c r="AJ171" i="3"/>
  <c r="AJ179" i="3"/>
  <c r="AJ163" i="3"/>
  <c r="AJ194" i="3"/>
  <c r="AJ189" i="3"/>
  <c r="AJ209" i="3"/>
  <c r="AJ232" i="3"/>
  <c r="AJ228" i="3"/>
  <c r="AJ219" i="3"/>
  <c r="AP219" i="3" s="1"/>
  <c r="AJ227" i="3"/>
  <c r="AJ241" i="3"/>
  <c r="AJ242" i="3"/>
  <c r="AJ250" i="3"/>
  <c r="AJ258" i="3"/>
  <c r="AJ260" i="3"/>
  <c r="L154" i="3"/>
  <c r="AL68" i="3"/>
  <c r="AM68" i="3" s="1"/>
  <c r="AN68" i="3" s="1"/>
  <c r="AR68" i="3"/>
  <c r="S68" i="3"/>
  <c r="AK68" i="3"/>
  <c r="AP68" i="3" s="1"/>
  <c r="L68" i="3"/>
  <c r="AQ68" i="3"/>
  <c r="AS68" i="3"/>
  <c r="K68" i="3"/>
  <c r="AS99" i="3"/>
  <c r="AK99" i="3"/>
  <c r="AP99" i="3" s="1"/>
  <c r="AQ99" i="3"/>
  <c r="AL99" i="3"/>
  <c r="AM99" i="3" s="1"/>
  <c r="AN99" i="3" s="1"/>
  <c r="K99" i="3"/>
  <c r="AR99" i="3"/>
  <c r="S99" i="3"/>
  <c r="AR77" i="3"/>
  <c r="K77" i="3"/>
  <c r="S77" i="3"/>
  <c r="AQ77" i="3"/>
  <c r="AS77" i="3"/>
  <c r="AL77" i="3"/>
  <c r="AM77" i="3" s="1"/>
  <c r="AN77" i="3" s="1"/>
  <c r="AK77" i="3"/>
  <c r="AL110" i="3"/>
  <c r="AM110" i="3" s="1"/>
  <c r="AN110" i="3" s="1"/>
  <c r="AQ110" i="3"/>
  <c r="S110" i="3"/>
  <c r="AR110" i="3"/>
  <c r="AS110" i="3"/>
  <c r="AK110" i="3"/>
  <c r="AP110" i="3" s="1"/>
  <c r="K110" i="3"/>
  <c r="AS143" i="3"/>
  <c r="AK143" i="3"/>
  <c r="AL143" i="3"/>
  <c r="AM143" i="3" s="1"/>
  <c r="AN143" i="3" s="1"/>
  <c r="S143" i="3"/>
  <c r="K143" i="3"/>
  <c r="AQ143" i="3"/>
  <c r="AR143" i="3"/>
  <c r="AL127" i="3"/>
  <c r="AM127" i="3" s="1"/>
  <c r="AN127" i="3" s="1"/>
  <c r="AR127" i="3"/>
  <c r="S127" i="3"/>
  <c r="AQ127" i="3"/>
  <c r="AK127" i="3"/>
  <c r="AS127" i="3"/>
  <c r="K127" i="3"/>
  <c r="AR120" i="3"/>
  <c r="K120" i="3"/>
  <c r="AK120" i="3"/>
  <c r="AQ120" i="3"/>
  <c r="AL120" i="3"/>
  <c r="AM120" i="3" s="1"/>
  <c r="AN120" i="3" s="1"/>
  <c r="AS120" i="3"/>
  <c r="S120" i="3"/>
  <c r="AQ152" i="3"/>
  <c r="S152" i="3"/>
  <c r="AR152" i="3"/>
  <c r="K152" i="3"/>
  <c r="AS152" i="3"/>
  <c r="AK152" i="3"/>
  <c r="AP152" i="3" s="1"/>
  <c r="AL152" i="3"/>
  <c r="AM152" i="3" s="1"/>
  <c r="AN152" i="3" s="1"/>
  <c r="AS170" i="3"/>
  <c r="AK170" i="3"/>
  <c r="AP170" i="3" s="1"/>
  <c r="AR170" i="3"/>
  <c r="S170" i="3"/>
  <c r="AQ170" i="3"/>
  <c r="AL170" i="3"/>
  <c r="AM170" i="3" s="1"/>
  <c r="AN170" i="3" s="1"/>
  <c r="K170" i="3"/>
  <c r="AL198" i="3"/>
  <c r="AM198" i="3" s="1"/>
  <c r="AN198" i="3" s="1"/>
  <c r="AS198" i="3"/>
  <c r="AK198" i="3"/>
  <c r="AR198" i="3"/>
  <c r="K198" i="3"/>
  <c r="S198" i="3"/>
  <c r="AQ198" i="3"/>
  <c r="AR197" i="3"/>
  <c r="K197" i="3"/>
  <c r="AQ197" i="3"/>
  <c r="S197" i="3"/>
  <c r="AL197" i="3"/>
  <c r="AM197" i="3" s="1"/>
  <c r="AN197" i="3" s="1"/>
  <c r="AS197" i="3"/>
  <c r="AK197" i="3"/>
  <c r="AP197" i="3" s="1"/>
  <c r="AL226" i="3"/>
  <c r="AM226" i="3" s="1"/>
  <c r="AN226" i="3" s="1"/>
  <c r="AS226" i="3"/>
  <c r="AR226" i="3"/>
  <c r="S226" i="3"/>
  <c r="K226" i="3"/>
  <c r="AK226" i="3"/>
  <c r="AQ226" i="3"/>
  <c r="AS247" i="3"/>
  <c r="AK247" i="3"/>
  <c r="AR247" i="3"/>
  <c r="S247" i="3"/>
  <c r="AQ247" i="3"/>
  <c r="AL247" i="3"/>
  <c r="AM247" i="3" s="1"/>
  <c r="AN247" i="3" s="1"/>
  <c r="K247" i="3"/>
  <c r="AL257" i="3"/>
  <c r="AM257" i="3" s="1"/>
  <c r="AN257" i="3" s="1"/>
  <c r="AS257" i="3"/>
  <c r="AK257" i="3"/>
  <c r="AP257" i="3" s="1"/>
  <c r="AQ257" i="3"/>
  <c r="S257" i="3"/>
  <c r="AR257" i="3"/>
  <c r="AT257" i="3" s="1"/>
  <c r="K257" i="3"/>
  <c r="AL78" i="3"/>
  <c r="AM78" i="3" s="1"/>
  <c r="AN78" i="3" s="1"/>
  <c r="AS78" i="3"/>
  <c r="AK78" i="3"/>
  <c r="AR78" i="3"/>
  <c r="AQ78" i="3"/>
  <c r="S78" i="3"/>
  <c r="K78" i="3"/>
  <c r="E69" i="3"/>
  <c r="D99" i="3"/>
  <c r="D107" i="3"/>
  <c r="D110" i="3"/>
  <c r="E156" i="3"/>
  <c r="E144" i="3"/>
  <c r="E152" i="3"/>
  <c r="E214" i="3"/>
  <c r="AJ77" i="3"/>
  <c r="AJ127" i="3"/>
  <c r="AJ111" i="3"/>
  <c r="AJ204" i="3"/>
  <c r="L152" i="3"/>
  <c r="L77" i="3"/>
  <c r="AS103" i="3"/>
  <c r="AK103" i="3"/>
  <c r="AP103" i="3" s="1"/>
  <c r="AQ103" i="3"/>
  <c r="AL103" i="3"/>
  <c r="AM103" i="3" s="1"/>
  <c r="AN103" i="3" s="1"/>
  <c r="K103" i="3"/>
  <c r="AR103" i="3"/>
  <c r="S103" i="3"/>
  <c r="AR73" i="3"/>
  <c r="K73" i="3"/>
  <c r="AK73" i="3"/>
  <c r="AS73" i="3"/>
  <c r="S73" i="3"/>
  <c r="AQ73" i="3"/>
  <c r="AL73" i="3"/>
  <c r="AM73" i="3" s="1"/>
  <c r="AN73" i="3" s="1"/>
  <c r="L73" i="3"/>
  <c r="AQ90" i="3"/>
  <c r="S90" i="3"/>
  <c r="AR90" i="3"/>
  <c r="AL90" i="3"/>
  <c r="AM90" i="3" s="1"/>
  <c r="AN90" i="3" s="1"/>
  <c r="AK90" i="3"/>
  <c r="AP90" i="3" s="1"/>
  <c r="K90" i="3"/>
  <c r="AS90" i="3"/>
  <c r="AQ106" i="3"/>
  <c r="S106" i="3"/>
  <c r="AR106" i="3"/>
  <c r="AL106" i="3"/>
  <c r="AM106" i="3" s="1"/>
  <c r="AN106" i="3" s="1"/>
  <c r="AK106" i="3"/>
  <c r="K106" i="3"/>
  <c r="AS106" i="3"/>
  <c r="AR114" i="3"/>
  <c r="AK114" i="3"/>
  <c r="AQ114" i="3"/>
  <c r="AL114" i="3"/>
  <c r="AM114" i="3" s="1"/>
  <c r="AN114" i="3" s="1"/>
  <c r="S114" i="3"/>
  <c r="K114" i="3"/>
  <c r="AS114" i="3"/>
  <c r="AS147" i="3"/>
  <c r="AK147" i="3"/>
  <c r="AL147" i="3"/>
  <c r="AM147" i="3" s="1"/>
  <c r="AN147" i="3" s="1"/>
  <c r="S147" i="3"/>
  <c r="K147" i="3"/>
  <c r="AQ147" i="3"/>
  <c r="AR147" i="3"/>
  <c r="AR155" i="3"/>
  <c r="AQ155" i="3"/>
  <c r="AL155" i="3"/>
  <c r="AM155" i="3" s="1"/>
  <c r="AN155" i="3" s="1"/>
  <c r="AS155" i="3"/>
  <c r="S155" i="3"/>
  <c r="AK155" i="3"/>
  <c r="AP155" i="3" s="1"/>
  <c r="K155" i="3"/>
  <c r="AL115" i="3"/>
  <c r="AM115" i="3" s="1"/>
  <c r="AN115" i="3" s="1"/>
  <c r="AR115" i="3"/>
  <c r="S115" i="3"/>
  <c r="AS115" i="3"/>
  <c r="AK115" i="3"/>
  <c r="AP115" i="3" s="1"/>
  <c r="K115" i="3"/>
  <c r="AQ115" i="3"/>
  <c r="AL123" i="3"/>
  <c r="AM123" i="3" s="1"/>
  <c r="AN123" i="3" s="1"/>
  <c r="AR123" i="3"/>
  <c r="S123" i="3"/>
  <c r="AQ123" i="3"/>
  <c r="AK123" i="3"/>
  <c r="AP123" i="3" s="1"/>
  <c r="AS123" i="3"/>
  <c r="K123" i="3"/>
  <c r="AL131" i="3"/>
  <c r="AM131" i="3" s="1"/>
  <c r="AN131" i="3" s="1"/>
  <c r="AR131" i="3"/>
  <c r="S131" i="3"/>
  <c r="AQ131" i="3"/>
  <c r="AK131" i="3"/>
  <c r="AS131" i="3"/>
  <c r="K131" i="3"/>
  <c r="AL160" i="3"/>
  <c r="AM160" i="3" s="1"/>
  <c r="AN160" i="3" s="1"/>
  <c r="AS160" i="3"/>
  <c r="K160" i="3"/>
  <c r="AK160" i="3"/>
  <c r="AP160" i="3" s="1"/>
  <c r="AR160" i="3"/>
  <c r="S160" i="3"/>
  <c r="AQ160" i="3"/>
  <c r="AR116" i="3"/>
  <c r="K116" i="3"/>
  <c r="AK116" i="3"/>
  <c r="AP116" i="3" s="1"/>
  <c r="AQ116" i="3"/>
  <c r="AL116" i="3"/>
  <c r="AM116" i="3" s="1"/>
  <c r="AN116" i="3" s="1"/>
  <c r="AS116" i="3"/>
  <c r="S116" i="3"/>
  <c r="AR124" i="3"/>
  <c r="K124" i="3"/>
  <c r="AK124" i="3"/>
  <c r="AP124" i="3" s="1"/>
  <c r="AQ124" i="3"/>
  <c r="AL124" i="3"/>
  <c r="AM124" i="3" s="1"/>
  <c r="AN124" i="3" s="1"/>
  <c r="AS124" i="3"/>
  <c r="S124" i="3"/>
  <c r="AR132" i="3"/>
  <c r="K132" i="3"/>
  <c r="AK132" i="3"/>
  <c r="AP132" i="3" s="1"/>
  <c r="AQ132" i="3"/>
  <c r="AL132" i="3"/>
  <c r="AM132" i="3" s="1"/>
  <c r="AN132" i="3" s="1"/>
  <c r="AS132" i="3"/>
  <c r="S132" i="3"/>
  <c r="AQ140" i="3"/>
  <c r="S140" i="3"/>
  <c r="AR140" i="3"/>
  <c r="K140" i="3"/>
  <c r="AS140" i="3"/>
  <c r="AK140" i="3"/>
  <c r="AP140" i="3" s="1"/>
  <c r="AL140" i="3"/>
  <c r="AM140" i="3" s="1"/>
  <c r="AN140" i="3" s="1"/>
  <c r="AQ148" i="3"/>
  <c r="S148" i="3"/>
  <c r="AR148" i="3"/>
  <c r="K148" i="3"/>
  <c r="AS148" i="3"/>
  <c r="AK148" i="3"/>
  <c r="AP148" i="3" s="1"/>
  <c r="AL148" i="3"/>
  <c r="AM148" i="3" s="1"/>
  <c r="AN148" i="3" s="1"/>
  <c r="AL164" i="3"/>
  <c r="AM164" i="3" s="1"/>
  <c r="AN164" i="3" s="1"/>
  <c r="AS164" i="3"/>
  <c r="AK164" i="3"/>
  <c r="AR164" i="3"/>
  <c r="S164" i="3"/>
  <c r="K164" i="3"/>
  <c r="AQ164" i="3"/>
  <c r="AQ181" i="3"/>
  <c r="S181" i="3"/>
  <c r="AK181" i="3"/>
  <c r="K181" i="3"/>
  <c r="AR181" i="3"/>
  <c r="AS181" i="3"/>
  <c r="AL181" i="3"/>
  <c r="AM181" i="3" s="1"/>
  <c r="AN181" i="3" s="1"/>
  <c r="AL188" i="3"/>
  <c r="AM188" i="3" s="1"/>
  <c r="AN188" i="3" s="1"/>
  <c r="K188" i="3"/>
  <c r="AS188" i="3"/>
  <c r="AQ188" i="3"/>
  <c r="AK188" i="3"/>
  <c r="AR188" i="3"/>
  <c r="S188" i="3"/>
  <c r="AR159" i="3"/>
  <c r="K159" i="3"/>
  <c r="AQ159" i="3"/>
  <c r="AL159" i="3"/>
  <c r="AM159" i="3" s="1"/>
  <c r="AN159" i="3" s="1"/>
  <c r="AS159" i="3"/>
  <c r="S159" i="3"/>
  <c r="AK159" i="3"/>
  <c r="AP159" i="3" s="1"/>
  <c r="AR167" i="3"/>
  <c r="K167" i="3"/>
  <c r="AQ167" i="3"/>
  <c r="S167" i="3"/>
  <c r="AS167" i="3"/>
  <c r="AK167" i="3"/>
  <c r="AL167" i="3"/>
  <c r="AM167" i="3" s="1"/>
  <c r="AN167" i="3" s="1"/>
  <c r="AS174" i="3"/>
  <c r="AK174" i="3"/>
  <c r="AR174" i="3"/>
  <c r="S174" i="3"/>
  <c r="AL174" i="3"/>
  <c r="AM174" i="3" s="1"/>
  <c r="AN174" i="3" s="1"/>
  <c r="K174" i="3"/>
  <c r="AQ174" i="3"/>
  <c r="AS182" i="3"/>
  <c r="AK182" i="3"/>
  <c r="AR182" i="3"/>
  <c r="S182" i="3"/>
  <c r="AQ182" i="3"/>
  <c r="AL182" i="3"/>
  <c r="AM182" i="3" s="1"/>
  <c r="AN182" i="3" s="1"/>
  <c r="K182" i="3"/>
  <c r="AR186" i="3"/>
  <c r="K186" i="3"/>
  <c r="AQ186" i="3"/>
  <c r="S186" i="3"/>
  <c r="AS186" i="3"/>
  <c r="AK186" i="3"/>
  <c r="AP186" i="3" s="1"/>
  <c r="AL186" i="3"/>
  <c r="AM186" i="3" s="1"/>
  <c r="AN186" i="3" s="1"/>
  <c r="AQ207" i="3"/>
  <c r="S207" i="3"/>
  <c r="AK207" i="3"/>
  <c r="AP207" i="3" s="1"/>
  <c r="K207" i="3"/>
  <c r="AS207" i="3"/>
  <c r="AL207" i="3"/>
  <c r="AM207" i="3" s="1"/>
  <c r="AN207" i="3" s="1"/>
  <c r="AR207" i="3"/>
  <c r="AQ213" i="3"/>
  <c r="S213" i="3"/>
  <c r="AK213" i="3"/>
  <c r="AP213" i="3" s="1"/>
  <c r="K213" i="3"/>
  <c r="AS213" i="3"/>
  <c r="AR213" i="3"/>
  <c r="AL213" i="3"/>
  <c r="AM213" i="3" s="1"/>
  <c r="AN213" i="3" s="1"/>
  <c r="AR193" i="3"/>
  <c r="K193" i="3"/>
  <c r="AS193" i="3"/>
  <c r="S193" i="3"/>
  <c r="AQ193" i="3"/>
  <c r="AL193" i="3"/>
  <c r="AM193" i="3" s="1"/>
  <c r="AN193" i="3" s="1"/>
  <c r="AK193" i="3"/>
  <c r="AP193" i="3" s="1"/>
  <c r="AQ201" i="3"/>
  <c r="AR201" i="3"/>
  <c r="AL201" i="3"/>
  <c r="AM201" i="3" s="1"/>
  <c r="AN201" i="3" s="1"/>
  <c r="K201" i="3"/>
  <c r="AK201" i="3"/>
  <c r="AP201" i="3" s="1"/>
  <c r="S201" i="3"/>
  <c r="AS201" i="3"/>
  <c r="AL217" i="3"/>
  <c r="AM217" i="3" s="1"/>
  <c r="AN217" i="3" s="1"/>
  <c r="AS217" i="3"/>
  <c r="AK217" i="3"/>
  <c r="AP217" i="3" s="1"/>
  <c r="AQ217" i="3"/>
  <c r="S217" i="3"/>
  <c r="AR217" i="3"/>
  <c r="K217" i="3"/>
  <c r="AS210" i="3"/>
  <c r="AK210" i="3"/>
  <c r="AR210" i="3"/>
  <c r="S210" i="3"/>
  <c r="AQ210" i="3"/>
  <c r="AL210" i="3"/>
  <c r="AM210" i="3" s="1"/>
  <c r="AN210" i="3" s="1"/>
  <c r="K210" i="3"/>
  <c r="AL222" i="3"/>
  <c r="AM222" i="3" s="1"/>
  <c r="AN222" i="3" s="1"/>
  <c r="AS222" i="3"/>
  <c r="AR222" i="3"/>
  <c r="S222" i="3"/>
  <c r="K222" i="3"/>
  <c r="AK222" i="3"/>
  <c r="AP222" i="3" s="1"/>
  <c r="AQ222" i="3"/>
  <c r="AS218" i="3"/>
  <c r="K218" i="3"/>
  <c r="AR218" i="3"/>
  <c r="S218" i="3"/>
  <c r="AK218" i="3"/>
  <c r="AL218" i="3"/>
  <c r="AM218" i="3" s="1"/>
  <c r="AN218" i="3" s="1"/>
  <c r="AQ218" i="3"/>
  <c r="AL234" i="3"/>
  <c r="AM234" i="3" s="1"/>
  <c r="AN234" i="3" s="1"/>
  <c r="AS234" i="3"/>
  <c r="AK234" i="3"/>
  <c r="AQ234" i="3"/>
  <c r="S234" i="3"/>
  <c r="AR234" i="3"/>
  <c r="K234" i="3"/>
  <c r="AL243" i="3"/>
  <c r="AM243" i="3" s="1"/>
  <c r="AN243" i="3" s="1"/>
  <c r="AS243" i="3"/>
  <c r="AK243" i="3"/>
  <c r="AQ243" i="3"/>
  <c r="S243" i="3"/>
  <c r="AR243" i="3"/>
  <c r="K243" i="3"/>
  <c r="AR221" i="3"/>
  <c r="K221" i="3"/>
  <c r="AQ221" i="3"/>
  <c r="AL221" i="3"/>
  <c r="AM221" i="3" s="1"/>
  <c r="AN221" i="3" s="1"/>
  <c r="AK221" i="3"/>
  <c r="AS221" i="3"/>
  <c r="S221" i="3"/>
  <c r="AR229" i="3"/>
  <c r="K229" i="3"/>
  <c r="AQ229" i="3"/>
  <c r="S229" i="3"/>
  <c r="AS229" i="3"/>
  <c r="AK229" i="3"/>
  <c r="AL229" i="3"/>
  <c r="AM229" i="3" s="1"/>
  <c r="AN229" i="3" s="1"/>
  <c r="AS248" i="3"/>
  <c r="AK248" i="3"/>
  <c r="AQ248" i="3"/>
  <c r="AL248" i="3"/>
  <c r="AM248" i="3" s="1"/>
  <c r="AN248" i="3" s="1"/>
  <c r="K248" i="3"/>
  <c r="AR248" i="3"/>
  <c r="S248" i="3"/>
  <c r="AR240" i="3"/>
  <c r="K240" i="3"/>
  <c r="AS240" i="3"/>
  <c r="S240" i="3"/>
  <c r="AK240" i="3"/>
  <c r="AP240" i="3" s="1"/>
  <c r="AQ240" i="3"/>
  <c r="AL240" i="3"/>
  <c r="AM240" i="3" s="1"/>
  <c r="AN240" i="3" s="1"/>
  <c r="AR254" i="3"/>
  <c r="K254" i="3"/>
  <c r="AQ254" i="3"/>
  <c r="S254" i="3"/>
  <c r="AS254" i="3"/>
  <c r="AK254" i="3"/>
  <c r="AL254" i="3"/>
  <c r="AM254" i="3" s="1"/>
  <c r="AN254" i="3" s="1"/>
  <c r="AQ249" i="3"/>
  <c r="S249" i="3"/>
  <c r="AS249" i="3"/>
  <c r="AR249" i="3"/>
  <c r="AL249" i="3"/>
  <c r="AM249" i="3" s="1"/>
  <c r="AN249" i="3" s="1"/>
  <c r="AK249" i="3"/>
  <c r="AP249" i="3" s="1"/>
  <c r="K249" i="3"/>
  <c r="AR256" i="3"/>
  <c r="K256" i="3"/>
  <c r="AQ256" i="3"/>
  <c r="S256" i="3"/>
  <c r="AS256" i="3"/>
  <c r="AK256" i="3"/>
  <c r="AL256" i="3"/>
  <c r="AM256" i="3" s="1"/>
  <c r="AN256" i="3" s="1"/>
  <c r="AS262" i="3"/>
  <c r="AK262" i="3"/>
  <c r="AR262" i="3"/>
  <c r="K262" i="3"/>
  <c r="AL262" i="3"/>
  <c r="AM262" i="3" s="1"/>
  <c r="AN262" i="3" s="1"/>
  <c r="S262" i="3"/>
  <c r="AQ262" i="3"/>
  <c r="AJ98" i="3"/>
  <c r="AJ86" i="3"/>
  <c r="AJ72" i="3"/>
  <c r="AJ151" i="3"/>
  <c r="AJ94" i="3"/>
  <c r="E76" i="3"/>
  <c r="E68" i="3"/>
  <c r="AJ135" i="3"/>
  <c r="D82" i="3"/>
  <c r="E73" i="3"/>
  <c r="E65" i="3"/>
  <c r="E91" i="3"/>
  <c r="E99" i="3"/>
  <c r="E107" i="3"/>
  <c r="E117" i="3"/>
  <c r="D152" i="3"/>
  <c r="D140" i="3"/>
  <c r="D64" i="3"/>
  <c r="D72" i="3"/>
  <c r="D87" i="3"/>
  <c r="D95" i="3"/>
  <c r="D103" i="3"/>
  <c r="D111" i="3"/>
  <c r="D138" i="3"/>
  <c r="E174" i="3"/>
  <c r="E88" i="3"/>
  <c r="E96" i="3"/>
  <c r="E104" i="3"/>
  <c r="E112" i="3"/>
  <c r="E120" i="3"/>
  <c r="F120" i="3" s="1"/>
  <c r="E128" i="3"/>
  <c r="D157" i="3"/>
  <c r="D174" i="3"/>
  <c r="F174" i="3" s="1"/>
  <c r="E176" i="3"/>
  <c r="D114" i="3"/>
  <c r="D122" i="3"/>
  <c r="D130" i="3"/>
  <c r="E137" i="3"/>
  <c r="E145" i="3"/>
  <c r="E153" i="3"/>
  <c r="D184" i="3"/>
  <c r="D121" i="3"/>
  <c r="D129" i="3"/>
  <c r="D137" i="3"/>
  <c r="D145" i="3"/>
  <c r="D153" i="3"/>
  <c r="E160" i="3"/>
  <c r="E178" i="3"/>
  <c r="E140" i="3"/>
  <c r="E148" i="3"/>
  <c r="E157" i="3"/>
  <c r="D165" i="3"/>
  <c r="E172" i="3"/>
  <c r="D193" i="3"/>
  <c r="E169" i="3"/>
  <c r="D177" i="3"/>
  <c r="D158" i="3"/>
  <c r="D166" i="3"/>
  <c r="E195" i="3"/>
  <c r="E177" i="3"/>
  <c r="E185" i="3"/>
  <c r="E189" i="3"/>
  <c r="D185" i="3"/>
  <c r="E192" i="3"/>
  <c r="E200" i="3"/>
  <c r="D195" i="3"/>
  <c r="D203" i="3"/>
  <c r="E197" i="3"/>
  <c r="E210" i="3"/>
  <c r="D194" i="3"/>
  <c r="D202" i="3"/>
  <c r="D208" i="3"/>
  <c r="D211" i="3"/>
  <c r="E203" i="3"/>
  <c r="E211" i="3"/>
  <c r="E220" i="3"/>
  <c r="E240" i="3"/>
  <c r="D221" i="3"/>
  <c r="D229" i="3"/>
  <c r="E236" i="3"/>
  <c r="E221" i="3"/>
  <c r="E238" i="3"/>
  <c r="E230" i="3"/>
  <c r="D238" i="3"/>
  <c r="E233" i="3"/>
  <c r="E241" i="3"/>
  <c r="D226" i="3"/>
  <c r="D234" i="3"/>
  <c r="E242" i="3"/>
  <c r="D237" i="3"/>
  <c r="D245" i="3"/>
  <c r="D253" i="3"/>
  <c r="D259" i="3"/>
  <c r="D256" i="3"/>
  <c r="E255" i="3"/>
  <c r="E259" i="3"/>
  <c r="E260" i="3"/>
  <c r="D260" i="3"/>
  <c r="D263" i="3"/>
  <c r="E64" i="3"/>
  <c r="AJ137" i="3"/>
  <c r="AJ129" i="3"/>
  <c r="AJ65" i="3"/>
  <c r="AJ73" i="3"/>
  <c r="AJ81" i="3"/>
  <c r="AJ89" i="3"/>
  <c r="AJ97" i="3"/>
  <c r="AJ105" i="3"/>
  <c r="AJ112" i="3"/>
  <c r="AJ147" i="3"/>
  <c r="AJ176" i="3"/>
  <c r="AJ118" i="3"/>
  <c r="AJ126" i="3"/>
  <c r="AJ134" i="3"/>
  <c r="AJ142" i="3"/>
  <c r="AJ150" i="3"/>
  <c r="AJ158" i="3"/>
  <c r="AJ180" i="3"/>
  <c r="AJ174" i="3"/>
  <c r="AJ173" i="3"/>
  <c r="AJ181" i="3"/>
  <c r="AJ157" i="3"/>
  <c r="AJ165" i="3"/>
  <c r="AJ188" i="3"/>
  <c r="AJ196" i="3"/>
  <c r="AJ203" i="3"/>
  <c r="AJ208" i="3"/>
  <c r="AJ191" i="3"/>
  <c r="AJ199" i="3"/>
  <c r="AJ210" i="3"/>
  <c r="AJ211" i="3"/>
  <c r="AJ224" i="3"/>
  <c r="AJ234" i="3"/>
  <c r="AJ235" i="3"/>
  <c r="AJ221" i="3"/>
  <c r="AJ229" i="3"/>
  <c r="AJ243" i="3"/>
  <c r="AJ236" i="3"/>
  <c r="AJ244" i="3"/>
  <c r="AJ251" i="3"/>
  <c r="AJ252" i="3"/>
  <c r="AJ259" i="3"/>
  <c r="AJ262" i="3"/>
  <c r="L31" i="1"/>
  <c r="B90" i="1"/>
  <c r="E41" i="2" l="1"/>
  <c r="I71" i="2"/>
  <c r="N71" i="2"/>
  <c r="L72" i="2"/>
  <c r="E13" i="2"/>
  <c r="O71" i="2"/>
  <c r="K71" i="2"/>
  <c r="G13" i="2"/>
  <c r="M71" i="2"/>
  <c r="P71" i="2"/>
  <c r="F13" i="2"/>
  <c r="P69" i="2"/>
  <c r="J71" i="2"/>
  <c r="F38" i="2"/>
  <c r="J70" i="2"/>
  <c r="N68" i="2"/>
  <c r="L71" i="2"/>
  <c r="L70" i="2"/>
  <c r="L68" i="2"/>
  <c r="F41" i="2"/>
  <c r="D41" i="2"/>
  <c r="L69" i="2"/>
  <c r="AP67" i="3"/>
  <c r="M69" i="2"/>
  <c r="J69" i="2"/>
  <c r="K69" i="2"/>
  <c r="I69" i="2"/>
  <c r="N69" i="2"/>
  <c r="F92" i="3"/>
  <c r="F87" i="3"/>
  <c r="G87" i="3" s="1"/>
  <c r="F240" i="3"/>
  <c r="G240" i="3" s="1"/>
  <c r="F210" i="3"/>
  <c r="G210" i="3" s="1"/>
  <c r="F184" i="3"/>
  <c r="F130" i="3"/>
  <c r="H130" i="3" s="1"/>
  <c r="F95" i="3"/>
  <c r="G95" i="3" s="1"/>
  <c r="F70" i="3"/>
  <c r="H70" i="3" s="1"/>
  <c r="AO171" i="3"/>
  <c r="AP133" i="3"/>
  <c r="AP190" i="3"/>
  <c r="AO213" i="3"/>
  <c r="AP250" i="3"/>
  <c r="F169" i="3"/>
  <c r="G169" i="3" s="1"/>
  <c r="F250" i="3"/>
  <c r="H250" i="3" s="1"/>
  <c r="F77" i="3"/>
  <c r="G77" i="3" s="1"/>
  <c r="F181" i="3"/>
  <c r="G181" i="3" s="1"/>
  <c r="F218" i="3"/>
  <c r="G218" i="3" s="1"/>
  <c r="F80" i="3"/>
  <c r="G80" i="3" s="1"/>
  <c r="AP135" i="3"/>
  <c r="F150" i="3"/>
  <c r="H150" i="3" s="1"/>
  <c r="F264" i="3"/>
  <c r="H264" i="3" s="1"/>
  <c r="F226" i="3"/>
  <c r="H226" i="3" s="1"/>
  <c r="F114" i="3"/>
  <c r="H114" i="3" s="1"/>
  <c r="AP245" i="3"/>
  <c r="F142" i="3"/>
  <c r="H142" i="3" s="1"/>
  <c r="AP65" i="3"/>
  <c r="F67" i="3"/>
  <c r="H67" i="3" s="1"/>
  <c r="AP232" i="3"/>
  <c r="F188" i="3"/>
  <c r="H188" i="3" s="1"/>
  <c r="F224" i="3"/>
  <c r="H224" i="3" s="1"/>
  <c r="F146" i="3"/>
  <c r="H146" i="3" s="1"/>
  <c r="F168" i="3"/>
  <c r="H168" i="3" s="1"/>
  <c r="F247" i="3"/>
  <c r="H247" i="3" s="1"/>
  <c r="F73" i="3"/>
  <c r="H73" i="3" s="1"/>
  <c r="AP71" i="3"/>
  <c r="AT194" i="3"/>
  <c r="AU194" i="3" s="1"/>
  <c r="AP242" i="3"/>
  <c r="AP228" i="3"/>
  <c r="F193" i="3"/>
  <c r="H193" i="3" s="1"/>
  <c r="F133" i="3"/>
  <c r="G133" i="3" s="1"/>
  <c r="G22" i="2"/>
  <c r="H22" i="2"/>
  <c r="F126" i="3"/>
  <c r="H126" i="3" s="1"/>
  <c r="F252" i="3"/>
  <c r="G252" i="3" s="1"/>
  <c r="F124" i="3"/>
  <c r="G124" i="3" s="1"/>
  <c r="F245" i="3"/>
  <c r="H245" i="3" s="1"/>
  <c r="F235" i="3"/>
  <c r="H235" i="3" s="1"/>
  <c r="F209" i="3"/>
  <c r="H209" i="3" s="1"/>
  <c r="F75" i="3"/>
  <c r="H75" i="3" s="1"/>
  <c r="F179" i="3"/>
  <c r="G179" i="3" s="1"/>
  <c r="F167" i="3"/>
  <c r="H167" i="3" s="1"/>
  <c r="F131" i="3"/>
  <c r="H131" i="3" s="1"/>
  <c r="F262" i="3"/>
  <c r="H262" i="3" s="1"/>
  <c r="F248" i="3"/>
  <c r="H248" i="3" s="1"/>
  <c r="F106" i="3"/>
  <c r="H106" i="3" s="1"/>
  <c r="F256" i="3"/>
  <c r="H256" i="3" s="1"/>
  <c r="F194" i="3"/>
  <c r="H194" i="3" s="1"/>
  <c r="F244" i="3"/>
  <c r="H244" i="3" s="1"/>
  <c r="F190" i="3"/>
  <c r="G190" i="3" s="1"/>
  <c r="F143" i="3"/>
  <c r="G143" i="3" s="1"/>
  <c r="F162" i="3"/>
  <c r="H162" i="3" s="1"/>
  <c r="F182" i="3"/>
  <c r="H182" i="3" s="1"/>
  <c r="F127" i="3"/>
  <c r="G127" i="3" s="1"/>
  <c r="AO170" i="3"/>
  <c r="AP199" i="3"/>
  <c r="AP81" i="3"/>
  <c r="AP137" i="3"/>
  <c r="AO247" i="3"/>
  <c r="AO235" i="3"/>
  <c r="F229" i="3"/>
  <c r="G229" i="3" s="1"/>
  <c r="F69" i="3"/>
  <c r="H69" i="3" s="1"/>
  <c r="F94" i="3"/>
  <c r="G94" i="3" s="1"/>
  <c r="F147" i="3"/>
  <c r="G147" i="3" s="1"/>
  <c r="F198" i="3"/>
  <c r="G198" i="3" s="1"/>
  <c r="F115" i="3"/>
  <c r="G115" i="3" s="1"/>
  <c r="F132" i="3"/>
  <c r="H132" i="3" s="1"/>
  <c r="F164" i="3"/>
  <c r="H164" i="3" s="1"/>
  <c r="F191" i="3"/>
  <c r="G191" i="3" s="1"/>
  <c r="F149" i="3"/>
  <c r="H149" i="3" s="1"/>
  <c r="F251" i="3"/>
  <c r="H251" i="3" s="1"/>
  <c r="F85" i="3"/>
  <c r="G85" i="3" s="1"/>
  <c r="F118" i="3"/>
  <c r="H118" i="3" s="1"/>
  <c r="F79" i="3"/>
  <c r="H79" i="3" s="1"/>
  <c r="F83" i="3"/>
  <c r="H83" i="3" s="1"/>
  <c r="F196" i="3"/>
  <c r="H196" i="3" s="1"/>
  <c r="AW80" i="3"/>
  <c r="AY80" i="3" s="1"/>
  <c r="AP119" i="3"/>
  <c r="AO262" i="3"/>
  <c r="AP188" i="3"/>
  <c r="F125" i="3"/>
  <c r="G125" i="3" s="1"/>
  <c r="F101" i="3"/>
  <c r="G101" i="3" s="1"/>
  <c r="AT73" i="3"/>
  <c r="AU73" i="3" s="1"/>
  <c r="AT220" i="3"/>
  <c r="AU220" i="3" s="1"/>
  <c r="AT211" i="3"/>
  <c r="AU211" i="3" s="1"/>
  <c r="AT205" i="3"/>
  <c r="AU205" i="3" s="1"/>
  <c r="AW205" i="3" s="1"/>
  <c r="AP176" i="3"/>
  <c r="AP136" i="3"/>
  <c r="AO67" i="3"/>
  <c r="AP214" i="3"/>
  <c r="AO181" i="3"/>
  <c r="AP97" i="3"/>
  <c r="AO75" i="3"/>
  <c r="AP86" i="3"/>
  <c r="F134" i="3"/>
  <c r="H134" i="3" s="1"/>
  <c r="F113" i="3"/>
  <c r="G113" i="3" s="1"/>
  <c r="F215" i="3"/>
  <c r="G215" i="3" s="1"/>
  <c r="F66" i="3"/>
  <c r="H66" i="3" s="1"/>
  <c r="F141" i="3"/>
  <c r="H141" i="3" s="1"/>
  <c r="F103" i="3"/>
  <c r="G103" i="3" s="1"/>
  <c r="F98" i="3"/>
  <c r="G98" i="3" s="1"/>
  <c r="F263" i="3"/>
  <c r="G263" i="3" s="1"/>
  <c r="F78" i="3"/>
  <c r="G78" i="3" s="1"/>
  <c r="F220" i="3"/>
  <c r="G220" i="3" s="1"/>
  <c r="F165" i="3"/>
  <c r="H165" i="3" s="1"/>
  <c r="F187" i="3"/>
  <c r="G187" i="3" s="1"/>
  <c r="F84" i="3"/>
  <c r="G84" i="3" s="1"/>
  <c r="F237" i="3"/>
  <c r="G237" i="3" s="1"/>
  <c r="F241" i="3"/>
  <c r="H241" i="3" s="1"/>
  <c r="F166" i="3"/>
  <c r="H166" i="3" s="1"/>
  <c r="F121" i="3"/>
  <c r="G121" i="3" s="1"/>
  <c r="F117" i="3"/>
  <c r="H117" i="3" s="1"/>
  <c r="F93" i="3"/>
  <c r="H93" i="3" s="1"/>
  <c r="F71" i="3"/>
  <c r="H71" i="3" s="1"/>
  <c r="F199" i="3"/>
  <c r="H199" i="3" s="1"/>
  <c r="F180" i="3"/>
  <c r="G180" i="3" s="1"/>
  <c r="F234" i="3"/>
  <c r="G234" i="3" s="1"/>
  <c r="F122" i="3"/>
  <c r="H122" i="3" s="1"/>
  <c r="F104" i="3"/>
  <c r="G104" i="3" s="1"/>
  <c r="F232" i="3"/>
  <c r="G232" i="3" s="1"/>
  <c r="F37" i="2"/>
  <c r="K68" i="2"/>
  <c r="AT232" i="3"/>
  <c r="AU232" i="3" s="1"/>
  <c r="AW232" i="3" s="1"/>
  <c r="AT117" i="3"/>
  <c r="AU117" i="3" s="1"/>
  <c r="AT189" i="3"/>
  <c r="AU189" i="3" s="1"/>
  <c r="F48" i="2"/>
  <c r="D17" i="2" s="1"/>
  <c r="G17" i="2"/>
  <c r="G25" i="2"/>
  <c r="G21" i="2"/>
  <c r="G50" i="2"/>
  <c r="E19" i="2" s="1"/>
  <c r="G57" i="2"/>
  <c r="E26" i="2" s="1"/>
  <c r="G36" i="2"/>
  <c r="G19" i="2"/>
  <c r="G52" i="2"/>
  <c r="E21" i="2" s="1"/>
  <c r="G53" i="2"/>
  <c r="E22" i="2" s="1"/>
  <c r="G59" i="2"/>
  <c r="E28" i="2" s="1"/>
  <c r="F56" i="2"/>
  <c r="D25" i="2" s="1"/>
  <c r="F57" i="2"/>
  <c r="D26" i="2" s="1"/>
  <c r="G28" i="2"/>
  <c r="G29" i="2"/>
  <c r="G15" i="2"/>
  <c r="F60" i="2"/>
  <c r="D29" i="2" s="1"/>
  <c r="F59" i="2"/>
  <c r="D28" i="2" s="1"/>
  <c r="G51" i="2"/>
  <c r="E20" i="2" s="1"/>
  <c r="G60" i="2"/>
  <c r="E29" i="2" s="1"/>
  <c r="G46" i="2"/>
  <c r="E15" i="2" s="1"/>
  <c r="F46" i="2"/>
  <c r="D15" i="2" s="1"/>
  <c r="F67" i="2"/>
  <c r="D36" i="2" s="1"/>
  <c r="G39" i="2"/>
  <c r="G20" i="2"/>
  <c r="P68" i="2"/>
  <c r="M68" i="2"/>
  <c r="F61" i="2"/>
  <c r="D30" i="2" s="1"/>
  <c r="F58" i="2"/>
  <c r="D27" i="2" s="1"/>
  <c r="M263" i="3"/>
  <c r="T263" i="3" s="1"/>
  <c r="U263" i="3" s="1"/>
  <c r="V263" i="3" s="1"/>
  <c r="AB263" i="3" s="1"/>
  <c r="AD263" i="3" s="1"/>
  <c r="K70" i="2"/>
  <c r="J68" i="2"/>
  <c r="G26" i="2"/>
  <c r="G30" i="2"/>
  <c r="G49" i="2"/>
  <c r="E18" i="2" s="1"/>
  <c r="F71" i="2"/>
  <c r="D40" i="2" s="1"/>
  <c r="F62" i="2"/>
  <c r="D31" i="2" s="1"/>
  <c r="P70" i="2"/>
  <c r="O68" i="2"/>
  <c r="G31" i="2"/>
  <c r="G16" i="2"/>
  <c r="G24" i="2"/>
  <c r="G61" i="2"/>
  <c r="E30" i="2" s="1"/>
  <c r="G56" i="2"/>
  <c r="E25" i="2" s="1"/>
  <c r="G55" i="2"/>
  <c r="E24" i="2" s="1"/>
  <c r="F53" i="2"/>
  <c r="D22" i="2" s="1"/>
  <c r="G47" i="2"/>
  <c r="E16" i="2" s="1"/>
  <c r="F68" i="2"/>
  <c r="D37" i="2" s="1"/>
  <c r="F64" i="2"/>
  <c r="D33" i="2" s="1"/>
  <c r="I70" i="2"/>
  <c r="M70" i="2"/>
  <c r="F39" i="2"/>
  <c r="G33" i="2"/>
  <c r="G23" i="2"/>
  <c r="G68" i="2"/>
  <c r="E37" i="2" s="1"/>
  <c r="G58" i="2"/>
  <c r="E27" i="2" s="1"/>
  <c r="G63" i="2"/>
  <c r="E32" i="2" s="1"/>
  <c r="O70" i="2"/>
  <c r="G34" i="2"/>
  <c r="G18" i="2"/>
  <c r="I68" i="2"/>
  <c r="F21" i="2"/>
  <c r="G40" i="2"/>
  <c r="G27" i="2"/>
  <c r="F65" i="2"/>
  <c r="D34" i="2" s="1"/>
  <c r="F49" i="2"/>
  <c r="D18" i="2" s="1"/>
  <c r="G66" i="2"/>
  <c r="E35" i="2" s="1"/>
  <c r="F50" i="2"/>
  <c r="D19" i="2" s="1"/>
  <c r="F69" i="2"/>
  <c r="D38" i="2" s="1"/>
  <c r="F54" i="2"/>
  <c r="D23" i="2" s="1"/>
  <c r="G45" i="2"/>
  <c r="E14" i="2" s="1"/>
  <c r="F55" i="2"/>
  <c r="D24" i="2" s="1"/>
  <c r="G62" i="2"/>
  <c r="E31" i="2" s="1"/>
  <c r="G67" i="2"/>
  <c r="E36" i="2" s="1"/>
  <c r="F51" i="2"/>
  <c r="D20" i="2" s="1"/>
  <c r="F63" i="2"/>
  <c r="D32" i="2" s="1"/>
  <c r="G70" i="2"/>
  <c r="E39" i="2" s="1"/>
  <c r="G48" i="2"/>
  <c r="E17" i="2" s="1"/>
  <c r="N70" i="2"/>
  <c r="G54" i="2"/>
  <c r="E23" i="2" s="1"/>
  <c r="F47" i="2"/>
  <c r="D16" i="2" s="1"/>
  <c r="G37" i="2"/>
  <c r="G32" i="2"/>
  <c r="G38" i="2"/>
  <c r="G14" i="2"/>
  <c r="G35" i="2"/>
  <c r="G65" i="2"/>
  <c r="E34" i="2" s="1"/>
  <c r="F66" i="2"/>
  <c r="D35" i="2" s="1"/>
  <c r="G69" i="2"/>
  <c r="E38" i="2" s="1"/>
  <c r="F45" i="2"/>
  <c r="D14" i="2" s="1"/>
  <c r="G71" i="2"/>
  <c r="E40" i="2" s="1"/>
  <c r="F52" i="2"/>
  <c r="D21" i="2" s="1"/>
  <c r="G64" i="2"/>
  <c r="E33" i="2" s="1"/>
  <c r="F70" i="2"/>
  <c r="D39" i="2" s="1"/>
  <c r="B76" i="1"/>
  <c r="B60" i="1"/>
  <c r="F123" i="3"/>
  <c r="H123" i="3" s="1"/>
  <c r="M99" i="3"/>
  <c r="N99" i="3" s="1"/>
  <c r="O99" i="3" s="1"/>
  <c r="P99" i="3" s="1"/>
  <c r="M110" i="3"/>
  <c r="T110" i="3" s="1"/>
  <c r="U110" i="3" s="1"/>
  <c r="V110" i="3" s="1"/>
  <c r="AB110" i="3" s="1"/>
  <c r="M204" i="3"/>
  <c r="T204" i="3" s="1"/>
  <c r="U204" i="3" s="1"/>
  <c r="V204" i="3" s="1"/>
  <c r="AB204" i="3" s="1"/>
  <c r="M132" i="3"/>
  <c r="T132" i="3" s="1"/>
  <c r="U132" i="3" s="1"/>
  <c r="V132" i="3" s="1"/>
  <c r="AB132" i="3" s="1"/>
  <c r="M171" i="3"/>
  <c r="N171" i="3" s="1"/>
  <c r="O171" i="3" s="1"/>
  <c r="P171" i="3" s="1"/>
  <c r="M238" i="3"/>
  <c r="T238" i="3" s="1"/>
  <c r="U238" i="3" s="1"/>
  <c r="V238" i="3" s="1"/>
  <c r="AB238" i="3" s="1"/>
  <c r="M120" i="3"/>
  <c r="T120" i="3" s="1"/>
  <c r="U120" i="3" s="1"/>
  <c r="V120" i="3" s="1"/>
  <c r="AB120" i="3" s="1"/>
  <c r="M141" i="3"/>
  <c r="T141" i="3" s="1"/>
  <c r="U141" i="3" s="1"/>
  <c r="V141" i="3" s="1"/>
  <c r="AB141" i="3" s="1"/>
  <c r="M214" i="3"/>
  <c r="N214" i="3" s="1"/>
  <c r="O214" i="3" s="1"/>
  <c r="P214" i="3" s="1"/>
  <c r="M126" i="3"/>
  <c r="T126" i="3" s="1"/>
  <c r="U126" i="3" s="1"/>
  <c r="V126" i="3" s="1"/>
  <c r="AB126" i="3" s="1"/>
  <c r="M184" i="3"/>
  <c r="T184" i="3" s="1"/>
  <c r="U184" i="3" s="1"/>
  <c r="V184" i="3" s="1"/>
  <c r="AB184" i="3" s="1"/>
  <c r="AD184" i="3" s="1"/>
  <c r="M245" i="3"/>
  <c r="T245" i="3" s="1"/>
  <c r="U245" i="3" s="1"/>
  <c r="V245" i="3" s="1"/>
  <c r="AB245" i="3" s="1"/>
  <c r="AD245" i="3" s="1"/>
  <c r="M117" i="3"/>
  <c r="N117" i="3" s="1"/>
  <c r="O117" i="3" s="1"/>
  <c r="P117" i="3" s="1"/>
  <c r="M73" i="3"/>
  <c r="T73" i="3" s="1"/>
  <c r="U73" i="3" s="1"/>
  <c r="V73" i="3" s="1"/>
  <c r="AB73" i="3" s="1"/>
  <c r="M89" i="3"/>
  <c r="N89" i="3" s="1"/>
  <c r="O89" i="3" s="1"/>
  <c r="P89" i="3" s="1"/>
  <c r="M98" i="3"/>
  <c r="T98" i="3" s="1"/>
  <c r="U98" i="3" s="1"/>
  <c r="V98" i="3" s="1"/>
  <c r="AB98" i="3" s="1"/>
  <c r="AC98" i="3" s="1"/>
  <c r="M74" i="3"/>
  <c r="N74" i="3" s="1"/>
  <c r="O74" i="3" s="1"/>
  <c r="P74" i="3" s="1"/>
  <c r="M144" i="3"/>
  <c r="N144" i="3" s="1"/>
  <c r="O144" i="3" s="1"/>
  <c r="P144" i="3" s="1"/>
  <c r="M125" i="3"/>
  <c r="N125" i="3" s="1"/>
  <c r="O125" i="3" s="1"/>
  <c r="P125" i="3" s="1"/>
  <c r="M157" i="3"/>
  <c r="N157" i="3" s="1"/>
  <c r="O157" i="3" s="1"/>
  <c r="P157" i="3" s="1"/>
  <c r="M182" i="3"/>
  <c r="N182" i="3" s="1"/>
  <c r="O182" i="3" s="1"/>
  <c r="P182" i="3" s="1"/>
  <c r="M191" i="3"/>
  <c r="N191" i="3" s="1"/>
  <c r="O191" i="3" s="1"/>
  <c r="P191" i="3" s="1"/>
  <c r="M200" i="3"/>
  <c r="N200" i="3" s="1"/>
  <c r="O200" i="3" s="1"/>
  <c r="P200" i="3" s="1"/>
  <c r="M225" i="3"/>
  <c r="T225" i="3" s="1"/>
  <c r="U225" i="3" s="1"/>
  <c r="V225" i="3" s="1"/>
  <c r="AB225" i="3" s="1"/>
  <c r="AC225" i="3" s="1"/>
  <c r="M232" i="3"/>
  <c r="N232" i="3" s="1"/>
  <c r="O232" i="3" s="1"/>
  <c r="P232" i="3" s="1"/>
  <c r="M255" i="3"/>
  <c r="N255" i="3" s="1"/>
  <c r="O255" i="3" s="1"/>
  <c r="P255" i="3" s="1"/>
  <c r="M69" i="3"/>
  <c r="N69" i="3" s="1"/>
  <c r="O69" i="3" s="1"/>
  <c r="P69" i="3" s="1"/>
  <c r="M90" i="3"/>
  <c r="T90" i="3" s="1"/>
  <c r="U90" i="3" s="1"/>
  <c r="V90" i="3" s="1"/>
  <c r="AB90" i="3" s="1"/>
  <c r="AC90" i="3" s="1"/>
  <c r="M66" i="3"/>
  <c r="T66" i="3" s="1"/>
  <c r="M136" i="3"/>
  <c r="N136" i="3" s="1"/>
  <c r="O136" i="3" s="1"/>
  <c r="P136" i="3" s="1"/>
  <c r="M149" i="3"/>
  <c r="T149" i="3" s="1"/>
  <c r="U149" i="3" s="1"/>
  <c r="V149" i="3" s="1"/>
  <c r="AB149" i="3" s="1"/>
  <c r="AD149" i="3" s="1"/>
  <c r="M174" i="3"/>
  <c r="T174" i="3" s="1"/>
  <c r="U174" i="3" s="1"/>
  <c r="V174" i="3" s="1"/>
  <c r="AB174" i="3" s="1"/>
  <c r="M203" i="3"/>
  <c r="T203" i="3" s="1"/>
  <c r="U203" i="3" s="1"/>
  <c r="V203" i="3" s="1"/>
  <c r="AB203" i="3" s="1"/>
  <c r="M192" i="3"/>
  <c r="T192" i="3" s="1"/>
  <c r="U192" i="3" s="1"/>
  <c r="V192" i="3" s="1"/>
  <c r="AB192" i="3" s="1"/>
  <c r="M233" i="3"/>
  <c r="T233" i="3" s="1"/>
  <c r="U233" i="3" s="1"/>
  <c r="V233" i="3" s="1"/>
  <c r="AB233" i="3" s="1"/>
  <c r="M224" i="3"/>
  <c r="T224" i="3" s="1"/>
  <c r="U224" i="3" s="1"/>
  <c r="V224" i="3" s="1"/>
  <c r="AB224" i="3" s="1"/>
  <c r="AC224" i="3" s="1"/>
  <c r="M256" i="3"/>
  <c r="T256" i="3" s="1"/>
  <c r="U256" i="3" s="1"/>
  <c r="V256" i="3" s="1"/>
  <c r="AB256" i="3" s="1"/>
  <c r="M83" i="3"/>
  <c r="T83" i="3" s="1"/>
  <c r="U83" i="3" s="1"/>
  <c r="V83" i="3" s="1"/>
  <c r="AB83" i="3" s="1"/>
  <c r="M105" i="3"/>
  <c r="N105" i="3" s="1"/>
  <c r="O105" i="3" s="1"/>
  <c r="P105" i="3" s="1"/>
  <c r="M106" i="3"/>
  <c r="N106" i="3" s="1"/>
  <c r="O106" i="3" s="1"/>
  <c r="P106" i="3" s="1"/>
  <c r="M109" i="3"/>
  <c r="N109" i="3" s="1"/>
  <c r="O109" i="3" s="1"/>
  <c r="P109" i="3" s="1"/>
  <c r="M152" i="3"/>
  <c r="N152" i="3" s="1"/>
  <c r="O152" i="3" s="1"/>
  <c r="P152" i="3" s="1"/>
  <c r="M133" i="3"/>
  <c r="N133" i="3" s="1"/>
  <c r="O133" i="3" s="1"/>
  <c r="P133" i="3" s="1"/>
  <c r="M165" i="3"/>
  <c r="N165" i="3" s="1"/>
  <c r="O165" i="3" s="1"/>
  <c r="P165" i="3" s="1"/>
  <c r="M162" i="3"/>
  <c r="T162" i="3" s="1"/>
  <c r="U162" i="3" s="1"/>
  <c r="V162" i="3" s="1"/>
  <c r="AB162" i="3" s="1"/>
  <c r="M197" i="3"/>
  <c r="T197" i="3" s="1"/>
  <c r="U197" i="3" s="1"/>
  <c r="V197" i="3" s="1"/>
  <c r="AB197" i="3" s="1"/>
  <c r="M231" i="3"/>
  <c r="T231" i="3" s="1"/>
  <c r="U231" i="3" s="1"/>
  <c r="V231" i="3" s="1"/>
  <c r="AB231" i="3" s="1"/>
  <c r="AD231" i="3" s="1"/>
  <c r="M242" i="3"/>
  <c r="T242" i="3" s="1"/>
  <c r="U242" i="3" s="1"/>
  <c r="V242" i="3" s="1"/>
  <c r="AB242" i="3" s="1"/>
  <c r="M237" i="3"/>
  <c r="T237" i="3" s="1"/>
  <c r="U237" i="3" s="1"/>
  <c r="V237" i="3" s="1"/>
  <c r="AB237" i="3" s="1"/>
  <c r="M260" i="3"/>
  <c r="T260" i="3" s="1"/>
  <c r="U260" i="3" s="1"/>
  <c r="V260" i="3" s="1"/>
  <c r="AB260" i="3" s="1"/>
  <c r="M77" i="3"/>
  <c r="N77" i="3" s="1"/>
  <c r="O77" i="3" s="1"/>
  <c r="P77" i="3" s="1"/>
  <c r="M103" i="3"/>
  <c r="N103" i="3" s="1"/>
  <c r="O103" i="3" s="1"/>
  <c r="P103" i="3" s="1"/>
  <c r="M93" i="3"/>
  <c r="T93" i="3" s="1"/>
  <c r="U93" i="3" s="1"/>
  <c r="V93" i="3" s="1"/>
  <c r="AB93" i="3" s="1"/>
  <c r="AD93" i="3" s="1"/>
  <c r="M84" i="3"/>
  <c r="T84" i="3" s="1"/>
  <c r="U84" i="3" s="1"/>
  <c r="V84" i="3" s="1"/>
  <c r="AB84" i="3" s="1"/>
  <c r="M100" i="3"/>
  <c r="N100" i="3" s="1"/>
  <c r="O100" i="3" s="1"/>
  <c r="P100" i="3" s="1"/>
  <c r="X100" i="3" s="1"/>
  <c r="M122" i="3"/>
  <c r="N122" i="3" s="1"/>
  <c r="O122" i="3" s="1"/>
  <c r="P122" i="3" s="1"/>
  <c r="M76" i="3"/>
  <c r="T76" i="3" s="1"/>
  <c r="U76" i="3" s="1"/>
  <c r="V76" i="3" s="1"/>
  <c r="AB76" i="3" s="1"/>
  <c r="M134" i="3"/>
  <c r="T134" i="3" s="1"/>
  <c r="U134" i="3" s="1"/>
  <c r="V134" i="3" s="1"/>
  <c r="AB134" i="3" s="1"/>
  <c r="AC134" i="3" s="1"/>
  <c r="M146" i="3"/>
  <c r="N146" i="3" s="1"/>
  <c r="O146" i="3" s="1"/>
  <c r="P146" i="3" s="1"/>
  <c r="M112" i="3"/>
  <c r="N112" i="3" s="1"/>
  <c r="O112" i="3" s="1"/>
  <c r="P112" i="3" s="1"/>
  <c r="M127" i="3"/>
  <c r="T127" i="3" s="1"/>
  <c r="U127" i="3" s="1"/>
  <c r="V127" i="3" s="1"/>
  <c r="AB127" i="3" s="1"/>
  <c r="AC127" i="3" s="1"/>
  <c r="M143" i="3"/>
  <c r="T143" i="3" s="1"/>
  <c r="U143" i="3" s="1"/>
  <c r="V143" i="3" s="1"/>
  <c r="AB143" i="3" s="1"/>
  <c r="M159" i="3"/>
  <c r="T159" i="3" s="1"/>
  <c r="U159" i="3" s="1"/>
  <c r="V159" i="3" s="1"/>
  <c r="AB159" i="3" s="1"/>
  <c r="M179" i="3"/>
  <c r="T179" i="3" s="1"/>
  <c r="U179" i="3" s="1"/>
  <c r="V179" i="3" s="1"/>
  <c r="AB179" i="3" s="1"/>
  <c r="AD179" i="3" s="1"/>
  <c r="M156" i="3"/>
  <c r="N156" i="3" s="1"/>
  <c r="O156" i="3" s="1"/>
  <c r="P156" i="3" s="1"/>
  <c r="M186" i="3"/>
  <c r="N186" i="3" s="1"/>
  <c r="O186" i="3" s="1"/>
  <c r="P186" i="3" s="1"/>
  <c r="M193" i="3"/>
  <c r="T193" i="3" s="1"/>
  <c r="U193" i="3" s="1"/>
  <c r="V193" i="3" s="1"/>
  <c r="AB193" i="3" s="1"/>
  <c r="M209" i="3"/>
  <c r="N209" i="3" s="1"/>
  <c r="O209" i="3" s="1"/>
  <c r="P209" i="3" s="1"/>
  <c r="M206" i="3"/>
  <c r="N206" i="3" s="1"/>
  <c r="O206" i="3" s="1"/>
  <c r="P206" i="3" s="1"/>
  <c r="M216" i="3"/>
  <c r="T216" i="3" s="1"/>
  <c r="U216" i="3" s="1"/>
  <c r="V216" i="3" s="1"/>
  <c r="M219" i="3"/>
  <c r="N219" i="3" s="1"/>
  <c r="O219" i="3" s="1"/>
  <c r="P219" i="3" s="1"/>
  <c r="M244" i="3"/>
  <c r="T244" i="3" s="1"/>
  <c r="U244" i="3" s="1"/>
  <c r="V244" i="3" s="1"/>
  <c r="AB244" i="3" s="1"/>
  <c r="M240" i="3"/>
  <c r="N240" i="3" s="1"/>
  <c r="O240" i="3" s="1"/>
  <c r="P240" i="3" s="1"/>
  <c r="M226" i="3"/>
  <c r="N226" i="3" s="1"/>
  <c r="O226" i="3" s="1"/>
  <c r="P226" i="3" s="1"/>
  <c r="M239" i="3"/>
  <c r="N239" i="3" s="1"/>
  <c r="O239" i="3" s="1"/>
  <c r="P239" i="3" s="1"/>
  <c r="M250" i="3"/>
  <c r="N250" i="3" s="1"/>
  <c r="O250" i="3" s="1"/>
  <c r="P250" i="3" s="1"/>
  <c r="X250" i="3" s="1"/>
  <c r="M249" i="3"/>
  <c r="T249" i="3" s="1"/>
  <c r="U249" i="3" s="1"/>
  <c r="V249" i="3" s="1"/>
  <c r="AB249" i="3" s="1"/>
  <c r="AC249" i="3" s="1"/>
  <c r="M257" i="3"/>
  <c r="N257" i="3" s="1"/>
  <c r="O257" i="3" s="1"/>
  <c r="P257" i="3" s="1"/>
  <c r="M262" i="3"/>
  <c r="N262" i="3" s="1"/>
  <c r="O262" i="3" s="1"/>
  <c r="P262" i="3" s="1"/>
  <c r="M79" i="3"/>
  <c r="T79" i="3" s="1"/>
  <c r="U79" i="3" s="1"/>
  <c r="V79" i="3" s="1"/>
  <c r="AB79" i="3" s="1"/>
  <c r="AD79" i="3" s="1"/>
  <c r="M91" i="3"/>
  <c r="T91" i="3" s="1"/>
  <c r="U91" i="3" s="1"/>
  <c r="V91" i="3" s="1"/>
  <c r="AB91" i="3" s="1"/>
  <c r="M107" i="3"/>
  <c r="T107" i="3" s="1"/>
  <c r="U107" i="3" s="1"/>
  <c r="V107" i="3" s="1"/>
  <c r="AB107" i="3" s="1"/>
  <c r="M75" i="3"/>
  <c r="N75" i="3" s="1"/>
  <c r="O75" i="3" s="1"/>
  <c r="P75" i="3" s="1"/>
  <c r="M97" i="3"/>
  <c r="T97" i="3" s="1"/>
  <c r="U97" i="3" s="1"/>
  <c r="V97" i="3" s="1"/>
  <c r="AB97" i="3" s="1"/>
  <c r="M130" i="3"/>
  <c r="N130" i="3" s="1"/>
  <c r="O130" i="3" s="1"/>
  <c r="P130" i="3" s="1"/>
  <c r="M86" i="3"/>
  <c r="N86" i="3" s="1"/>
  <c r="O86" i="3" s="1"/>
  <c r="P86" i="3" s="1"/>
  <c r="M94" i="3"/>
  <c r="T94" i="3" s="1"/>
  <c r="U94" i="3" s="1"/>
  <c r="V94" i="3" s="1"/>
  <c r="AB94" i="3" s="1"/>
  <c r="M102" i="3"/>
  <c r="N102" i="3" s="1"/>
  <c r="O102" i="3" s="1"/>
  <c r="P102" i="3" s="1"/>
  <c r="M118" i="3"/>
  <c r="T118" i="3" s="1"/>
  <c r="U118" i="3" s="1"/>
  <c r="V118" i="3" s="1"/>
  <c r="AB118" i="3" s="1"/>
  <c r="M128" i="3"/>
  <c r="T128" i="3" s="1"/>
  <c r="U128" i="3" s="1"/>
  <c r="V128" i="3" s="1"/>
  <c r="AB128" i="3" s="1"/>
  <c r="M70" i="3"/>
  <c r="N70" i="3" s="1"/>
  <c r="O70" i="3" s="1"/>
  <c r="P70" i="3" s="1"/>
  <c r="M78" i="3"/>
  <c r="N78" i="3" s="1"/>
  <c r="O78" i="3" s="1"/>
  <c r="P78" i="3" s="1"/>
  <c r="M113" i="3"/>
  <c r="T113" i="3" s="1"/>
  <c r="U113" i="3" s="1"/>
  <c r="V113" i="3" s="1"/>
  <c r="AB113" i="3" s="1"/>
  <c r="M173" i="3"/>
  <c r="T173" i="3" s="1"/>
  <c r="U173" i="3" s="1"/>
  <c r="V173" i="3" s="1"/>
  <c r="AB173" i="3" s="1"/>
  <c r="AD173" i="3" s="1"/>
  <c r="M140" i="3"/>
  <c r="T140" i="3" s="1"/>
  <c r="U140" i="3" s="1"/>
  <c r="V140" i="3" s="1"/>
  <c r="AB140" i="3" s="1"/>
  <c r="M148" i="3"/>
  <c r="N148" i="3" s="1"/>
  <c r="O148" i="3" s="1"/>
  <c r="P148" i="3" s="1"/>
  <c r="M175" i="3"/>
  <c r="N175" i="3" s="1"/>
  <c r="O175" i="3" s="1"/>
  <c r="P175" i="3" s="1"/>
  <c r="M114" i="3"/>
  <c r="N114" i="3" s="1"/>
  <c r="O114" i="3" s="1"/>
  <c r="P114" i="3" s="1"/>
  <c r="M121" i="3"/>
  <c r="T121" i="3" s="1"/>
  <c r="U121" i="3" s="1"/>
  <c r="V121" i="3" s="1"/>
  <c r="AB121" i="3" s="1"/>
  <c r="M129" i="3"/>
  <c r="N129" i="3" s="1"/>
  <c r="O129" i="3" s="1"/>
  <c r="P129" i="3" s="1"/>
  <c r="M137" i="3"/>
  <c r="T137" i="3" s="1"/>
  <c r="U137" i="3" s="1"/>
  <c r="V137" i="3" s="1"/>
  <c r="AB137" i="3" s="1"/>
  <c r="M145" i="3"/>
  <c r="N145" i="3" s="1"/>
  <c r="O145" i="3" s="1"/>
  <c r="P145" i="3" s="1"/>
  <c r="M153" i="3"/>
  <c r="T153" i="3" s="1"/>
  <c r="U153" i="3" s="1"/>
  <c r="V153" i="3" s="1"/>
  <c r="AB153" i="3" s="1"/>
  <c r="AD153" i="3" s="1"/>
  <c r="M161" i="3"/>
  <c r="T161" i="3" s="1"/>
  <c r="U161" i="3" s="1"/>
  <c r="V161" i="3" s="1"/>
  <c r="AB161" i="3" s="1"/>
  <c r="M169" i="3"/>
  <c r="N169" i="3" s="1"/>
  <c r="O169" i="3" s="1"/>
  <c r="P169" i="3" s="1"/>
  <c r="M170" i="3"/>
  <c r="T170" i="3" s="1"/>
  <c r="U170" i="3" s="1"/>
  <c r="V170" i="3" s="1"/>
  <c r="AB170" i="3" s="1"/>
  <c r="M178" i="3"/>
  <c r="T178" i="3" s="1"/>
  <c r="U178" i="3" s="1"/>
  <c r="V178" i="3" s="1"/>
  <c r="AB178" i="3" s="1"/>
  <c r="M158" i="3"/>
  <c r="N158" i="3" s="1"/>
  <c r="O158" i="3" s="1"/>
  <c r="P158" i="3" s="1"/>
  <c r="M166" i="3"/>
  <c r="T166" i="3" s="1"/>
  <c r="U166" i="3" s="1"/>
  <c r="V166" i="3" s="1"/>
  <c r="AB166" i="3" s="1"/>
  <c r="M205" i="3"/>
  <c r="T205" i="3" s="1"/>
  <c r="U205" i="3" s="1"/>
  <c r="V205" i="3" s="1"/>
  <c r="AB205" i="3" s="1"/>
  <c r="M187" i="3"/>
  <c r="N187" i="3" s="1"/>
  <c r="O187" i="3" s="1"/>
  <c r="P187" i="3" s="1"/>
  <c r="M207" i="3"/>
  <c r="T207" i="3" s="1"/>
  <c r="U207" i="3" s="1"/>
  <c r="V207" i="3" s="1"/>
  <c r="AB207" i="3" s="1"/>
  <c r="M201" i="3"/>
  <c r="N201" i="3" s="1"/>
  <c r="O201" i="3" s="1"/>
  <c r="P201" i="3" s="1"/>
  <c r="M188" i="3"/>
  <c r="N188" i="3" s="1"/>
  <c r="O188" i="3" s="1"/>
  <c r="P188" i="3" s="1"/>
  <c r="M196" i="3"/>
  <c r="N196" i="3" s="1"/>
  <c r="O196" i="3" s="1"/>
  <c r="P196" i="3" s="1"/>
  <c r="M211" i="3"/>
  <c r="T211" i="3" s="1"/>
  <c r="U211" i="3" s="1"/>
  <c r="V211" i="3" s="1"/>
  <c r="AB211" i="3" s="1"/>
  <c r="M210" i="3"/>
  <c r="T210" i="3" s="1"/>
  <c r="U210" i="3" s="1"/>
  <c r="V210" i="3" s="1"/>
  <c r="AB210" i="3" s="1"/>
  <c r="M218" i="3"/>
  <c r="T218" i="3" s="1"/>
  <c r="U218" i="3" s="1"/>
  <c r="V218" i="3" s="1"/>
  <c r="M221" i="3"/>
  <c r="T221" i="3" s="1"/>
  <c r="U221" i="3" s="1"/>
  <c r="V221" i="3" s="1"/>
  <c r="AB221" i="3" s="1"/>
  <c r="AC221" i="3" s="1"/>
  <c r="M215" i="3"/>
  <c r="N215" i="3" s="1"/>
  <c r="O215" i="3" s="1"/>
  <c r="P215" i="3" s="1"/>
  <c r="M246" i="3"/>
  <c r="N246" i="3" s="1"/>
  <c r="O246" i="3" s="1"/>
  <c r="P246" i="3" s="1"/>
  <c r="M220" i="3"/>
  <c r="T220" i="3" s="1"/>
  <c r="U220" i="3" s="1"/>
  <c r="V220" i="3" s="1"/>
  <c r="AB220" i="3" s="1"/>
  <c r="M228" i="3"/>
  <c r="N228" i="3" s="1"/>
  <c r="O228" i="3" s="1"/>
  <c r="P228" i="3" s="1"/>
  <c r="M247" i="3"/>
  <c r="N247" i="3" s="1"/>
  <c r="O247" i="3" s="1"/>
  <c r="P247" i="3" s="1"/>
  <c r="X247" i="3" s="1"/>
  <c r="M241" i="3"/>
  <c r="N241" i="3" s="1"/>
  <c r="O241" i="3" s="1"/>
  <c r="P241" i="3" s="1"/>
  <c r="M252" i="3"/>
  <c r="T252" i="3" s="1"/>
  <c r="U252" i="3" s="1"/>
  <c r="V252" i="3" s="1"/>
  <c r="AB252" i="3" s="1"/>
  <c r="M251" i="3"/>
  <c r="T251" i="3" s="1"/>
  <c r="U251" i="3" s="1"/>
  <c r="V251" i="3" s="1"/>
  <c r="AB251" i="3" s="1"/>
  <c r="M259" i="3"/>
  <c r="N259" i="3" s="1"/>
  <c r="O259" i="3" s="1"/>
  <c r="P259" i="3" s="1"/>
  <c r="M264" i="3"/>
  <c r="N264" i="3" s="1"/>
  <c r="O264" i="3" s="1"/>
  <c r="P264" i="3" s="1"/>
  <c r="M87" i="3"/>
  <c r="N87" i="3" s="1"/>
  <c r="O87" i="3" s="1"/>
  <c r="P87" i="3" s="1"/>
  <c r="M71" i="3"/>
  <c r="N71" i="3" s="1"/>
  <c r="O71" i="3" s="1"/>
  <c r="P71" i="3" s="1"/>
  <c r="M65" i="3"/>
  <c r="N65" i="3" s="1"/>
  <c r="O65" i="3" s="1"/>
  <c r="P65" i="3" s="1"/>
  <c r="M92" i="3"/>
  <c r="N92" i="3" s="1"/>
  <c r="O92" i="3" s="1"/>
  <c r="P92" i="3" s="1"/>
  <c r="X92" i="3" s="1"/>
  <c r="Y92" i="3" s="1"/>
  <c r="M108" i="3"/>
  <c r="T108" i="3" s="1"/>
  <c r="U108" i="3" s="1"/>
  <c r="V108" i="3" s="1"/>
  <c r="AB108" i="3" s="1"/>
  <c r="M68" i="3"/>
  <c r="N68" i="3" s="1"/>
  <c r="O68" i="3" s="1"/>
  <c r="P68" i="3" s="1"/>
  <c r="M111" i="3"/>
  <c r="T111" i="3" s="1"/>
  <c r="U111" i="3" s="1"/>
  <c r="V111" i="3" s="1"/>
  <c r="AB111" i="3" s="1"/>
  <c r="M138" i="3"/>
  <c r="T138" i="3" s="1"/>
  <c r="U138" i="3" s="1"/>
  <c r="V138" i="3" s="1"/>
  <c r="AB138" i="3" s="1"/>
  <c r="AC138" i="3" s="1"/>
  <c r="M154" i="3"/>
  <c r="T154" i="3" s="1"/>
  <c r="U154" i="3" s="1"/>
  <c r="V154" i="3" s="1"/>
  <c r="AB154" i="3" s="1"/>
  <c r="M119" i="3"/>
  <c r="N119" i="3" s="1"/>
  <c r="O119" i="3" s="1"/>
  <c r="P119" i="3" s="1"/>
  <c r="M135" i="3"/>
  <c r="N135" i="3" s="1"/>
  <c r="O135" i="3" s="1"/>
  <c r="P135" i="3" s="1"/>
  <c r="X135" i="3" s="1"/>
  <c r="M151" i="3"/>
  <c r="T151" i="3" s="1"/>
  <c r="U151" i="3" s="1"/>
  <c r="V151" i="3" s="1"/>
  <c r="AB151" i="3" s="1"/>
  <c r="M167" i="3"/>
  <c r="T167" i="3" s="1"/>
  <c r="U167" i="3" s="1"/>
  <c r="V167" i="3" s="1"/>
  <c r="AB167" i="3" s="1"/>
  <c r="M176" i="3"/>
  <c r="T176" i="3" s="1"/>
  <c r="U176" i="3" s="1"/>
  <c r="V176" i="3" s="1"/>
  <c r="AB176" i="3" s="1"/>
  <c r="M164" i="3"/>
  <c r="N164" i="3" s="1"/>
  <c r="O164" i="3" s="1"/>
  <c r="P164" i="3" s="1"/>
  <c r="M185" i="3"/>
  <c r="N185" i="3" s="1"/>
  <c r="O185" i="3" s="1"/>
  <c r="P185" i="3" s="1"/>
  <c r="M199" i="3"/>
  <c r="N199" i="3" s="1"/>
  <c r="O199" i="3" s="1"/>
  <c r="P199" i="3" s="1"/>
  <c r="M194" i="3"/>
  <c r="T194" i="3" s="1"/>
  <c r="U194" i="3" s="1"/>
  <c r="V194" i="3" s="1"/>
  <c r="AB194" i="3" s="1"/>
  <c r="M235" i="3"/>
  <c r="N235" i="3" s="1"/>
  <c r="O235" i="3" s="1"/>
  <c r="P235" i="3" s="1"/>
  <c r="M227" i="3"/>
  <c r="T227" i="3" s="1"/>
  <c r="U227" i="3" s="1"/>
  <c r="V227" i="3" s="1"/>
  <c r="AB227" i="3" s="1"/>
  <c r="M234" i="3"/>
  <c r="T234" i="3" s="1"/>
  <c r="U234" i="3" s="1"/>
  <c r="V234" i="3" s="1"/>
  <c r="AB234" i="3" s="1"/>
  <c r="AC234" i="3" s="1"/>
  <c r="M81" i="3"/>
  <c r="T81" i="3" s="1"/>
  <c r="U81" i="3" s="1"/>
  <c r="V81" i="3" s="1"/>
  <c r="AB81" i="3" s="1"/>
  <c r="M95" i="3"/>
  <c r="N95" i="3" s="1"/>
  <c r="O95" i="3" s="1"/>
  <c r="P95" i="3" s="1"/>
  <c r="X95" i="3" s="1"/>
  <c r="M67" i="3"/>
  <c r="T67" i="3" s="1"/>
  <c r="M85" i="3"/>
  <c r="N85" i="3" s="1"/>
  <c r="O85" i="3" s="1"/>
  <c r="P85" i="3" s="1"/>
  <c r="M101" i="3"/>
  <c r="N101" i="3" s="1"/>
  <c r="O101" i="3" s="1"/>
  <c r="P101" i="3" s="1"/>
  <c r="M82" i="3"/>
  <c r="N82" i="3" s="1"/>
  <c r="O82" i="3" s="1"/>
  <c r="P82" i="3" s="1"/>
  <c r="M88" i="3"/>
  <c r="T88" i="3" s="1"/>
  <c r="U88" i="3" s="1"/>
  <c r="V88" i="3" s="1"/>
  <c r="AB88" i="3" s="1"/>
  <c r="AC88" i="3" s="1"/>
  <c r="M96" i="3"/>
  <c r="M104" i="3"/>
  <c r="N104" i="3" s="1"/>
  <c r="O104" i="3" s="1"/>
  <c r="P104" i="3" s="1"/>
  <c r="M124" i="3"/>
  <c r="T124" i="3" s="1"/>
  <c r="U124" i="3" s="1"/>
  <c r="V124" i="3" s="1"/>
  <c r="AB124" i="3" s="1"/>
  <c r="M64" i="3"/>
  <c r="T64" i="3" s="1"/>
  <c r="U64" i="3" s="1"/>
  <c r="V64" i="3" s="1"/>
  <c r="M72" i="3"/>
  <c r="N72" i="3" s="1"/>
  <c r="O72" i="3" s="1"/>
  <c r="P72" i="3" s="1"/>
  <c r="M80" i="3"/>
  <c r="N80" i="3" s="1"/>
  <c r="O80" i="3" s="1"/>
  <c r="P80" i="3" s="1"/>
  <c r="M116" i="3"/>
  <c r="T116" i="3" s="1"/>
  <c r="U116" i="3" s="1"/>
  <c r="V116" i="3" s="1"/>
  <c r="AB116" i="3" s="1"/>
  <c r="M183" i="3"/>
  <c r="N183" i="3" s="1"/>
  <c r="O183" i="3" s="1"/>
  <c r="P183" i="3" s="1"/>
  <c r="M142" i="3"/>
  <c r="N142" i="3" s="1"/>
  <c r="O142" i="3" s="1"/>
  <c r="P142" i="3" s="1"/>
  <c r="M150" i="3"/>
  <c r="N150" i="3" s="1"/>
  <c r="O150" i="3" s="1"/>
  <c r="P150" i="3" s="1"/>
  <c r="M181" i="3"/>
  <c r="N181" i="3" s="1"/>
  <c r="O181" i="3" s="1"/>
  <c r="P181" i="3" s="1"/>
  <c r="M115" i="3"/>
  <c r="T115" i="3" s="1"/>
  <c r="U115" i="3" s="1"/>
  <c r="V115" i="3" s="1"/>
  <c r="M123" i="3"/>
  <c r="T123" i="3" s="1"/>
  <c r="U123" i="3" s="1"/>
  <c r="V123" i="3" s="1"/>
  <c r="AB123" i="3" s="1"/>
  <c r="AD123" i="3" s="1"/>
  <c r="M131" i="3"/>
  <c r="T131" i="3" s="1"/>
  <c r="U131" i="3" s="1"/>
  <c r="V131" i="3" s="1"/>
  <c r="AB131" i="3" s="1"/>
  <c r="AD131" i="3" s="1"/>
  <c r="M139" i="3"/>
  <c r="N139" i="3" s="1"/>
  <c r="O139" i="3" s="1"/>
  <c r="P139" i="3" s="1"/>
  <c r="M147" i="3"/>
  <c r="T147" i="3" s="1"/>
  <c r="U147" i="3" s="1"/>
  <c r="V147" i="3" s="1"/>
  <c r="AB147" i="3" s="1"/>
  <c r="M155" i="3"/>
  <c r="T155" i="3" s="1"/>
  <c r="U155" i="3" s="1"/>
  <c r="V155" i="3" s="1"/>
  <c r="AB155" i="3" s="1"/>
  <c r="AD155" i="3" s="1"/>
  <c r="M163" i="3"/>
  <c r="T163" i="3" s="1"/>
  <c r="U163" i="3" s="1"/>
  <c r="V163" i="3" s="1"/>
  <c r="AB163" i="3" s="1"/>
  <c r="M177" i="3"/>
  <c r="T177" i="3" s="1"/>
  <c r="U177" i="3" s="1"/>
  <c r="V177" i="3" s="1"/>
  <c r="AB177" i="3" s="1"/>
  <c r="M172" i="3"/>
  <c r="T172" i="3" s="1"/>
  <c r="U172" i="3" s="1"/>
  <c r="V172" i="3" s="1"/>
  <c r="AB172" i="3" s="1"/>
  <c r="AD172" i="3" s="1"/>
  <c r="M180" i="3"/>
  <c r="T180" i="3" s="1"/>
  <c r="U180" i="3" s="1"/>
  <c r="V180" i="3" s="1"/>
  <c r="AB180" i="3" s="1"/>
  <c r="AD180" i="3" s="1"/>
  <c r="M160" i="3"/>
  <c r="N160" i="3" s="1"/>
  <c r="O160" i="3" s="1"/>
  <c r="P160" i="3" s="1"/>
  <c r="M168" i="3"/>
  <c r="N168" i="3" s="1"/>
  <c r="O168" i="3" s="1"/>
  <c r="P168" i="3" s="1"/>
  <c r="M208" i="3"/>
  <c r="T208" i="3" s="1"/>
  <c r="U208" i="3" s="1"/>
  <c r="V208" i="3" s="1"/>
  <c r="AB208" i="3" s="1"/>
  <c r="AC208" i="3" s="1"/>
  <c r="M189" i="3"/>
  <c r="T189" i="3" s="1"/>
  <c r="U189" i="3" s="1"/>
  <c r="V189" i="3" s="1"/>
  <c r="AB189" i="3" s="1"/>
  <c r="M195" i="3"/>
  <c r="N195" i="3" s="1"/>
  <c r="O195" i="3" s="1"/>
  <c r="P195" i="3" s="1"/>
  <c r="M202" i="3"/>
  <c r="T202" i="3" s="1"/>
  <c r="U202" i="3" s="1"/>
  <c r="V202" i="3" s="1"/>
  <c r="AB202" i="3" s="1"/>
  <c r="M190" i="3"/>
  <c r="T190" i="3" s="1"/>
  <c r="U190" i="3" s="1"/>
  <c r="V190" i="3" s="1"/>
  <c r="AB190" i="3" s="1"/>
  <c r="AD190" i="3" s="1"/>
  <c r="M198" i="3"/>
  <c r="N198" i="3" s="1"/>
  <c r="O198" i="3" s="1"/>
  <c r="P198" i="3" s="1"/>
  <c r="M213" i="3"/>
  <c r="T213" i="3" s="1"/>
  <c r="U213" i="3" s="1"/>
  <c r="V213" i="3" s="1"/>
  <c r="AB213" i="3" s="1"/>
  <c r="M212" i="3"/>
  <c r="T212" i="3" s="1"/>
  <c r="U212" i="3" s="1"/>
  <c r="V212" i="3" s="1"/>
  <c r="AB212" i="3" s="1"/>
  <c r="M229" i="3"/>
  <c r="N229" i="3" s="1"/>
  <c r="O229" i="3" s="1"/>
  <c r="P229" i="3" s="1"/>
  <c r="M223" i="3"/>
  <c r="T223" i="3" s="1"/>
  <c r="U223" i="3" s="1"/>
  <c r="V223" i="3" s="1"/>
  <c r="AB223" i="3" s="1"/>
  <c r="M217" i="3"/>
  <c r="N217" i="3" s="1"/>
  <c r="O217" i="3" s="1"/>
  <c r="P217" i="3" s="1"/>
  <c r="M236" i="3"/>
  <c r="T236" i="3" s="1"/>
  <c r="U236" i="3" s="1"/>
  <c r="V236" i="3" s="1"/>
  <c r="AB236" i="3" s="1"/>
  <c r="M222" i="3"/>
  <c r="N222" i="3" s="1"/>
  <c r="O222" i="3" s="1"/>
  <c r="P222" i="3" s="1"/>
  <c r="M230" i="3"/>
  <c r="N230" i="3" s="1"/>
  <c r="O230" i="3" s="1"/>
  <c r="P230" i="3" s="1"/>
  <c r="M248" i="3"/>
  <c r="T248" i="3" s="1"/>
  <c r="U248" i="3" s="1"/>
  <c r="V248" i="3" s="1"/>
  <c r="AB248" i="3" s="1"/>
  <c r="AD248" i="3" s="1"/>
  <c r="M243" i="3"/>
  <c r="T243" i="3" s="1"/>
  <c r="U243" i="3" s="1"/>
  <c r="V243" i="3" s="1"/>
  <c r="AB243" i="3" s="1"/>
  <c r="AD243" i="3" s="1"/>
  <c r="M254" i="3"/>
  <c r="T254" i="3" s="1"/>
  <c r="U254" i="3" s="1"/>
  <c r="V254" i="3" s="1"/>
  <c r="AB254" i="3" s="1"/>
  <c r="AD254" i="3" s="1"/>
  <c r="M253" i="3"/>
  <c r="N253" i="3" s="1"/>
  <c r="O253" i="3" s="1"/>
  <c r="P253" i="3" s="1"/>
  <c r="M258" i="3"/>
  <c r="N258" i="3" s="1"/>
  <c r="O258" i="3" s="1"/>
  <c r="P258" i="3" s="1"/>
  <c r="T95" i="3"/>
  <c r="U95" i="3" s="1"/>
  <c r="V95" i="3" s="1"/>
  <c r="AB95" i="3" s="1"/>
  <c r="AD95" i="3" s="1"/>
  <c r="N208" i="3"/>
  <c r="O208" i="3" s="1"/>
  <c r="P208" i="3" s="1"/>
  <c r="AT69" i="3"/>
  <c r="AU69" i="3" s="1"/>
  <c r="F116" i="3"/>
  <c r="H116" i="3" s="1"/>
  <c r="AO210" i="3"/>
  <c r="AP251" i="3"/>
  <c r="AP191" i="3"/>
  <c r="AP118" i="3"/>
  <c r="AP105" i="3"/>
  <c r="T171" i="3"/>
  <c r="U171" i="3" s="1"/>
  <c r="V171" i="3" s="1"/>
  <c r="AB171" i="3" s="1"/>
  <c r="AD171" i="3" s="1"/>
  <c r="K29" i="1"/>
  <c r="AO211" i="3"/>
  <c r="AP157" i="3"/>
  <c r="AP89" i="3"/>
  <c r="AP196" i="3"/>
  <c r="AP224" i="3"/>
  <c r="AP94" i="3"/>
  <c r="AP98" i="3"/>
  <c r="AO204" i="3"/>
  <c r="AO144" i="3"/>
  <c r="AO136" i="3"/>
  <c r="AO111" i="3"/>
  <c r="AO180" i="3"/>
  <c r="AO264" i="3"/>
  <c r="AP181" i="3"/>
  <c r="AO114" i="3"/>
  <c r="AP204" i="3"/>
  <c r="AP77" i="3"/>
  <c r="AO78" i="3"/>
  <c r="AO120" i="3"/>
  <c r="AO99" i="3"/>
  <c r="AP139" i="3"/>
  <c r="AO157" i="3"/>
  <c r="AO93" i="3"/>
  <c r="AO128" i="3"/>
  <c r="AO151" i="3"/>
  <c r="AP264" i="3"/>
  <c r="AO195" i="3"/>
  <c r="AO89" i="3"/>
  <c r="AO119" i="3"/>
  <c r="AO238" i="3"/>
  <c r="AO227" i="3"/>
  <c r="AO219" i="3"/>
  <c r="AO220" i="3"/>
  <c r="AO209" i="3"/>
  <c r="AO200" i="3"/>
  <c r="AO101" i="3"/>
  <c r="AO168" i="3"/>
  <c r="AO72" i="3"/>
  <c r="AO250" i="3"/>
  <c r="AO97" i="3"/>
  <c r="AP134" i="3"/>
  <c r="AP72" i="3"/>
  <c r="AO256" i="3"/>
  <c r="AP209" i="3"/>
  <c r="AP87" i="3"/>
  <c r="AO246" i="3"/>
  <c r="AO184" i="3"/>
  <c r="AO194" i="3"/>
  <c r="AP220" i="3"/>
  <c r="AP173" i="3"/>
  <c r="AP150" i="3"/>
  <c r="AP73" i="3"/>
  <c r="AO254" i="3"/>
  <c r="AO218" i="3"/>
  <c r="AO222" i="3"/>
  <c r="AO167" i="3"/>
  <c r="AO148" i="3"/>
  <c r="AO143" i="3"/>
  <c r="AP168" i="3"/>
  <c r="AP76" i="3"/>
  <c r="AO172" i="3"/>
  <c r="AO137" i="3"/>
  <c r="AO81" i="3"/>
  <c r="AP175" i="3"/>
  <c r="AP117" i="3"/>
  <c r="AO190" i="3"/>
  <c r="AO176" i="3"/>
  <c r="AO134" i="3"/>
  <c r="AP239" i="3"/>
  <c r="AT210" i="3"/>
  <c r="AU210" i="3" s="1"/>
  <c r="AT182" i="3"/>
  <c r="AU182" i="3" s="1"/>
  <c r="AT174" i="3"/>
  <c r="AU174" i="3" s="1"/>
  <c r="AT180" i="3"/>
  <c r="AU180" i="3" s="1"/>
  <c r="AT212" i="3"/>
  <c r="AU212" i="3" s="1"/>
  <c r="AT207" i="3"/>
  <c r="AU207" i="3" s="1"/>
  <c r="AW207" i="3" s="1"/>
  <c r="AT235" i="3"/>
  <c r="AU235" i="3" s="1"/>
  <c r="AP93" i="3"/>
  <c r="AP229" i="3"/>
  <c r="AO182" i="3"/>
  <c r="AO174" i="3"/>
  <c r="AO188" i="3"/>
  <c r="AO71" i="3"/>
  <c r="AO83" i="3"/>
  <c r="AP91" i="3"/>
  <c r="AP66" i="3"/>
  <c r="AO239" i="3"/>
  <c r="AO206" i="3"/>
  <c r="AO177" i="3"/>
  <c r="AO107" i="3"/>
  <c r="AO76" i="3"/>
  <c r="AP244" i="3"/>
  <c r="AP221" i="3"/>
  <c r="AP211" i="3"/>
  <c r="AP208" i="3"/>
  <c r="AP165" i="3"/>
  <c r="AP174" i="3"/>
  <c r="AP142" i="3"/>
  <c r="AO248" i="3"/>
  <c r="AO229" i="3"/>
  <c r="AO186" i="3"/>
  <c r="AO147" i="3"/>
  <c r="AO73" i="3"/>
  <c r="AO103" i="3"/>
  <c r="AO198" i="3"/>
  <c r="AO152" i="3"/>
  <c r="AO77" i="3"/>
  <c r="AO68" i="3"/>
  <c r="AP171" i="3"/>
  <c r="AP113" i="3"/>
  <c r="AO173" i="3"/>
  <c r="AO130" i="3"/>
  <c r="AO158" i="3"/>
  <c r="AO129" i="3"/>
  <c r="AO121" i="3"/>
  <c r="AO88" i="3"/>
  <c r="AO85" i="3"/>
  <c r="AO244" i="3"/>
  <c r="AO163" i="3"/>
  <c r="AO161" i="3"/>
  <c r="AO192" i="3"/>
  <c r="AO118" i="3"/>
  <c r="AO109" i="3"/>
  <c r="AO87" i="3"/>
  <c r="AO66" i="3"/>
  <c r="AO86" i="3"/>
  <c r="AO64" i="3"/>
  <c r="AO263" i="3"/>
  <c r="AO261" i="3"/>
  <c r="AP252" i="3"/>
  <c r="AP158" i="3"/>
  <c r="AO140" i="3"/>
  <c r="AP260" i="3"/>
  <c r="AP241" i="3"/>
  <c r="AP163" i="3"/>
  <c r="AO260" i="3"/>
  <c r="AO252" i="3"/>
  <c r="AO113" i="3"/>
  <c r="AO145" i="3"/>
  <c r="AO225" i="3"/>
  <c r="AP261" i="3"/>
  <c r="AP231" i="3"/>
  <c r="AP107" i="3"/>
  <c r="AP141" i="3"/>
  <c r="AO231" i="3"/>
  <c r="AO142" i="3"/>
  <c r="AO141" i="3"/>
  <c r="G100" i="3"/>
  <c r="F261" i="3"/>
  <c r="H261" i="3" s="1"/>
  <c r="F207" i="3"/>
  <c r="G207" i="3" s="1"/>
  <c r="F170" i="3"/>
  <c r="G170" i="3" s="1"/>
  <c r="F253" i="3"/>
  <c r="G253" i="3" s="1"/>
  <c r="AT188" i="3"/>
  <c r="AU188" i="3" s="1"/>
  <c r="AT181" i="3"/>
  <c r="AU181" i="3" s="1"/>
  <c r="AT130" i="3"/>
  <c r="AU130" i="3" s="1"/>
  <c r="AW130" i="3" s="1"/>
  <c r="AT111" i="3"/>
  <c r="AU111" i="3" s="1"/>
  <c r="AT264" i="3"/>
  <c r="AU264" i="3" s="1"/>
  <c r="AT72" i="3"/>
  <c r="AU72" i="3" s="1"/>
  <c r="AT190" i="3"/>
  <c r="AU190" i="3" s="1"/>
  <c r="AT95" i="3"/>
  <c r="AU95" i="3" s="1"/>
  <c r="AT239" i="3"/>
  <c r="AU239" i="3" s="1"/>
  <c r="AT218" i="3"/>
  <c r="AU218" i="3" s="1"/>
  <c r="AT140" i="3"/>
  <c r="AU140" i="3" s="1"/>
  <c r="AW140" i="3" s="1"/>
  <c r="AT152" i="3"/>
  <c r="AU152" i="3" s="1"/>
  <c r="AW152" i="3" s="1"/>
  <c r="AT260" i="3"/>
  <c r="AU260" i="3" s="1"/>
  <c r="AT164" i="3"/>
  <c r="AU164" i="3" s="1"/>
  <c r="AT148" i="3"/>
  <c r="AU148" i="3" s="1"/>
  <c r="AW148" i="3" s="1"/>
  <c r="AT115" i="3"/>
  <c r="AU115" i="3" s="1"/>
  <c r="AW115" i="3" s="1"/>
  <c r="AT197" i="3"/>
  <c r="AU197" i="3" s="1"/>
  <c r="AW197" i="3" s="1"/>
  <c r="AT198" i="3"/>
  <c r="AU198" i="3" s="1"/>
  <c r="AT172" i="3"/>
  <c r="AU172" i="3" s="1"/>
  <c r="AT128" i="3"/>
  <c r="AU128" i="3" s="1"/>
  <c r="AW128" i="3" s="1"/>
  <c r="AY128" i="3" s="1"/>
  <c r="AT151" i="3"/>
  <c r="AU151" i="3" s="1"/>
  <c r="AT105" i="3"/>
  <c r="AU105" i="3" s="1"/>
  <c r="AP256" i="3"/>
  <c r="F158" i="3"/>
  <c r="G158" i="3" s="1"/>
  <c r="AP122" i="3"/>
  <c r="AP114" i="3"/>
  <c r="AP248" i="3"/>
  <c r="AP218" i="3"/>
  <c r="AP85" i="3"/>
  <c r="K28" i="1"/>
  <c r="H218" i="3"/>
  <c r="F246" i="3"/>
  <c r="G246" i="3" s="1"/>
  <c r="F217" i="3"/>
  <c r="G217" i="3" s="1"/>
  <c r="F201" i="3"/>
  <c r="G201" i="3" s="1"/>
  <c r="J72" i="2"/>
  <c r="P72" i="2"/>
  <c r="N72" i="2"/>
  <c r="O72" i="2"/>
  <c r="I72" i="2"/>
  <c r="M72" i="2"/>
  <c r="K72" i="2"/>
  <c r="F222" i="3"/>
  <c r="G222" i="3" s="1"/>
  <c r="F152" i="3"/>
  <c r="H152" i="3" s="1"/>
  <c r="AT131" i="3"/>
  <c r="AU131" i="3" s="1"/>
  <c r="AT77" i="3"/>
  <c r="AU77" i="3" s="1"/>
  <c r="AT68" i="3"/>
  <c r="AU68" i="3" s="1"/>
  <c r="AW68" i="3" s="1"/>
  <c r="AO237" i="3"/>
  <c r="AT228" i="3"/>
  <c r="AU228" i="3" s="1"/>
  <c r="F161" i="3"/>
  <c r="AP236" i="3"/>
  <c r="AO193" i="3"/>
  <c r="AO159" i="3"/>
  <c r="AT147" i="3"/>
  <c r="AU147" i="3" s="1"/>
  <c r="AP127" i="3"/>
  <c r="AO110" i="3"/>
  <c r="AP179" i="3"/>
  <c r="AO258" i="3"/>
  <c r="AO191" i="3"/>
  <c r="AT165" i="3"/>
  <c r="AU165" i="3" s="1"/>
  <c r="AO79" i="3"/>
  <c r="AP230" i="3"/>
  <c r="AO202" i="3"/>
  <c r="AO127" i="3"/>
  <c r="G254" i="3"/>
  <c r="G188" i="3"/>
  <c r="AP262" i="3"/>
  <c r="AT123" i="3"/>
  <c r="AU123" i="3" s="1"/>
  <c r="AW123" i="3" s="1"/>
  <c r="AP111" i="3"/>
  <c r="AO226" i="3"/>
  <c r="AT120" i="3"/>
  <c r="AU120" i="3" s="1"/>
  <c r="AT184" i="3"/>
  <c r="AU184" i="3" s="1"/>
  <c r="AW184" i="3" s="1"/>
  <c r="AY184" i="3" s="1"/>
  <c r="AT187" i="3"/>
  <c r="AU187" i="3" s="1"/>
  <c r="AO179" i="3"/>
  <c r="AO228" i="3"/>
  <c r="AO175" i="3"/>
  <c r="AP78" i="3"/>
  <c r="AP243" i="3"/>
  <c r="AP234" i="3"/>
  <c r="AP126" i="3"/>
  <c r="AP112" i="3"/>
  <c r="F259" i="3"/>
  <c r="G259" i="3" s="1"/>
  <c r="F64" i="3"/>
  <c r="H64" i="3" s="1"/>
  <c r="AT262" i="3"/>
  <c r="AU262" i="3" s="1"/>
  <c r="AO249" i="3"/>
  <c r="AO240" i="3"/>
  <c r="AT248" i="3"/>
  <c r="AU248" i="3" s="1"/>
  <c r="AO221" i="3"/>
  <c r="AO201" i="3"/>
  <c r="AO132" i="3"/>
  <c r="AO124" i="3"/>
  <c r="AO116" i="3"/>
  <c r="AO155" i="3"/>
  <c r="AO257" i="3"/>
  <c r="AT226" i="3"/>
  <c r="AU226" i="3" s="1"/>
  <c r="AT110" i="3"/>
  <c r="AU110" i="3" s="1"/>
  <c r="AW110" i="3" s="1"/>
  <c r="AP189" i="3"/>
  <c r="AP79" i="3"/>
  <c r="F219" i="3"/>
  <c r="G219" i="3" s="1"/>
  <c r="F214" i="3"/>
  <c r="G214" i="3" s="1"/>
  <c r="F163" i="3"/>
  <c r="H163" i="3" s="1"/>
  <c r="AP121" i="3"/>
  <c r="AT216" i="3"/>
  <c r="AU216" i="3" s="1"/>
  <c r="AW216" i="3" s="1"/>
  <c r="AX216" i="3" s="1"/>
  <c r="AO156" i="3"/>
  <c r="AO150" i="3"/>
  <c r="AO149" i="3"/>
  <c r="AO178" i="3"/>
  <c r="AT227" i="3"/>
  <c r="AU227" i="3" s="1"/>
  <c r="AT219" i="3"/>
  <c r="AU219" i="3" s="1"/>
  <c r="AW219" i="3" s="1"/>
  <c r="AT208" i="3"/>
  <c r="AU208" i="3" s="1"/>
  <c r="AT179" i="3"/>
  <c r="AU179" i="3" s="1"/>
  <c r="AT158" i="3"/>
  <c r="AU158" i="3" s="1"/>
  <c r="F136" i="3"/>
  <c r="G136" i="3" s="1"/>
  <c r="AO205" i="3"/>
  <c r="AT168" i="3"/>
  <c r="AU168" i="3" s="1"/>
  <c r="AP202" i="3"/>
  <c r="AP178" i="3"/>
  <c r="AP70" i="3"/>
  <c r="AO251" i="3"/>
  <c r="AT176" i="3"/>
  <c r="AU176" i="3" s="1"/>
  <c r="AT192" i="3"/>
  <c r="AU192" i="3" s="1"/>
  <c r="AW192" i="3" s="1"/>
  <c r="AO126" i="3"/>
  <c r="AT133" i="3"/>
  <c r="AU133" i="3" s="1"/>
  <c r="AW133" i="3" s="1"/>
  <c r="AT125" i="3"/>
  <c r="AU125" i="3" s="1"/>
  <c r="AW125" i="3" s="1"/>
  <c r="AO92" i="3"/>
  <c r="AO105" i="3"/>
  <c r="AT89" i="3"/>
  <c r="AU89" i="3" s="1"/>
  <c r="AO95" i="3"/>
  <c r="AT74" i="3"/>
  <c r="AU74" i="3" s="1"/>
  <c r="AP233" i="3"/>
  <c r="AP185" i="3"/>
  <c r="AO253" i="3"/>
  <c r="AT236" i="3"/>
  <c r="AU236" i="3" s="1"/>
  <c r="AO183" i="3"/>
  <c r="AO185" i="3"/>
  <c r="AP172" i="3"/>
  <c r="AP95" i="3"/>
  <c r="F154" i="3"/>
  <c r="H154" i="3" s="1"/>
  <c r="AT246" i="3"/>
  <c r="AU246" i="3" s="1"/>
  <c r="AW246" i="3" s="1"/>
  <c r="AO216" i="3"/>
  <c r="AO199" i="3"/>
  <c r="AO165" i="3"/>
  <c r="AP187" i="3"/>
  <c r="AP146" i="3"/>
  <c r="AO122" i="3"/>
  <c r="AT122" i="3"/>
  <c r="AU122" i="3" s="1"/>
  <c r="AO153" i="3"/>
  <c r="AT112" i="3"/>
  <c r="AU112" i="3" s="1"/>
  <c r="AO104" i="3"/>
  <c r="AT79" i="3"/>
  <c r="AU79" i="3" s="1"/>
  <c r="AP247" i="3"/>
  <c r="AO230" i="3"/>
  <c r="AP253" i="3"/>
  <c r="AP183" i="3"/>
  <c r="AP144" i="3"/>
  <c r="F249" i="3"/>
  <c r="H249" i="3" s="1"/>
  <c r="F216" i="3"/>
  <c r="H216" i="3" s="1"/>
  <c r="AO242" i="3"/>
  <c r="AT250" i="3"/>
  <c r="AU250" i="3" s="1"/>
  <c r="AO223" i="3"/>
  <c r="AT202" i="3"/>
  <c r="AU202" i="3" s="1"/>
  <c r="AO169" i="3"/>
  <c r="AT149" i="3"/>
  <c r="AU149" i="3" s="1"/>
  <c r="AW149" i="3" s="1"/>
  <c r="AT141" i="3"/>
  <c r="AU141" i="3" s="1"/>
  <c r="AT97" i="3"/>
  <c r="AU97" i="3" s="1"/>
  <c r="AO139" i="3"/>
  <c r="AT87" i="3"/>
  <c r="AU87" i="3" s="1"/>
  <c r="AO70" i="3"/>
  <c r="AO74" i="3"/>
  <c r="AP64" i="3"/>
  <c r="AT261" i="3"/>
  <c r="AU261" i="3" s="1"/>
  <c r="AT253" i="3"/>
  <c r="AU253" i="3" s="1"/>
  <c r="AO233" i="3"/>
  <c r="AT177" i="3"/>
  <c r="AU177" i="3" s="1"/>
  <c r="AT119" i="3"/>
  <c r="AU119" i="3" s="1"/>
  <c r="AT91" i="3"/>
  <c r="AU91" i="3" s="1"/>
  <c r="AT64" i="3"/>
  <c r="AU64" i="3" s="1"/>
  <c r="G173" i="3"/>
  <c r="F212" i="3"/>
  <c r="G212" i="3" s="1"/>
  <c r="F223" i="3"/>
  <c r="H223" i="3" s="1"/>
  <c r="F171" i="3"/>
  <c r="H171" i="3" s="1"/>
  <c r="F82" i="3"/>
  <c r="H82" i="3" s="1"/>
  <c r="F202" i="3"/>
  <c r="G202" i="3" s="1"/>
  <c r="F203" i="3"/>
  <c r="G203" i="3" s="1"/>
  <c r="F129" i="3"/>
  <c r="G129" i="3" s="1"/>
  <c r="F111" i="3"/>
  <c r="G111" i="3" s="1"/>
  <c r="F236" i="3"/>
  <c r="G236" i="3" s="1"/>
  <c r="F192" i="3"/>
  <c r="H192" i="3" s="1"/>
  <c r="F175" i="3"/>
  <c r="H175" i="3" s="1"/>
  <c r="F109" i="3"/>
  <c r="G109" i="3" s="1"/>
  <c r="F211" i="3"/>
  <c r="G211" i="3" s="1"/>
  <c r="F145" i="3"/>
  <c r="G145" i="3" s="1"/>
  <c r="F238" i="3"/>
  <c r="G238" i="3" s="1"/>
  <c r="F208" i="3"/>
  <c r="H208" i="3" s="1"/>
  <c r="F137" i="3"/>
  <c r="H137" i="3" s="1"/>
  <c r="F138" i="3"/>
  <c r="G138" i="3" s="1"/>
  <c r="F189" i="3"/>
  <c r="H189" i="3" s="1"/>
  <c r="F88" i="3"/>
  <c r="H88" i="3" s="1"/>
  <c r="F231" i="3"/>
  <c r="H231" i="3" s="1"/>
  <c r="F186" i="3"/>
  <c r="G186" i="3" s="1"/>
  <c r="H243" i="3"/>
  <c r="G243" i="3"/>
  <c r="G142" i="3"/>
  <c r="G81" i="3"/>
  <c r="H81" i="3"/>
  <c r="H125" i="3"/>
  <c r="H169" i="3"/>
  <c r="H120" i="3"/>
  <c r="G120" i="3"/>
  <c r="G75" i="3"/>
  <c r="G184" i="3"/>
  <c r="H184" i="3"/>
  <c r="G174" i="3"/>
  <c r="H174" i="3"/>
  <c r="H95" i="3"/>
  <c r="AT106" i="3"/>
  <c r="AU106" i="3" s="1"/>
  <c r="AT90" i="3"/>
  <c r="AU90" i="3" s="1"/>
  <c r="AW90" i="3" s="1"/>
  <c r="G245" i="3"/>
  <c r="H229" i="3"/>
  <c r="F185" i="3"/>
  <c r="AO207" i="3"/>
  <c r="AO106" i="3"/>
  <c r="AO90" i="3"/>
  <c r="AT103" i="3"/>
  <c r="AU103" i="3" s="1"/>
  <c r="AW103" i="3" s="1"/>
  <c r="F107" i="3"/>
  <c r="AT78" i="3"/>
  <c r="AU78" i="3" s="1"/>
  <c r="AT247" i="3"/>
  <c r="AU247" i="3" s="1"/>
  <c r="AT170" i="3"/>
  <c r="AU170" i="3" s="1"/>
  <c r="AW170" i="3" s="1"/>
  <c r="AT99" i="3"/>
  <c r="AU99" i="3" s="1"/>
  <c r="AW99" i="3" s="1"/>
  <c r="G135" i="3"/>
  <c r="H135" i="3"/>
  <c r="F172" i="3"/>
  <c r="F144" i="3"/>
  <c r="AT263" i="3"/>
  <c r="AU263" i="3" s="1"/>
  <c r="AW263" i="3" s="1"/>
  <c r="AT238" i="3"/>
  <c r="AU238" i="3" s="1"/>
  <c r="AW238" i="3" s="1"/>
  <c r="AO232" i="3"/>
  <c r="AT199" i="3"/>
  <c r="AU199" i="3" s="1"/>
  <c r="AT191" i="3"/>
  <c r="AU191" i="3" s="1"/>
  <c r="AT157" i="3"/>
  <c r="AU157" i="3" s="1"/>
  <c r="AT113" i="3"/>
  <c r="AU113" i="3" s="1"/>
  <c r="AO96" i="3"/>
  <c r="F233" i="3"/>
  <c r="AT102" i="3"/>
  <c r="AU102" i="3" s="1"/>
  <c r="AP254" i="3"/>
  <c r="AP167" i="3"/>
  <c r="AP164" i="3"/>
  <c r="F242" i="3"/>
  <c r="G182" i="3"/>
  <c r="F89" i="3"/>
  <c r="AO203" i="3"/>
  <c r="AP259" i="3"/>
  <c r="AP235" i="3"/>
  <c r="AP210" i="3"/>
  <c r="AP203" i="3"/>
  <c r="AP180" i="3"/>
  <c r="AP147" i="3"/>
  <c r="AP129" i="3"/>
  <c r="F260" i="3"/>
  <c r="F221" i="3"/>
  <c r="F195" i="3"/>
  <c r="F153" i="3"/>
  <c r="F72" i="3"/>
  <c r="AP151" i="3"/>
  <c r="G108" i="3"/>
  <c r="H108" i="3"/>
  <c r="AT256" i="3"/>
  <c r="AU256" i="3" s="1"/>
  <c r="AT249" i="3"/>
  <c r="AU249" i="3" s="1"/>
  <c r="AW249" i="3" s="1"/>
  <c r="AT254" i="3"/>
  <c r="AU254" i="3" s="1"/>
  <c r="AT240" i="3"/>
  <c r="AU240" i="3" s="1"/>
  <c r="AW240" i="3" s="1"/>
  <c r="AT229" i="3"/>
  <c r="AU229" i="3" s="1"/>
  <c r="AT221" i="3"/>
  <c r="AU221" i="3" s="1"/>
  <c r="AO243" i="3"/>
  <c r="AO234" i="3"/>
  <c r="AO217" i="3"/>
  <c r="AT193" i="3"/>
  <c r="AU193" i="3" s="1"/>
  <c r="AW193" i="3" s="1"/>
  <c r="AT186" i="3"/>
  <c r="AU186" i="3" s="1"/>
  <c r="AW186" i="3" s="1"/>
  <c r="AT167" i="3"/>
  <c r="AU167" i="3" s="1"/>
  <c r="AT159" i="3"/>
  <c r="AU159" i="3" s="1"/>
  <c r="AW159" i="3" s="1"/>
  <c r="AO164" i="3"/>
  <c r="AT132" i="3"/>
  <c r="AU132" i="3" s="1"/>
  <c r="AW132" i="3" s="1"/>
  <c r="AT124" i="3"/>
  <c r="AU124" i="3" s="1"/>
  <c r="AW124" i="3" s="1"/>
  <c r="AT116" i="3"/>
  <c r="AU116" i="3" s="1"/>
  <c r="AW116" i="3" s="1"/>
  <c r="AT160" i="3"/>
  <c r="AU160" i="3" s="1"/>
  <c r="AW160" i="3" s="1"/>
  <c r="AT155" i="3"/>
  <c r="AU155" i="3" s="1"/>
  <c r="AW155" i="3" s="1"/>
  <c r="AT114" i="3"/>
  <c r="AU114" i="3" s="1"/>
  <c r="F110" i="3"/>
  <c r="F99" i="3"/>
  <c r="AT127" i="3"/>
  <c r="AU127" i="3" s="1"/>
  <c r="AP194" i="3"/>
  <c r="F258" i="3"/>
  <c r="F200" i="3"/>
  <c r="F156" i="3"/>
  <c r="F176" i="3"/>
  <c r="F119" i="3"/>
  <c r="F128" i="3"/>
  <c r="AO208" i="3"/>
  <c r="AT200" i="3"/>
  <c r="AU200" i="3" s="1"/>
  <c r="AW200" i="3" s="1"/>
  <c r="AT154" i="3"/>
  <c r="AU154" i="3" s="1"/>
  <c r="AW154" i="3" s="1"/>
  <c r="AT146" i="3"/>
  <c r="AU146" i="3" s="1"/>
  <c r="AT138" i="3"/>
  <c r="AU138" i="3" s="1"/>
  <c r="AW138" i="3" s="1"/>
  <c r="AT153" i="3"/>
  <c r="AU153" i="3" s="1"/>
  <c r="AW153" i="3" s="1"/>
  <c r="AT145" i="3"/>
  <c r="AU145" i="3" s="1"/>
  <c r="AW145" i="3" s="1"/>
  <c r="AT137" i="3"/>
  <c r="AU137" i="3" s="1"/>
  <c r="AT104" i="3"/>
  <c r="AU104" i="3" s="1"/>
  <c r="AW104" i="3" s="1"/>
  <c r="F96" i="3"/>
  <c r="AT83" i="3"/>
  <c r="AU83" i="3" s="1"/>
  <c r="AW83" i="3" s="1"/>
  <c r="AT101" i="3"/>
  <c r="AU101" i="3" s="1"/>
  <c r="AW101" i="3" s="1"/>
  <c r="AT93" i="3"/>
  <c r="AU93" i="3" s="1"/>
  <c r="AT85" i="3"/>
  <c r="AU85" i="3" s="1"/>
  <c r="AP225" i="3"/>
  <c r="AP69" i="3"/>
  <c r="F230" i="3"/>
  <c r="F225" i="3"/>
  <c r="AT230" i="3"/>
  <c r="AU230" i="3" s="1"/>
  <c r="AP237" i="3"/>
  <c r="AP212" i="3"/>
  <c r="AP109" i="3"/>
  <c r="AP75" i="3"/>
  <c r="F239" i="3"/>
  <c r="F213" i="3"/>
  <c r="F205" i="3"/>
  <c r="F155" i="3"/>
  <c r="F74" i="3"/>
  <c r="AP74" i="3"/>
  <c r="AP106" i="3"/>
  <c r="AT259" i="3"/>
  <c r="AU259" i="3" s="1"/>
  <c r="AT251" i="3"/>
  <c r="AU251" i="3" s="1"/>
  <c r="AO255" i="3"/>
  <c r="AT242" i="3"/>
  <c r="AU242" i="3" s="1"/>
  <c r="AT231" i="3"/>
  <c r="AU231" i="3" s="1"/>
  <c r="AT223" i="3"/>
  <c r="AU223" i="3" s="1"/>
  <c r="AW223" i="3" s="1"/>
  <c r="AO245" i="3"/>
  <c r="AT237" i="3"/>
  <c r="AU237" i="3" s="1"/>
  <c r="AO215" i="3"/>
  <c r="AT195" i="3"/>
  <c r="AU195" i="3" s="1"/>
  <c r="AW195" i="3" s="1"/>
  <c r="AO241" i="3"/>
  <c r="AO196" i="3"/>
  <c r="AT161" i="3"/>
  <c r="AU161" i="3" s="1"/>
  <c r="AW161" i="3" s="1"/>
  <c r="AO166" i="3"/>
  <c r="AT126" i="3"/>
  <c r="AU126" i="3" s="1"/>
  <c r="AT118" i="3"/>
  <c r="AU118" i="3" s="1"/>
  <c r="AT162" i="3"/>
  <c r="AU162" i="3" s="1"/>
  <c r="AW162" i="3" s="1"/>
  <c r="AT109" i="3"/>
  <c r="AU109" i="3" s="1"/>
  <c r="AT108" i="3"/>
  <c r="AU108" i="3" s="1"/>
  <c r="AW108" i="3" s="1"/>
  <c r="AT67" i="3"/>
  <c r="AU67" i="3" s="1"/>
  <c r="H77" i="3"/>
  <c r="AT139" i="3"/>
  <c r="AU139" i="3" s="1"/>
  <c r="AT98" i="3"/>
  <c r="AU98" i="3" s="1"/>
  <c r="AT82" i="3"/>
  <c r="AU82" i="3" s="1"/>
  <c r="AW82" i="3" s="1"/>
  <c r="AT65" i="3"/>
  <c r="AU65" i="3" s="1"/>
  <c r="AT70" i="3"/>
  <c r="AU70" i="3" s="1"/>
  <c r="F86" i="3"/>
  <c r="AP143" i="3"/>
  <c r="AP206" i="3"/>
  <c r="AP177" i="3"/>
  <c r="F91" i="3"/>
  <c r="AT214" i="3"/>
  <c r="AU214" i="3" s="1"/>
  <c r="AT204" i="3"/>
  <c r="AU204" i="3" s="1"/>
  <c r="AT178" i="3"/>
  <c r="AU178" i="3" s="1"/>
  <c r="AT185" i="3"/>
  <c r="AU185" i="3" s="1"/>
  <c r="AT107" i="3"/>
  <c r="AU107" i="3" s="1"/>
  <c r="F112" i="3"/>
  <c r="AO187" i="3"/>
  <c r="AO112" i="3"/>
  <c r="AT96" i="3"/>
  <c r="AU96" i="3" s="1"/>
  <c r="AW96" i="3" s="1"/>
  <c r="H133" i="3"/>
  <c r="AO102" i="3"/>
  <c r="AP226" i="3"/>
  <c r="AP198" i="3"/>
  <c r="H215" i="3"/>
  <c r="F197" i="3"/>
  <c r="F160" i="3"/>
  <c r="F178" i="3"/>
  <c r="F139" i="3"/>
  <c r="F159" i="3"/>
  <c r="F105" i="3"/>
  <c r="AO259" i="3"/>
  <c r="AT245" i="3"/>
  <c r="AU245" i="3" s="1"/>
  <c r="AO224" i="3"/>
  <c r="AO212" i="3"/>
  <c r="AT203" i="3"/>
  <c r="AU203" i="3" s="1"/>
  <c r="AT241" i="3"/>
  <c r="AU241" i="3" s="1"/>
  <c r="AT175" i="3"/>
  <c r="AU175" i="3" s="1"/>
  <c r="AT166" i="3"/>
  <c r="AU166" i="3" s="1"/>
  <c r="AW166" i="3" s="1"/>
  <c r="AT150" i="3"/>
  <c r="AU150" i="3" s="1"/>
  <c r="AT142" i="3"/>
  <c r="AU142" i="3" s="1"/>
  <c r="AT134" i="3"/>
  <c r="AU134" i="3" s="1"/>
  <c r="AT100" i="3"/>
  <c r="AU100" i="3" s="1"/>
  <c r="AW100" i="3" s="1"/>
  <c r="G92" i="3"/>
  <c r="H92" i="3"/>
  <c r="AO84" i="3"/>
  <c r="N261" i="3"/>
  <c r="O261" i="3" s="1"/>
  <c r="P261" i="3" s="1"/>
  <c r="T261" i="3"/>
  <c r="U261" i="3" s="1"/>
  <c r="V261" i="3" s="1"/>
  <c r="AB261" i="3" s="1"/>
  <c r="G264" i="3"/>
  <c r="F183" i="3"/>
  <c r="F76" i="3"/>
  <c r="AO94" i="3"/>
  <c r="F177" i="3"/>
  <c r="G165" i="3"/>
  <c r="F157" i="3"/>
  <c r="H87" i="3"/>
  <c r="F140" i="3"/>
  <c r="AT243" i="3"/>
  <c r="AU243" i="3" s="1"/>
  <c r="AT234" i="3"/>
  <c r="AU234" i="3" s="1"/>
  <c r="AT222" i="3"/>
  <c r="AU222" i="3" s="1"/>
  <c r="AW222" i="3" s="1"/>
  <c r="AT217" i="3"/>
  <c r="AU217" i="3" s="1"/>
  <c r="AW217" i="3" s="1"/>
  <c r="AT201" i="3"/>
  <c r="AU201" i="3" s="1"/>
  <c r="AW201" i="3" s="1"/>
  <c r="AT213" i="3"/>
  <c r="AU213" i="3" s="1"/>
  <c r="AW213" i="3" s="1"/>
  <c r="AO160" i="3"/>
  <c r="AO131" i="3"/>
  <c r="AO123" i="3"/>
  <c r="AO115" i="3"/>
  <c r="AU257" i="3"/>
  <c r="AW257" i="3" s="1"/>
  <c r="AO197" i="3"/>
  <c r="AT143" i="3"/>
  <c r="AU143" i="3" s="1"/>
  <c r="AP258" i="3"/>
  <c r="AP227" i="3"/>
  <c r="AP156" i="3"/>
  <c r="F227" i="3"/>
  <c r="G244" i="3"/>
  <c r="F206" i="3"/>
  <c r="F151" i="3"/>
  <c r="AP102" i="3"/>
  <c r="AT258" i="3"/>
  <c r="AU258" i="3" s="1"/>
  <c r="AT252" i="3"/>
  <c r="AU252" i="3" s="1"/>
  <c r="AT209" i="3"/>
  <c r="AU209" i="3" s="1"/>
  <c r="AT173" i="3"/>
  <c r="AU173" i="3" s="1"/>
  <c r="AO154" i="3"/>
  <c r="AO146" i="3"/>
  <c r="AO138" i="3"/>
  <c r="AT129" i="3"/>
  <c r="AU129" i="3" s="1"/>
  <c r="AT121" i="3"/>
  <c r="AU121" i="3" s="1"/>
  <c r="AT88" i="3"/>
  <c r="AU88" i="3" s="1"/>
  <c r="AW88" i="3" s="1"/>
  <c r="AT71" i="3"/>
  <c r="AU71" i="3" s="1"/>
  <c r="F257" i="3"/>
  <c r="AT244" i="3"/>
  <c r="AU244" i="3" s="1"/>
  <c r="AT225" i="3"/>
  <c r="AU225" i="3" s="1"/>
  <c r="AT163" i="3"/>
  <c r="AU163" i="3" s="1"/>
  <c r="AT156" i="3"/>
  <c r="AU156" i="3" s="1"/>
  <c r="AO69" i="3"/>
  <c r="AT81" i="3"/>
  <c r="AU81" i="3" s="1"/>
  <c r="AP182" i="3"/>
  <c r="AP120" i="3"/>
  <c r="F255" i="3"/>
  <c r="F228" i="3"/>
  <c r="G204" i="3"/>
  <c r="H204" i="3"/>
  <c r="H179" i="3"/>
  <c r="G131" i="3"/>
  <c r="F97" i="3"/>
  <c r="F148" i="3"/>
  <c r="AP131" i="3"/>
  <c r="AT255" i="3"/>
  <c r="AU255" i="3" s="1"/>
  <c r="AW255" i="3" s="1"/>
  <c r="AT224" i="3"/>
  <c r="AU224" i="3" s="1"/>
  <c r="AT215" i="3"/>
  <c r="AU215" i="3" s="1"/>
  <c r="AW215" i="3" s="1"/>
  <c r="AT196" i="3"/>
  <c r="AU196" i="3" s="1"/>
  <c r="AT169" i="3"/>
  <c r="AU169" i="3" s="1"/>
  <c r="AW169" i="3" s="1"/>
  <c r="AO162" i="3"/>
  <c r="AO133" i="3"/>
  <c r="AO125" i="3"/>
  <c r="AO117" i="3"/>
  <c r="AO108" i="3"/>
  <c r="AT92" i="3"/>
  <c r="AU92" i="3" s="1"/>
  <c r="AW92" i="3" s="1"/>
  <c r="F90" i="3"/>
  <c r="AO98" i="3"/>
  <c r="AO82" i="3"/>
  <c r="F102" i="3"/>
  <c r="H198" i="3"/>
  <c r="G149" i="3"/>
  <c r="F68" i="3"/>
  <c r="AT233" i="3"/>
  <c r="AU233" i="3" s="1"/>
  <c r="AT171" i="3"/>
  <c r="AU171" i="3" s="1"/>
  <c r="AO100" i="3"/>
  <c r="AT84" i="3"/>
  <c r="AU84" i="3" s="1"/>
  <c r="AW84" i="3" s="1"/>
  <c r="AT75" i="3"/>
  <c r="AU75" i="3" s="1"/>
  <c r="F65" i="3"/>
  <c r="G106" i="3"/>
  <c r="AT66" i="3"/>
  <c r="AU66" i="3" s="1"/>
  <c r="AO236" i="3"/>
  <c r="AO214" i="3"/>
  <c r="AT206" i="3"/>
  <c r="AU206" i="3" s="1"/>
  <c r="AO189" i="3"/>
  <c r="AT183" i="3"/>
  <c r="AU183" i="3" s="1"/>
  <c r="AT144" i="3"/>
  <c r="AU144" i="3" s="1"/>
  <c r="AT136" i="3"/>
  <c r="AU136" i="3" s="1"/>
  <c r="AT135" i="3"/>
  <c r="AU135" i="3" s="1"/>
  <c r="AO135" i="3"/>
  <c r="AT94" i="3"/>
  <c r="AU94" i="3" s="1"/>
  <c r="AT86" i="3"/>
  <c r="AU86" i="3" s="1"/>
  <c r="AO91" i="3"/>
  <c r="AT76" i="3"/>
  <c r="AU76" i="3" s="1"/>
  <c r="AW67" i="3" l="1"/>
  <c r="AX67" i="3" s="1"/>
  <c r="B13" i="2"/>
  <c r="C13" i="2" s="1"/>
  <c r="AW190" i="3"/>
  <c r="AY190" i="3" s="1"/>
  <c r="B41" i="2"/>
  <c r="C41" i="2" s="1"/>
  <c r="AW250" i="3"/>
  <c r="AX250" i="3" s="1"/>
  <c r="AW65" i="3"/>
  <c r="AX65" i="3" s="1"/>
  <c r="AW242" i="3"/>
  <c r="AX242" i="3" s="1"/>
  <c r="H98" i="3"/>
  <c r="G73" i="3"/>
  <c r="X80" i="3"/>
  <c r="Y80" i="3" s="1"/>
  <c r="X125" i="3"/>
  <c r="Y125" i="3" s="1"/>
  <c r="G250" i="3"/>
  <c r="G224" i="3"/>
  <c r="G130" i="3"/>
  <c r="G247" i="3"/>
  <c r="H191" i="3"/>
  <c r="H80" i="3"/>
  <c r="G226" i="3"/>
  <c r="G118" i="3"/>
  <c r="H240" i="3"/>
  <c r="G248" i="3"/>
  <c r="X198" i="3"/>
  <c r="Z198" i="3" s="1"/>
  <c r="X142" i="3"/>
  <c r="Y142" i="3" s="1"/>
  <c r="X87" i="3"/>
  <c r="Z87" i="3" s="1"/>
  <c r="X188" i="3"/>
  <c r="Z188" i="3" s="1"/>
  <c r="X226" i="3"/>
  <c r="Z226" i="3" s="1"/>
  <c r="X191" i="3"/>
  <c r="Y191" i="3" s="1"/>
  <c r="G194" i="3"/>
  <c r="X229" i="3"/>
  <c r="Z229" i="3" s="1"/>
  <c r="X264" i="3"/>
  <c r="Y264" i="3" s="1"/>
  <c r="X169" i="3"/>
  <c r="Y169" i="3" s="1"/>
  <c r="X130" i="3"/>
  <c r="Y130" i="3" s="1"/>
  <c r="X240" i="3"/>
  <c r="Z240" i="3" s="1"/>
  <c r="X182" i="3"/>
  <c r="Y182" i="3" s="1"/>
  <c r="G70" i="3"/>
  <c r="G193" i="3"/>
  <c r="H190" i="3"/>
  <c r="H210" i="3"/>
  <c r="X70" i="3"/>
  <c r="Y70" i="3" s="1"/>
  <c r="H127" i="3"/>
  <c r="G168" i="3"/>
  <c r="H252" i="3"/>
  <c r="G150" i="3"/>
  <c r="G132" i="3"/>
  <c r="X168" i="3"/>
  <c r="Y168" i="3" s="1"/>
  <c r="X181" i="3"/>
  <c r="Y181" i="3" s="1"/>
  <c r="X78" i="3"/>
  <c r="Y78" i="3" s="1"/>
  <c r="X209" i="3"/>
  <c r="Z209" i="3" s="1"/>
  <c r="H181" i="3"/>
  <c r="X150" i="3"/>
  <c r="Z150" i="3" s="1"/>
  <c r="X133" i="3"/>
  <c r="Z133" i="3" s="1"/>
  <c r="AW81" i="3"/>
  <c r="AZ81" i="3" s="1"/>
  <c r="AW228" i="3"/>
  <c r="AX228" i="3" s="1"/>
  <c r="AW245" i="3"/>
  <c r="AZ245" i="3" s="1"/>
  <c r="AW71" i="3"/>
  <c r="AY71" i="3" s="1"/>
  <c r="G67" i="3"/>
  <c r="G146" i="3"/>
  <c r="X235" i="3"/>
  <c r="Y235" i="3" s="1"/>
  <c r="X106" i="3"/>
  <c r="Y106" i="3" s="1"/>
  <c r="G167" i="3"/>
  <c r="G114" i="3"/>
  <c r="G126" i="3"/>
  <c r="X101" i="3"/>
  <c r="Y101" i="3" s="1"/>
  <c r="X71" i="3"/>
  <c r="Y71" i="3" s="1"/>
  <c r="X187" i="3"/>
  <c r="Z187" i="3" s="1"/>
  <c r="X146" i="3"/>
  <c r="Y146" i="3" s="1"/>
  <c r="X77" i="3"/>
  <c r="Y77" i="3" s="1"/>
  <c r="X69" i="3"/>
  <c r="Y69" i="3" s="1"/>
  <c r="AW135" i="3"/>
  <c r="AY135" i="3" s="1"/>
  <c r="G235" i="3"/>
  <c r="X114" i="3"/>
  <c r="Y114" i="3" s="1"/>
  <c r="X232" i="3"/>
  <c r="Z232" i="3" s="1"/>
  <c r="X117" i="3"/>
  <c r="Z117" i="3" s="1"/>
  <c r="X65" i="3"/>
  <c r="Z65" i="3" s="1"/>
  <c r="X68" i="3"/>
  <c r="Z68" i="3" s="1"/>
  <c r="U67" i="3"/>
  <c r="V67" i="3" s="1"/>
  <c r="AB67" i="3" s="1"/>
  <c r="U66" i="3"/>
  <c r="V66" i="3" s="1"/>
  <c r="AB66" i="3" s="1"/>
  <c r="H124" i="3"/>
  <c r="G196" i="3"/>
  <c r="H143" i="3"/>
  <c r="H147" i="3"/>
  <c r="G262" i="3"/>
  <c r="H85" i="3"/>
  <c r="G162" i="3"/>
  <c r="G164" i="3"/>
  <c r="X196" i="3"/>
  <c r="Z196" i="3" s="1"/>
  <c r="X75" i="3"/>
  <c r="Z75" i="3" s="1"/>
  <c r="X262" i="3"/>
  <c r="Y262" i="3" s="1"/>
  <c r="H121" i="3"/>
  <c r="H94" i="3"/>
  <c r="G209" i="3"/>
  <c r="H115" i="3"/>
  <c r="G256" i="3"/>
  <c r="G69" i="3"/>
  <c r="H263" i="3"/>
  <c r="AW199" i="3"/>
  <c r="AY199" i="3" s="1"/>
  <c r="AW137" i="3"/>
  <c r="AZ137" i="3" s="1"/>
  <c r="G166" i="3"/>
  <c r="G79" i="3"/>
  <c r="X164" i="3"/>
  <c r="Z164" i="3" s="1"/>
  <c r="G199" i="3"/>
  <c r="G216" i="3"/>
  <c r="G123" i="3"/>
  <c r="G83" i="3"/>
  <c r="G251" i="3"/>
  <c r="H101" i="3"/>
  <c r="H170" i="3"/>
  <c r="AX80" i="3"/>
  <c r="G122" i="3"/>
  <c r="G66" i="3"/>
  <c r="H187" i="3"/>
  <c r="X85" i="3"/>
  <c r="Z85" i="3" s="1"/>
  <c r="AW119" i="3"/>
  <c r="AY119" i="3" s="1"/>
  <c r="AW188" i="3"/>
  <c r="AY188" i="3" s="1"/>
  <c r="N203" i="3"/>
  <c r="O203" i="3" s="1"/>
  <c r="P203" i="3" s="1"/>
  <c r="AW136" i="3"/>
  <c r="AX136" i="3" s="1"/>
  <c r="AW97" i="3"/>
  <c r="AX97" i="3" s="1"/>
  <c r="B32" i="2"/>
  <c r="C32" i="2" s="1"/>
  <c r="G141" i="3"/>
  <c r="H232" i="3"/>
  <c r="X103" i="3"/>
  <c r="Y103" i="3" s="1"/>
  <c r="H84" i="3"/>
  <c r="G134" i="3"/>
  <c r="H104" i="3"/>
  <c r="H103" i="3"/>
  <c r="H237" i="3"/>
  <c r="H220" i="3"/>
  <c r="H113" i="3"/>
  <c r="H78" i="3"/>
  <c r="G117" i="3"/>
  <c r="H180" i="3"/>
  <c r="X199" i="3"/>
  <c r="Y199" i="3" s="1"/>
  <c r="AW176" i="3"/>
  <c r="AX176" i="3" s="1"/>
  <c r="AW86" i="3"/>
  <c r="AX86" i="3" s="1"/>
  <c r="AW214" i="3"/>
  <c r="AY214" i="3" s="1"/>
  <c r="G71" i="3"/>
  <c r="G116" i="3"/>
  <c r="X215" i="3"/>
  <c r="Z215" i="3" s="1"/>
  <c r="X122" i="3"/>
  <c r="Y122" i="3" s="1"/>
  <c r="H234" i="3"/>
  <c r="G261" i="3"/>
  <c r="X165" i="3"/>
  <c r="Z165" i="3" s="1"/>
  <c r="X261" i="3"/>
  <c r="Z261" i="3" s="1"/>
  <c r="H253" i="3"/>
  <c r="G93" i="3"/>
  <c r="G241" i="3"/>
  <c r="H203" i="3"/>
  <c r="X104" i="3"/>
  <c r="Z104" i="3" s="1"/>
  <c r="H136" i="3"/>
  <c r="X241" i="3"/>
  <c r="Z241" i="3" s="1"/>
  <c r="N263" i="3"/>
  <c r="O263" i="3" s="1"/>
  <c r="P263" i="3" s="1"/>
  <c r="X263" i="3" s="1"/>
  <c r="Z263" i="3" s="1"/>
  <c r="B25" i="2"/>
  <c r="C25" i="2" s="1"/>
  <c r="B15" i="2"/>
  <c r="C15" i="2" s="1"/>
  <c r="B17" i="2"/>
  <c r="C17" i="2" s="1"/>
  <c r="B31" i="2"/>
  <c r="C31" i="2" s="1"/>
  <c r="B19" i="2"/>
  <c r="C19" i="2" s="1"/>
  <c r="T99" i="3"/>
  <c r="U99" i="3" s="1"/>
  <c r="V99" i="3" s="1"/>
  <c r="AB99" i="3" s="1"/>
  <c r="AD99" i="3" s="1"/>
  <c r="B21" i="2"/>
  <c r="C21" i="2" s="1"/>
  <c r="B40" i="2"/>
  <c r="C40" i="2" s="1"/>
  <c r="B34" i="2"/>
  <c r="C34" i="2" s="1"/>
  <c r="B14" i="2"/>
  <c r="C14" i="2" s="1"/>
  <c r="B36" i="2"/>
  <c r="C36" i="2" s="1"/>
  <c r="B28" i="2"/>
  <c r="C28" i="2" s="1"/>
  <c r="Q69" i="2"/>
  <c r="B27" i="2"/>
  <c r="C27" i="2" s="1"/>
  <c r="B22" i="2"/>
  <c r="C22" i="2" s="1"/>
  <c r="B29" i="2"/>
  <c r="C29" i="2" s="1"/>
  <c r="T117" i="3"/>
  <c r="U117" i="3" s="1"/>
  <c r="V117" i="3" s="1"/>
  <c r="AB117" i="3" s="1"/>
  <c r="B26" i="2"/>
  <c r="C26" i="2" s="1"/>
  <c r="B95" i="1"/>
  <c r="B41" i="1" s="1"/>
  <c r="N66" i="3"/>
  <c r="O66" i="3" s="1"/>
  <c r="P66" i="3" s="1"/>
  <c r="X66" i="3" s="1"/>
  <c r="B23" i="2"/>
  <c r="C23" i="2" s="1"/>
  <c r="T232" i="3"/>
  <c r="U232" i="3" s="1"/>
  <c r="V232" i="3" s="1"/>
  <c r="AB232" i="3" s="1"/>
  <c r="AD232" i="3" s="1"/>
  <c r="B30" i="2"/>
  <c r="C30" i="2" s="1"/>
  <c r="T214" i="3"/>
  <c r="U214" i="3" s="1"/>
  <c r="V214" i="3" s="1"/>
  <c r="AB214" i="3" s="1"/>
  <c r="AC214" i="3" s="1"/>
  <c r="N162" i="3"/>
  <c r="O162" i="3" s="1"/>
  <c r="P162" i="3" s="1"/>
  <c r="X162" i="3" s="1"/>
  <c r="AF162" i="3" s="1"/>
  <c r="N256" i="3"/>
  <c r="O256" i="3" s="1"/>
  <c r="P256" i="3" s="1"/>
  <c r="X256" i="3" s="1"/>
  <c r="Y256" i="3" s="1"/>
  <c r="T109" i="3"/>
  <c r="U109" i="3" s="1"/>
  <c r="V109" i="3" s="1"/>
  <c r="AB109" i="3" s="1"/>
  <c r="AC109" i="3" s="1"/>
  <c r="B38" i="2"/>
  <c r="C38" i="2" s="1"/>
  <c r="B37" i="2"/>
  <c r="C37" i="2" s="1"/>
  <c r="Q70" i="2"/>
  <c r="Q71" i="2"/>
  <c r="B35" i="2"/>
  <c r="C35" i="2" s="1"/>
  <c r="B16" i="2"/>
  <c r="C16" i="2" s="1"/>
  <c r="B20" i="2"/>
  <c r="C20" i="2" s="1"/>
  <c r="B24" i="2"/>
  <c r="C24" i="2" s="1"/>
  <c r="B18" i="2"/>
  <c r="C18" i="2" s="1"/>
  <c r="B33" i="2"/>
  <c r="C33" i="2" s="1"/>
  <c r="Q68" i="2"/>
  <c r="B39" i="2"/>
  <c r="C39" i="2" s="1"/>
  <c r="N179" i="3"/>
  <c r="O179" i="3" s="1"/>
  <c r="P179" i="3" s="1"/>
  <c r="X179" i="3" s="1"/>
  <c r="Y179" i="3" s="1"/>
  <c r="N202" i="3"/>
  <c r="O202" i="3" s="1"/>
  <c r="P202" i="3" s="1"/>
  <c r="X202" i="3" s="1"/>
  <c r="AF202" i="3" s="1"/>
  <c r="T122" i="3"/>
  <c r="U122" i="3" s="1"/>
  <c r="V122" i="3" s="1"/>
  <c r="AB122" i="3" s="1"/>
  <c r="AC122" i="3" s="1"/>
  <c r="N248" i="3"/>
  <c r="O248" i="3" s="1"/>
  <c r="P248" i="3" s="1"/>
  <c r="X248" i="3" s="1"/>
  <c r="Z248" i="3" s="1"/>
  <c r="N110" i="3"/>
  <c r="O110" i="3" s="1"/>
  <c r="P110" i="3" s="1"/>
  <c r="X110" i="3" s="1"/>
  <c r="Y110" i="3" s="1"/>
  <c r="T74" i="3"/>
  <c r="U74" i="3" s="1"/>
  <c r="V74" i="3" s="1"/>
  <c r="AB74" i="3" s="1"/>
  <c r="AC74" i="3" s="1"/>
  <c r="T182" i="3"/>
  <c r="U182" i="3" s="1"/>
  <c r="V182" i="3" s="1"/>
  <c r="AB182" i="3" s="1"/>
  <c r="AC182" i="3" s="1"/>
  <c r="N237" i="3"/>
  <c r="O237" i="3" s="1"/>
  <c r="P237" i="3" s="1"/>
  <c r="X237" i="3" s="1"/>
  <c r="AF237" i="3" s="1"/>
  <c r="T65" i="3"/>
  <c r="N79" i="3"/>
  <c r="O79" i="3" s="1"/>
  <c r="P79" i="3" s="1"/>
  <c r="X79" i="3" s="1"/>
  <c r="AF79" i="3" s="1"/>
  <c r="N141" i="3"/>
  <c r="O141" i="3" s="1"/>
  <c r="P141" i="3" s="1"/>
  <c r="X141" i="3" s="1"/>
  <c r="AF141" i="3" s="1"/>
  <c r="T135" i="3"/>
  <c r="U135" i="3" s="1"/>
  <c r="V135" i="3" s="1"/>
  <c r="AB135" i="3" s="1"/>
  <c r="AC135" i="3" s="1"/>
  <c r="T78" i="3"/>
  <c r="U78" i="3" s="1"/>
  <c r="V78" i="3" s="1"/>
  <c r="AB78" i="3" s="1"/>
  <c r="T82" i="3"/>
  <c r="U82" i="3" s="1"/>
  <c r="V82" i="3" s="1"/>
  <c r="AB82" i="3" s="1"/>
  <c r="AD82" i="3" s="1"/>
  <c r="N207" i="3"/>
  <c r="O207" i="3" s="1"/>
  <c r="P207" i="3" s="1"/>
  <c r="X207" i="3" s="1"/>
  <c r="Y207" i="3" s="1"/>
  <c r="T148" i="3"/>
  <c r="U148" i="3" s="1"/>
  <c r="V148" i="3" s="1"/>
  <c r="AB148" i="3" s="1"/>
  <c r="AD148" i="3" s="1"/>
  <c r="T102" i="3"/>
  <c r="U102" i="3" s="1"/>
  <c r="V102" i="3" s="1"/>
  <c r="AB102" i="3" s="1"/>
  <c r="AC102" i="3" s="1"/>
  <c r="T247" i="3"/>
  <c r="U247" i="3" s="1"/>
  <c r="V247" i="3" s="1"/>
  <c r="AB247" i="3" s="1"/>
  <c r="AF247" i="3" s="1"/>
  <c r="N73" i="3"/>
  <c r="O73" i="3" s="1"/>
  <c r="P73" i="3" s="1"/>
  <c r="X73" i="3" s="1"/>
  <c r="Z73" i="3" s="1"/>
  <c r="T136" i="3"/>
  <c r="U136" i="3" s="1"/>
  <c r="V136" i="3" s="1"/>
  <c r="AB136" i="3" s="1"/>
  <c r="AD136" i="3" s="1"/>
  <c r="T168" i="3"/>
  <c r="U168" i="3" s="1"/>
  <c r="V168" i="3" s="1"/>
  <c r="AB168" i="3" s="1"/>
  <c r="AC168" i="3" s="1"/>
  <c r="T158" i="3"/>
  <c r="U158" i="3" s="1"/>
  <c r="V158" i="3" s="1"/>
  <c r="AB158" i="3" s="1"/>
  <c r="AD158" i="3" s="1"/>
  <c r="T191" i="3"/>
  <c r="U191" i="3" s="1"/>
  <c r="V191" i="3" s="1"/>
  <c r="AB191" i="3" s="1"/>
  <c r="AC191" i="3" s="1"/>
  <c r="N238" i="3"/>
  <c r="O238" i="3" s="1"/>
  <c r="P238" i="3" s="1"/>
  <c r="X238" i="3" s="1"/>
  <c r="Z238" i="3" s="1"/>
  <c r="N177" i="3"/>
  <c r="O177" i="3" s="1"/>
  <c r="P177" i="3" s="1"/>
  <c r="X177" i="3" s="1"/>
  <c r="AF177" i="3" s="1"/>
  <c r="T77" i="3"/>
  <c r="U77" i="3" s="1"/>
  <c r="V77" i="3" s="1"/>
  <c r="AB77" i="3" s="1"/>
  <c r="AC77" i="3" s="1"/>
  <c r="N260" i="3"/>
  <c r="O260" i="3" s="1"/>
  <c r="P260" i="3" s="1"/>
  <c r="X260" i="3" s="1"/>
  <c r="N192" i="3"/>
  <c r="O192" i="3" s="1"/>
  <c r="P192" i="3" s="1"/>
  <c r="X192" i="3" s="1"/>
  <c r="Y192" i="3" s="1"/>
  <c r="N225" i="3"/>
  <c r="O225" i="3" s="1"/>
  <c r="P225" i="3" s="1"/>
  <c r="X225" i="3" s="1"/>
  <c r="N174" i="3"/>
  <c r="O174" i="3" s="1"/>
  <c r="P174" i="3" s="1"/>
  <c r="X174" i="3" s="1"/>
  <c r="Y174" i="3" s="1"/>
  <c r="N204" i="3"/>
  <c r="O204" i="3" s="1"/>
  <c r="P204" i="3" s="1"/>
  <c r="X204" i="3" s="1"/>
  <c r="Z204" i="3" s="1"/>
  <c r="N138" i="3"/>
  <c r="O138" i="3" s="1"/>
  <c r="P138" i="3" s="1"/>
  <c r="X138" i="3" s="1"/>
  <c r="T152" i="3"/>
  <c r="U152" i="3" s="1"/>
  <c r="V152" i="3" s="1"/>
  <c r="AB152" i="3" s="1"/>
  <c r="AD152" i="3" s="1"/>
  <c r="N151" i="3"/>
  <c r="O151" i="3" s="1"/>
  <c r="P151" i="3" s="1"/>
  <c r="X151" i="3" s="1"/>
  <c r="AF151" i="3" s="1"/>
  <c r="N126" i="3"/>
  <c r="O126" i="3" s="1"/>
  <c r="P126" i="3" s="1"/>
  <c r="X126" i="3" s="1"/>
  <c r="AF126" i="3" s="1"/>
  <c r="N163" i="3"/>
  <c r="O163" i="3" s="1"/>
  <c r="P163" i="3" s="1"/>
  <c r="X163" i="3" s="1"/>
  <c r="Y163" i="3" s="1"/>
  <c r="T71" i="3"/>
  <c r="U71" i="3" s="1"/>
  <c r="V71" i="3" s="1"/>
  <c r="AB71" i="3" s="1"/>
  <c r="T195" i="3"/>
  <c r="U195" i="3" s="1"/>
  <c r="V195" i="3" s="1"/>
  <c r="AB195" i="3" s="1"/>
  <c r="AD195" i="3" s="1"/>
  <c r="N90" i="3"/>
  <c r="O90" i="3" s="1"/>
  <c r="P90" i="3" s="1"/>
  <c r="X90" i="3" s="1"/>
  <c r="N132" i="3"/>
  <c r="O132" i="3" s="1"/>
  <c r="P132" i="3" s="1"/>
  <c r="X132" i="3" s="1"/>
  <c r="Z132" i="3" s="1"/>
  <c r="T160" i="3"/>
  <c r="U160" i="3" s="1"/>
  <c r="V160" i="3" s="1"/>
  <c r="AB160" i="3" s="1"/>
  <c r="AD160" i="3" s="1"/>
  <c r="N94" i="3"/>
  <c r="O94" i="3" s="1"/>
  <c r="P94" i="3" s="1"/>
  <c r="X94" i="3" s="1"/>
  <c r="AF94" i="3" s="1"/>
  <c r="T119" i="3"/>
  <c r="U119" i="3" s="1"/>
  <c r="V119" i="3" s="1"/>
  <c r="AB119" i="3" s="1"/>
  <c r="AD119" i="3" s="1"/>
  <c r="T157" i="3"/>
  <c r="U157" i="3" s="1"/>
  <c r="V157" i="3" s="1"/>
  <c r="AB157" i="3" s="1"/>
  <c r="AC157" i="3" s="1"/>
  <c r="N245" i="3"/>
  <c r="O245" i="3" s="1"/>
  <c r="P245" i="3" s="1"/>
  <c r="X245" i="3" s="1"/>
  <c r="AF245" i="3" s="1"/>
  <c r="N154" i="3"/>
  <c r="O154" i="3" s="1"/>
  <c r="P154" i="3" s="1"/>
  <c r="X154" i="3" s="1"/>
  <c r="Z154" i="3" s="1"/>
  <c r="N233" i="3"/>
  <c r="O233" i="3" s="1"/>
  <c r="P233" i="3" s="1"/>
  <c r="X233" i="3" s="1"/>
  <c r="AF233" i="3" s="1"/>
  <c r="N120" i="3"/>
  <c r="O120" i="3" s="1"/>
  <c r="P120" i="3" s="1"/>
  <c r="X120" i="3" s="1"/>
  <c r="Y120" i="3" s="1"/>
  <c r="N83" i="3"/>
  <c r="O83" i="3" s="1"/>
  <c r="P83" i="3" s="1"/>
  <c r="X83" i="3" s="1"/>
  <c r="Y83" i="3" s="1"/>
  <c r="T130" i="3"/>
  <c r="U130" i="3" s="1"/>
  <c r="V130" i="3" s="1"/>
  <c r="AB130" i="3" s="1"/>
  <c r="AC130" i="3" s="1"/>
  <c r="N197" i="3"/>
  <c r="O197" i="3" s="1"/>
  <c r="P197" i="3" s="1"/>
  <c r="X197" i="3" s="1"/>
  <c r="N184" i="3"/>
  <c r="O184" i="3" s="1"/>
  <c r="P184" i="3" s="1"/>
  <c r="X184" i="3" s="1"/>
  <c r="AF184" i="3" s="1"/>
  <c r="T89" i="3"/>
  <c r="U89" i="3" s="1"/>
  <c r="V89" i="3" s="1"/>
  <c r="AB89" i="3" s="1"/>
  <c r="AC89" i="3" s="1"/>
  <c r="T200" i="3"/>
  <c r="U200" i="3" s="1"/>
  <c r="V200" i="3" s="1"/>
  <c r="AB200" i="3" s="1"/>
  <c r="AC200" i="3" s="1"/>
  <c r="T133" i="3"/>
  <c r="U133" i="3" s="1"/>
  <c r="V133" i="3" s="1"/>
  <c r="AB133" i="3" s="1"/>
  <c r="AD133" i="3" s="1"/>
  <c r="N64" i="3"/>
  <c r="O64" i="3" s="1"/>
  <c r="P64" i="3" s="1"/>
  <c r="X64" i="3" s="1"/>
  <c r="T206" i="3"/>
  <c r="U206" i="3" s="1"/>
  <c r="V206" i="3" s="1"/>
  <c r="AB206" i="3" s="1"/>
  <c r="AD206" i="3" s="1"/>
  <c r="N91" i="3"/>
  <c r="O91" i="3" s="1"/>
  <c r="P91" i="3" s="1"/>
  <c r="X91" i="3" s="1"/>
  <c r="Z91" i="3" s="1"/>
  <c r="T156" i="3"/>
  <c r="U156" i="3" s="1"/>
  <c r="V156" i="3" s="1"/>
  <c r="AB156" i="3" s="1"/>
  <c r="AC156" i="3" s="1"/>
  <c r="T185" i="3"/>
  <c r="U185" i="3" s="1"/>
  <c r="V185" i="3" s="1"/>
  <c r="AB185" i="3" s="1"/>
  <c r="AC185" i="3" s="1"/>
  <c r="N115" i="3"/>
  <c r="O115" i="3" s="1"/>
  <c r="P115" i="3" s="1"/>
  <c r="X115" i="3" s="1"/>
  <c r="Y115" i="3" s="1"/>
  <c r="T229" i="3"/>
  <c r="U229" i="3" s="1"/>
  <c r="V229" i="3" s="1"/>
  <c r="AB229" i="3" s="1"/>
  <c r="AD229" i="3" s="1"/>
  <c r="N118" i="3"/>
  <c r="O118" i="3" s="1"/>
  <c r="P118" i="3" s="1"/>
  <c r="X118" i="3" s="1"/>
  <c r="Y118" i="3" s="1"/>
  <c r="T255" i="3"/>
  <c r="U255" i="3" s="1"/>
  <c r="V255" i="3" s="1"/>
  <c r="AB255" i="3" s="1"/>
  <c r="AC255" i="3" s="1"/>
  <c r="T144" i="3"/>
  <c r="U144" i="3" s="1"/>
  <c r="V144" i="3" s="1"/>
  <c r="AB144" i="3" s="1"/>
  <c r="AC144" i="3" s="1"/>
  <c r="N76" i="3"/>
  <c r="O76" i="3" s="1"/>
  <c r="P76" i="3" s="1"/>
  <c r="X76" i="3" s="1"/>
  <c r="Y76" i="3" s="1"/>
  <c r="N67" i="3"/>
  <c r="O67" i="3" s="1"/>
  <c r="P67" i="3" s="1"/>
  <c r="X67" i="3" s="1"/>
  <c r="T69" i="3"/>
  <c r="U69" i="3" s="1"/>
  <c r="V69" i="3" s="1"/>
  <c r="AB69" i="3" s="1"/>
  <c r="AC69" i="3" s="1"/>
  <c r="T175" i="3"/>
  <c r="U175" i="3" s="1"/>
  <c r="V175" i="3" s="1"/>
  <c r="AB175" i="3" s="1"/>
  <c r="AC175" i="3" s="1"/>
  <c r="T241" i="3"/>
  <c r="U241" i="3" s="1"/>
  <c r="V241" i="3" s="1"/>
  <c r="AB241" i="3" s="1"/>
  <c r="AC241" i="3" s="1"/>
  <c r="T125" i="3"/>
  <c r="U125" i="3" s="1"/>
  <c r="V125" i="3" s="1"/>
  <c r="AB125" i="3" s="1"/>
  <c r="AD125" i="3" s="1"/>
  <c r="N98" i="3"/>
  <c r="O98" i="3" s="1"/>
  <c r="P98" i="3" s="1"/>
  <c r="X98" i="3" s="1"/>
  <c r="Y98" i="3" s="1"/>
  <c r="T246" i="3"/>
  <c r="U246" i="3" s="1"/>
  <c r="V246" i="3" s="1"/>
  <c r="AZ246" i="3" s="1"/>
  <c r="T240" i="3"/>
  <c r="U240" i="3" s="1"/>
  <c r="V240" i="3" s="1"/>
  <c r="AB240" i="3" s="1"/>
  <c r="AC240" i="3" s="1"/>
  <c r="N147" i="3"/>
  <c r="O147" i="3" s="1"/>
  <c r="P147" i="3" s="1"/>
  <c r="X147" i="3" s="1"/>
  <c r="AF147" i="3" s="1"/>
  <c r="AG147" i="3" s="1"/>
  <c r="N254" i="3"/>
  <c r="O254" i="3" s="1"/>
  <c r="P254" i="3" s="1"/>
  <c r="X254" i="3" s="1"/>
  <c r="Z254" i="3" s="1"/>
  <c r="N127" i="3"/>
  <c r="O127" i="3" s="1"/>
  <c r="P127" i="3" s="1"/>
  <c r="X127" i="3" s="1"/>
  <c r="Z127" i="3" s="1"/>
  <c r="N137" i="3"/>
  <c r="O137" i="3" s="1"/>
  <c r="P137" i="3" s="1"/>
  <c r="X137" i="3" s="1"/>
  <c r="Y137" i="3" s="1"/>
  <c r="N149" i="3"/>
  <c r="O149" i="3" s="1"/>
  <c r="P149" i="3" s="1"/>
  <c r="X149" i="3" s="1"/>
  <c r="Z149" i="3" s="1"/>
  <c r="T106" i="3"/>
  <c r="U106" i="3" s="1"/>
  <c r="V106" i="3" s="1"/>
  <c r="AB106" i="3" s="1"/>
  <c r="AD106" i="3" s="1"/>
  <c r="N242" i="3"/>
  <c r="O242" i="3" s="1"/>
  <c r="P242" i="3" s="1"/>
  <c r="X242" i="3" s="1"/>
  <c r="T165" i="3"/>
  <c r="U165" i="3" s="1"/>
  <c r="V165" i="3" s="1"/>
  <c r="AB165" i="3" s="1"/>
  <c r="AC165" i="3" s="1"/>
  <c r="N143" i="3"/>
  <c r="O143" i="3" s="1"/>
  <c r="P143" i="3" s="1"/>
  <c r="X143" i="3" s="1"/>
  <c r="AF143" i="3" s="1"/>
  <c r="T201" i="3"/>
  <c r="U201" i="3" s="1"/>
  <c r="V201" i="3" s="1"/>
  <c r="AB201" i="3" s="1"/>
  <c r="AD201" i="3" s="1"/>
  <c r="N93" i="3"/>
  <c r="O93" i="3" s="1"/>
  <c r="P93" i="3" s="1"/>
  <c r="X93" i="3" s="1"/>
  <c r="Z93" i="3" s="1"/>
  <c r="N249" i="3"/>
  <c r="O249" i="3" s="1"/>
  <c r="P249" i="3" s="1"/>
  <c r="X249" i="3" s="1"/>
  <c r="Y249" i="3" s="1"/>
  <c r="N224" i="3"/>
  <c r="O224" i="3" s="1"/>
  <c r="P224" i="3" s="1"/>
  <c r="X224" i="3" s="1"/>
  <c r="Y224" i="3" s="1"/>
  <c r="T105" i="3"/>
  <c r="U105" i="3" s="1"/>
  <c r="V105" i="3" s="1"/>
  <c r="AB105" i="3" s="1"/>
  <c r="AC105" i="3" s="1"/>
  <c r="N231" i="3"/>
  <c r="O231" i="3" s="1"/>
  <c r="P231" i="3" s="1"/>
  <c r="X231" i="3" s="1"/>
  <c r="Z231" i="3" s="1"/>
  <c r="T222" i="3"/>
  <c r="U222" i="3" s="1"/>
  <c r="V222" i="3" s="1"/>
  <c r="AB222" i="3" s="1"/>
  <c r="AC222" i="3" s="1"/>
  <c r="N116" i="3"/>
  <c r="O116" i="3" s="1"/>
  <c r="P116" i="3" s="1"/>
  <c r="X116" i="3" s="1"/>
  <c r="AF116" i="3" s="1"/>
  <c r="N236" i="3"/>
  <c r="O236" i="3" s="1"/>
  <c r="P236" i="3" s="1"/>
  <c r="X236" i="3" s="1"/>
  <c r="Y236" i="3" s="1"/>
  <c r="N211" i="3"/>
  <c r="O211" i="3" s="1"/>
  <c r="P211" i="3" s="1"/>
  <c r="X211" i="3" s="1"/>
  <c r="Z211" i="3" s="1"/>
  <c r="T209" i="3"/>
  <c r="U209" i="3" s="1"/>
  <c r="V209" i="3" s="1"/>
  <c r="AB209" i="3" s="1"/>
  <c r="AC209" i="3" s="1"/>
  <c r="T103" i="3"/>
  <c r="U103" i="3" s="1"/>
  <c r="V103" i="3" s="1"/>
  <c r="AB103" i="3" s="1"/>
  <c r="AF103" i="3" s="1"/>
  <c r="AH103" i="3" s="1"/>
  <c r="T112" i="3"/>
  <c r="U112" i="3" s="1"/>
  <c r="V112" i="3" s="1"/>
  <c r="AB112" i="3" s="1"/>
  <c r="AC112" i="3" s="1"/>
  <c r="N212" i="3"/>
  <c r="O212" i="3" s="1"/>
  <c r="P212" i="3" s="1"/>
  <c r="X212" i="3" s="1"/>
  <c r="Z212" i="3" s="1"/>
  <c r="T215" i="3"/>
  <c r="U215" i="3" s="1"/>
  <c r="V215" i="3" s="1"/>
  <c r="AB215" i="3" s="1"/>
  <c r="AD215" i="3" s="1"/>
  <c r="T139" i="3"/>
  <c r="U139" i="3" s="1"/>
  <c r="V139" i="3" s="1"/>
  <c r="AB139" i="3" s="1"/>
  <c r="AC139" i="3" s="1"/>
  <c r="N243" i="3"/>
  <c r="O243" i="3" s="1"/>
  <c r="P243" i="3" s="1"/>
  <c r="X243" i="3" s="1"/>
  <c r="Z243" i="3" s="1"/>
  <c r="N97" i="3"/>
  <c r="O97" i="3" s="1"/>
  <c r="P97" i="3" s="1"/>
  <c r="X97" i="3" s="1"/>
  <c r="T181" i="3"/>
  <c r="U181" i="3" s="1"/>
  <c r="V181" i="3" s="1"/>
  <c r="AB181" i="3" s="1"/>
  <c r="AD181" i="3" s="1"/>
  <c r="T250" i="3"/>
  <c r="U250" i="3" s="1"/>
  <c r="V250" i="3" s="1"/>
  <c r="AB250" i="3" s="1"/>
  <c r="AD250" i="3" s="1"/>
  <c r="T164" i="3"/>
  <c r="U164" i="3" s="1"/>
  <c r="V164" i="3" s="1"/>
  <c r="AB164" i="3" s="1"/>
  <c r="AD164" i="3" s="1"/>
  <c r="N251" i="3"/>
  <c r="O251" i="3" s="1"/>
  <c r="P251" i="3" s="1"/>
  <c r="X251" i="3" s="1"/>
  <c r="Y251" i="3" s="1"/>
  <c r="N153" i="3"/>
  <c r="O153" i="3" s="1"/>
  <c r="P153" i="3" s="1"/>
  <c r="X153" i="3" s="1"/>
  <c r="Y153" i="3" s="1"/>
  <c r="N244" i="3"/>
  <c r="O244" i="3" s="1"/>
  <c r="P244" i="3" s="1"/>
  <c r="X244" i="3" s="1"/>
  <c r="Z244" i="3" s="1"/>
  <c r="N194" i="3"/>
  <c r="O194" i="3" s="1"/>
  <c r="P194" i="3" s="1"/>
  <c r="X194" i="3" s="1"/>
  <c r="Z194" i="3" s="1"/>
  <c r="N124" i="3"/>
  <c r="O124" i="3" s="1"/>
  <c r="P124" i="3" s="1"/>
  <c r="X124" i="3" s="1"/>
  <c r="Z124" i="3" s="1"/>
  <c r="N111" i="3"/>
  <c r="O111" i="3" s="1"/>
  <c r="P111" i="3" s="1"/>
  <c r="X111" i="3" s="1"/>
  <c r="Y111" i="3" s="1"/>
  <c r="T70" i="3"/>
  <c r="U70" i="3" s="1"/>
  <c r="V70" i="3" s="1"/>
  <c r="AB70" i="3" s="1"/>
  <c r="AD70" i="3" s="1"/>
  <c r="N81" i="3"/>
  <c r="O81" i="3" s="1"/>
  <c r="P81" i="3" s="1"/>
  <c r="X81" i="3" s="1"/>
  <c r="Z81" i="3" s="1"/>
  <c r="N140" i="3"/>
  <c r="O140" i="3" s="1"/>
  <c r="P140" i="3" s="1"/>
  <c r="X140" i="3" s="1"/>
  <c r="Z140" i="3" s="1"/>
  <c r="T68" i="3"/>
  <c r="N176" i="3"/>
  <c r="O176" i="3" s="1"/>
  <c r="P176" i="3" s="1"/>
  <c r="X176" i="3" s="1"/>
  <c r="T235" i="3"/>
  <c r="U235" i="3" s="1"/>
  <c r="V235" i="3" s="1"/>
  <c r="AB235" i="3" s="1"/>
  <c r="AC235" i="3" s="1"/>
  <c r="T146" i="3"/>
  <c r="U146" i="3" s="1"/>
  <c r="V146" i="3" s="1"/>
  <c r="AB146" i="3" s="1"/>
  <c r="AD146" i="3" s="1"/>
  <c r="T259" i="3"/>
  <c r="U259" i="3" s="1"/>
  <c r="V259" i="3" s="1"/>
  <c r="AB259" i="3" s="1"/>
  <c r="AC259" i="3" s="1"/>
  <c r="T129" i="3"/>
  <c r="U129" i="3" s="1"/>
  <c r="V129" i="3" s="1"/>
  <c r="AB129" i="3" s="1"/>
  <c r="AD129" i="3" s="1"/>
  <c r="N161" i="3"/>
  <c r="O161" i="3" s="1"/>
  <c r="P161" i="3" s="1"/>
  <c r="X161" i="3" s="1"/>
  <c r="AF161" i="3" s="1"/>
  <c r="T104" i="3"/>
  <c r="U104" i="3" s="1"/>
  <c r="V104" i="3" s="1"/>
  <c r="AB104" i="3" s="1"/>
  <c r="AC104" i="3" s="1"/>
  <c r="N193" i="3"/>
  <c r="O193" i="3" s="1"/>
  <c r="P193" i="3" s="1"/>
  <c r="X193" i="3" s="1"/>
  <c r="Y193" i="3" s="1"/>
  <c r="N159" i="3"/>
  <c r="O159" i="3" s="1"/>
  <c r="P159" i="3" s="1"/>
  <c r="X159" i="3" s="1"/>
  <c r="Y159" i="3" s="1"/>
  <c r="T239" i="3"/>
  <c r="U239" i="3" s="1"/>
  <c r="V239" i="3" s="1"/>
  <c r="AB239" i="3" s="1"/>
  <c r="AC239" i="3" s="1"/>
  <c r="T219" i="3"/>
  <c r="U219" i="3" s="1"/>
  <c r="V219" i="3" s="1"/>
  <c r="AB219" i="3" s="1"/>
  <c r="AC219" i="3" s="1"/>
  <c r="T100" i="3"/>
  <c r="U100" i="3" s="1"/>
  <c r="V100" i="3" s="1"/>
  <c r="AB100" i="3" s="1"/>
  <c r="AD100" i="3" s="1"/>
  <c r="T196" i="3"/>
  <c r="U196" i="3" s="1"/>
  <c r="V196" i="3" s="1"/>
  <c r="AB196" i="3" s="1"/>
  <c r="AC196" i="3" s="1"/>
  <c r="T258" i="3"/>
  <c r="U258" i="3" s="1"/>
  <c r="V258" i="3" s="1"/>
  <c r="AB258" i="3" s="1"/>
  <c r="AD258" i="3" s="1"/>
  <c r="N121" i="3"/>
  <c r="O121" i="3" s="1"/>
  <c r="P121" i="3" s="1"/>
  <c r="X121" i="3" s="1"/>
  <c r="Z121" i="3" s="1"/>
  <c r="T75" i="3"/>
  <c r="U75" i="3" s="1"/>
  <c r="V75" i="3" s="1"/>
  <c r="AB75" i="3" s="1"/>
  <c r="N178" i="3"/>
  <c r="O178" i="3" s="1"/>
  <c r="P178" i="3" s="1"/>
  <c r="X178" i="3" s="1"/>
  <c r="AF178" i="3" s="1"/>
  <c r="N213" i="3"/>
  <c r="O213" i="3" s="1"/>
  <c r="P213" i="3" s="1"/>
  <c r="X213" i="3" s="1"/>
  <c r="Y213" i="3" s="1"/>
  <c r="N252" i="3"/>
  <c r="O252" i="3" s="1"/>
  <c r="P252" i="3" s="1"/>
  <c r="X252" i="3" s="1"/>
  <c r="Y252" i="3" s="1"/>
  <c r="T187" i="3"/>
  <c r="U187" i="3" s="1"/>
  <c r="V187" i="3" s="1"/>
  <c r="AB187" i="3" s="1"/>
  <c r="AC187" i="3" s="1"/>
  <c r="T72" i="3"/>
  <c r="U72" i="3" s="1"/>
  <c r="V72" i="3" s="1"/>
  <c r="AB72" i="3" s="1"/>
  <c r="AD72" i="3" s="1"/>
  <c r="T217" i="3"/>
  <c r="U217" i="3" s="1"/>
  <c r="V217" i="3" s="1"/>
  <c r="AB217" i="3" s="1"/>
  <c r="AD217" i="3" s="1"/>
  <c r="T150" i="3"/>
  <c r="U150" i="3" s="1"/>
  <c r="V150" i="3" s="1"/>
  <c r="AB150" i="3" s="1"/>
  <c r="AC150" i="3" s="1"/>
  <c r="N220" i="3"/>
  <c r="O220" i="3" s="1"/>
  <c r="P220" i="3" s="1"/>
  <c r="X220" i="3" s="1"/>
  <c r="Y220" i="3" s="1"/>
  <c r="N189" i="3"/>
  <c r="O189" i="3" s="1"/>
  <c r="P189" i="3" s="1"/>
  <c r="X189" i="3" s="1"/>
  <c r="Z189" i="3" s="1"/>
  <c r="T264" i="3"/>
  <c r="U264" i="3" s="1"/>
  <c r="V264" i="3" s="1"/>
  <c r="AB264" i="3" s="1"/>
  <c r="AC264" i="3" s="1"/>
  <c r="T198" i="3"/>
  <c r="U198" i="3" s="1"/>
  <c r="V198" i="3" s="1"/>
  <c r="AB198" i="3" s="1"/>
  <c r="AC198" i="3" s="1"/>
  <c r="T228" i="3"/>
  <c r="U228" i="3" s="1"/>
  <c r="V228" i="3" s="1"/>
  <c r="AB228" i="3" s="1"/>
  <c r="AC228" i="3" s="1"/>
  <c r="AW264" i="3"/>
  <c r="AY264" i="3" s="1"/>
  <c r="T262" i="3"/>
  <c r="U262" i="3" s="1"/>
  <c r="V262" i="3" s="1"/>
  <c r="AB262" i="3" s="1"/>
  <c r="AD262" i="3" s="1"/>
  <c r="T87" i="3"/>
  <c r="U87" i="3" s="1"/>
  <c r="V87" i="3" s="1"/>
  <c r="AB87" i="3" s="1"/>
  <c r="T101" i="3"/>
  <c r="U101" i="3" s="1"/>
  <c r="V101" i="3" s="1"/>
  <c r="AB101" i="3" s="1"/>
  <c r="AD101" i="3" s="1"/>
  <c r="N221" i="3"/>
  <c r="O221" i="3" s="1"/>
  <c r="P221" i="3" s="1"/>
  <c r="X221" i="3" s="1"/>
  <c r="N131" i="3"/>
  <c r="O131" i="3" s="1"/>
  <c r="P131" i="3" s="1"/>
  <c r="X131" i="3" s="1"/>
  <c r="Y131" i="3" s="1"/>
  <c r="T80" i="3"/>
  <c r="U80" i="3" s="1"/>
  <c r="V80" i="3" s="1"/>
  <c r="AB80" i="3" s="1"/>
  <c r="AC80" i="3" s="1"/>
  <c r="H158" i="3"/>
  <c r="X253" i="3"/>
  <c r="Z253" i="3" s="1"/>
  <c r="X72" i="3"/>
  <c r="Y72" i="3" s="1"/>
  <c r="X158" i="3"/>
  <c r="Z158" i="3" s="1"/>
  <c r="AW139" i="3"/>
  <c r="AX139" i="3" s="1"/>
  <c r="T96" i="3"/>
  <c r="U96" i="3" s="1"/>
  <c r="V96" i="3" s="1"/>
  <c r="AB96" i="3" s="1"/>
  <c r="AD96" i="3" s="1"/>
  <c r="N96" i="3"/>
  <c r="O96" i="3" s="1"/>
  <c r="P96" i="3" s="1"/>
  <c r="X96" i="3" s="1"/>
  <c r="T186" i="3"/>
  <c r="U186" i="3" s="1"/>
  <c r="V186" i="3" s="1"/>
  <c r="AB186" i="3" s="1"/>
  <c r="AD186" i="3" s="1"/>
  <c r="T199" i="3"/>
  <c r="U199" i="3" s="1"/>
  <c r="V199" i="3" s="1"/>
  <c r="AB199" i="3" s="1"/>
  <c r="AC199" i="3" s="1"/>
  <c r="T85" i="3"/>
  <c r="U85" i="3" s="1"/>
  <c r="V85" i="3" s="1"/>
  <c r="AB85" i="3" s="1"/>
  <c r="AD85" i="3" s="1"/>
  <c r="N173" i="3"/>
  <c r="O173" i="3" s="1"/>
  <c r="P173" i="3" s="1"/>
  <c r="X173" i="3" s="1"/>
  <c r="Z173" i="3" s="1"/>
  <c r="T142" i="3"/>
  <c r="U142" i="3" s="1"/>
  <c r="V142" i="3" s="1"/>
  <c r="AB142" i="3" s="1"/>
  <c r="AC142" i="3" s="1"/>
  <c r="N218" i="3"/>
  <c r="O218" i="3" s="1"/>
  <c r="P218" i="3" s="1"/>
  <c r="X218" i="3" s="1"/>
  <c r="Y218" i="3" s="1"/>
  <c r="N170" i="3"/>
  <c r="O170" i="3" s="1"/>
  <c r="P170" i="3" s="1"/>
  <c r="X170" i="3" s="1"/>
  <c r="AF170" i="3" s="1"/>
  <c r="T86" i="3"/>
  <c r="U86" i="3" s="1"/>
  <c r="V86" i="3" s="1"/>
  <c r="AB86" i="3" s="1"/>
  <c r="AC86" i="3" s="1"/>
  <c r="N166" i="3"/>
  <c r="O166" i="3" s="1"/>
  <c r="P166" i="3" s="1"/>
  <c r="X166" i="3" s="1"/>
  <c r="AF166" i="3" s="1"/>
  <c r="T226" i="3"/>
  <c r="U226" i="3" s="1"/>
  <c r="V226" i="3" s="1"/>
  <c r="AB226" i="3" s="1"/>
  <c r="AC226" i="3" s="1"/>
  <c r="T188" i="3"/>
  <c r="U188" i="3" s="1"/>
  <c r="V188" i="3" s="1"/>
  <c r="AB188" i="3" s="1"/>
  <c r="AD188" i="3" s="1"/>
  <c r="N128" i="3"/>
  <c r="O128" i="3" s="1"/>
  <c r="P128" i="3" s="1"/>
  <c r="X128" i="3" s="1"/>
  <c r="AF128" i="3" s="1"/>
  <c r="N205" i="3"/>
  <c r="O205" i="3" s="1"/>
  <c r="P205" i="3" s="1"/>
  <c r="X205" i="3" s="1"/>
  <c r="Y205" i="3" s="1"/>
  <c r="T253" i="3"/>
  <c r="U253" i="3" s="1"/>
  <c r="V253" i="3" s="1"/>
  <c r="AB253" i="3" s="1"/>
  <c r="N107" i="3"/>
  <c r="O107" i="3" s="1"/>
  <c r="P107" i="3" s="1"/>
  <c r="X107" i="3" s="1"/>
  <c r="Z107" i="3" s="1"/>
  <c r="N167" i="3"/>
  <c r="O167" i="3" s="1"/>
  <c r="P167" i="3" s="1"/>
  <c r="X167" i="3" s="1"/>
  <c r="Y167" i="3" s="1"/>
  <c r="T230" i="3"/>
  <c r="U230" i="3" s="1"/>
  <c r="V230" i="3" s="1"/>
  <c r="AB230" i="3" s="1"/>
  <c r="AD230" i="3" s="1"/>
  <c r="T183" i="3"/>
  <c r="U183" i="3" s="1"/>
  <c r="V183" i="3" s="1"/>
  <c r="AB183" i="3" s="1"/>
  <c r="AC183" i="3" s="1"/>
  <c r="N134" i="3"/>
  <c r="O134" i="3" s="1"/>
  <c r="P134" i="3" s="1"/>
  <c r="X134" i="3" s="1"/>
  <c r="Z134" i="3" s="1"/>
  <c r="N234" i="3"/>
  <c r="O234" i="3" s="1"/>
  <c r="P234" i="3" s="1"/>
  <c r="X234" i="3" s="1"/>
  <c r="Y234" i="3" s="1"/>
  <c r="T92" i="3"/>
  <c r="U92" i="3" s="1"/>
  <c r="V92" i="3" s="1"/>
  <c r="AB92" i="3" s="1"/>
  <c r="AC92" i="3" s="1"/>
  <c r="N180" i="3"/>
  <c r="O180" i="3" s="1"/>
  <c r="P180" i="3" s="1"/>
  <c r="X180" i="3" s="1"/>
  <c r="Z180" i="3" s="1"/>
  <c r="N88" i="3"/>
  <c r="O88" i="3" s="1"/>
  <c r="P88" i="3" s="1"/>
  <c r="X88" i="3" s="1"/>
  <c r="Y88" i="3" s="1"/>
  <c r="N210" i="3"/>
  <c r="O210" i="3" s="1"/>
  <c r="P210" i="3" s="1"/>
  <c r="X210" i="3" s="1"/>
  <c r="AF210" i="3" s="1"/>
  <c r="T169" i="3"/>
  <c r="U169" i="3" s="1"/>
  <c r="V169" i="3" s="1"/>
  <c r="AB169" i="3" s="1"/>
  <c r="AC169" i="3" s="1"/>
  <c r="N113" i="3"/>
  <c r="O113" i="3" s="1"/>
  <c r="P113" i="3" s="1"/>
  <c r="X113" i="3" s="1"/>
  <c r="Y113" i="3" s="1"/>
  <c r="N216" i="3"/>
  <c r="O216" i="3" s="1"/>
  <c r="P216" i="3" s="1"/>
  <c r="X216" i="3" s="1"/>
  <c r="Z216" i="3" s="1"/>
  <c r="N123" i="3"/>
  <c r="O123" i="3" s="1"/>
  <c r="P123" i="3" s="1"/>
  <c r="X123" i="3" s="1"/>
  <c r="Y123" i="3" s="1"/>
  <c r="N223" i="3"/>
  <c r="O223" i="3" s="1"/>
  <c r="P223" i="3" s="1"/>
  <c r="X223" i="3" s="1"/>
  <c r="Z223" i="3" s="1"/>
  <c r="N155" i="3"/>
  <c r="O155" i="3" s="1"/>
  <c r="P155" i="3" s="1"/>
  <c r="X155" i="3" s="1"/>
  <c r="Y155" i="3" s="1"/>
  <c r="T114" i="3"/>
  <c r="U114" i="3" s="1"/>
  <c r="V114" i="3" s="1"/>
  <c r="AB114" i="3" s="1"/>
  <c r="AD114" i="3" s="1"/>
  <c r="T145" i="3"/>
  <c r="U145" i="3" s="1"/>
  <c r="V145" i="3" s="1"/>
  <c r="AB145" i="3" s="1"/>
  <c r="AC145" i="3" s="1"/>
  <c r="N190" i="3"/>
  <c r="O190" i="3" s="1"/>
  <c r="P190" i="3" s="1"/>
  <c r="X190" i="3" s="1"/>
  <c r="Y190" i="3" s="1"/>
  <c r="N108" i="3"/>
  <c r="O108" i="3" s="1"/>
  <c r="P108" i="3" s="1"/>
  <c r="X108" i="3" s="1"/>
  <c r="AF108" i="3" s="1"/>
  <c r="N227" i="3"/>
  <c r="O227" i="3" s="1"/>
  <c r="P227" i="3" s="1"/>
  <c r="X227" i="3" s="1"/>
  <c r="AF227" i="3" s="1"/>
  <c r="N84" i="3"/>
  <c r="O84" i="3" s="1"/>
  <c r="P84" i="3" s="1"/>
  <c r="X84" i="3" s="1"/>
  <c r="Y84" i="3" s="1"/>
  <c r="T257" i="3"/>
  <c r="U257" i="3" s="1"/>
  <c r="V257" i="3" s="1"/>
  <c r="AB257" i="3" s="1"/>
  <c r="AC257" i="3" s="1"/>
  <c r="N172" i="3"/>
  <c r="O172" i="3" s="1"/>
  <c r="P172" i="3" s="1"/>
  <c r="X172" i="3" s="1"/>
  <c r="AF172" i="3" s="1"/>
  <c r="AW73" i="3"/>
  <c r="AY73" i="3" s="1"/>
  <c r="AW231" i="3"/>
  <c r="AY231" i="3" s="1"/>
  <c r="AW252" i="3"/>
  <c r="AY252" i="3" s="1"/>
  <c r="AW134" i="3"/>
  <c r="AX134" i="3" s="1"/>
  <c r="G171" i="3"/>
  <c r="H207" i="3"/>
  <c r="G192" i="3"/>
  <c r="AW224" i="3"/>
  <c r="AZ224" i="3" s="1"/>
  <c r="AW241" i="3"/>
  <c r="AX241" i="3" s="1"/>
  <c r="F42" i="1"/>
  <c r="F41" i="1" s="1"/>
  <c r="G41" i="1" s="1"/>
  <c r="AW87" i="3"/>
  <c r="AX87" i="3" s="1"/>
  <c r="AW220" i="3"/>
  <c r="AZ220" i="3" s="1"/>
  <c r="AW77" i="3"/>
  <c r="AY77" i="3" s="1"/>
  <c r="AW168" i="3"/>
  <c r="AY168" i="3" s="1"/>
  <c r="AW118" i="3"/>
  <c r="AX118" i="3" s="1"/>
  <c r="AW191" i="3"/>
  <c r="AW150" i="3"/>
  <c r="AY150" i="3" s="1"/>
  <c r="AW94" i="3"/>
  <c r="AX94" i="3" s="1"/>
  <c r="AW251" i="3"/>
  <c r="AZ251" i="3" s="1"/>
  <c r="AW105" i="3"/>
  <c r="AW117" i="3"/>
  <c r="AY117" i="3" s="1"/>
  <c r="AW239" i="3"/>
  <c r="AX239" i="3" s="1"/>
  <c r="AW98" i="3"/>
  <c r="AZ98" i="3" s="1"/>
  <c r="AW173" i="3"/>
  <c r="AY173" i="3" s="1"/>
  <c r="AW229" i="3"/>
  <c r="AW89" i="3"/>
  <c r="AY89" i="3" s="1"/>
  <c r="AW196" i="3"/>
  <c r="AX196" i="3" s="1"/>
  <c r="AW72" i="3"/>
  <c r="AX72" i="3" s="1"/>
  <c r="AW181" i="3"/>
  <c r="AY181" i="3" s="1"/>
  <c r="AW163" i="3"/>
  <c r="AX163" i="3" s="1"/>
  <c r="AW204" i="3"/>
  <c r="AX204" i="3" s="1"/>
  <c r="AW157" i="3"/>
  <c r="AW76" i="3"/>
  <c r="AY76" i="3" s="1"/>
  <c r="AW175" i="3"/>
  <c r="AX175" i="3" s="1"/>
  <c r="AW209" i="3"/>
  <c r="AY209" i="3" s="1"/>
  <c r="AW261" i="3"/>
  <c r="AX261" i="3" s="1"/>
  <c r="AW142" i="3"/>
  <c r="AY142" i="3" s="1"/>
  <c r="AW93" i="3"/>
  <c r="AX93" i="3" s="1"/>
  <c r="AW66" i="3"/>
  <c r="AW244" i="3"/>
  <c r="AX244" i="3" s="1"/>
  <c r="AW113" i="3"/>
  <c r="AY113" i="3" s="1"/>
  <c r="AW211" i="3"/>
  <c r="AY211" i="3" s="1"/>
  <c r="AW243" i="3"/>
  <c r="AY243" i="3" s="1"/>
  <c r="AW208" i="3"/>
  <c r="AZ208" i="3" s="1"/>
  <c r="BA208" i="3" s="1"/>
  <c r="AW107" i="3"/>
  <c r="AX107" i="3" s="1"/>
  <c r="AW158" i="3"/>
  <c r="AW174" i="3"/>
  <c r="AY174" i="3" s="1"/>
  <c r="AW171" i="3"/>
  <c r="AX171" i="3" s="1"/>
  <c r="AW141" i="3"/>
  <c r="AX141" i="3" s="1"/>
  <c r="AW165" i="3"/>
  <c r="AY165" i="3" s="1"/>
  <c r="AW221" i="3"/>
  <c r="AX221" i="3" s="1"/>
  <c r="AW91" i="3"/>
  <c r="AX91" i="3" s="1"/>
  <c r="AW260" i="3"/>
  <c r="AY260" i="3" s="1"/>
  <c r="G189" i="3"/>
  <c r="G208" i="3"/>
  <c r="X219" i="3"/>
  <c r="Z219" i="3" s="1"/>
  <c r="AW178" i="3"/>
  <c r="AZ178" i="3" s="1"/>
  <c r="AW256" i="3"/>
  <c r="AX256" i="3" s="1"/>
  <c r="AW185" i="3"/>
  <c r="AX185" i="3" s="1"/>
  <c r="AW122" i="3"/>
  <c r="AX122" i="3" s="1"/>
  <c r="AW112" i="3"/>
  <c r="AY112" i="3" s="1"/>
  <c r="AW182" i="3"/>
  <c r="AY182" i="3" s="1"/>
  <c r="AW218" i="3"/>
  <c r="AX218" i="3" s="1"/>
  <c r="AW198" i="3"/>
  <c r="AY198" i="3" s="1"/>
  <c r="AW189" i="3"/>
  <c r="AX189" i="3" s="1"/>
  <c r="AW202" i="3"/>
  <c r="AY202" i="3" s="1"/>
  <c r="AW172" i="3"/>
  <c r="AX172" i="3" s="1"/>
  <c r="AW179" i="3"/>
  <c r="AY179" i="3" s="1"/>
  <c r="AW114" i="3"/>
  <c r="AX114" i="3" s="1"/>
  <c r="G137" i="3"/>
  <c r="H212" i="3"/>
  <c r="H246" i="3"/>
  <c r="X136" i="3"/>
  <c r="AW262" i="3"/>
  <c r="AX262" i="3" s="1"/>
  <c r="AC248" i="3"/>
  <c r="AX128" i="3"/>
  <c r="AW111" i="3"/>
  <c r="AY111" i="3" s="1"/>
  <c r="AW85" i="3"/>
  <c r="AY216" i="3"/>
  <c r="AW236" i="3"/>
  <c r="AY236" i="3" s="1"/>
  <c r="AW248" i="3"/>
  <c r="AX248" i="3" s="1"/>
  <c r="AW78" i="3"/>
  <c r="AX78" i="3" s="1"/>
  <c r="AW144" i="3"/>
  <c r="AY144" i="3" s="1"/>
  <c r="AW230" i="3"/>
  <c r="AY230" i="3" s="1"/>
  <c r="AW146" i="3"/>
  <c r="AY146" i="3" s="1"/>
  <c r="AW247" i="3"/>
  <c r="AX184" i="3"/>
  <c r="AW70" i="3"/>
  <c r="AY70" i="3" s="1"/>
  <c r="AW234" i="3"/>
  <c r="AY234" i="3" s="1"/>
  <c r="AW126" i="3"/>
  <c r="AY126" i="3" s="1"/>
  <c r="AW79" i="3"/>
  <c r="AZ79" i="3" s="1"/>
  <c r="AW183" i="3"/>
  <c r="AY183" i="3" s="1"/>
  <c r="AW127" i="3"/>
  <c r="AX127" i="3" s="1"/>
  <c r="AW253" i="3"/>
  <c r="AX253" i="3" s="1"/>
  <c r="X200" i="3"/>
  <c r="Z200" i="3" s="1"/>
  <c r="AC197" i="3"/>
  <c r="AD197" i="3"/>
  <c r="AC245" i="3"/>
  <c r="X246" i="3"/>
  <c r="Y246" i="3" s="1"/>
  <c r="H259" i="3"/>
  <c r="H219" i="3"/>
  <c r="H217" i="3"/>
  <c r="H222" i="3"/>
  <c r="G64" i="3"/>
  <c r="H201" i="3"/>
  <c r="AC171" i="3"/>
  <c r="G152" i="3"/>
  <c r="X222" i="3"/>
  <c r="X160" i="3"/>
  <c r="X201" i="3"/>
  <c r="Y201" i="3" s="1"/>
  <c r="H214" i="3"/>
  <c r="X217" i="3"/>
  <c r="Y217" i="3" s="1"/>
  <c r="Q72" i="2"/>
  <c r="X206" i="3"/>
  <c r="G82" i="3"/>
  <c r="H138" i="3"/>
  <c r="X214" i="3"/>
  <c r="Z214" i="3" s="1"/>
  <c r="H109" i="3"/>
  <c r="AC95" i="3"/>
  <c r="G163" i="3"/>
  <c r="G154" i="3"/>
  <c r="X129" i="3"/>
  <c r="Y129" i="3" s="1"/>
  <c r="X203" i="3"/>
  <c r="Y203" i="3" s="1"/>
  <c r="X82" i="3"/>
  <c r="Y82" i="3" s="1"/>
  <c r="X152" i="3"/>
  <c r="X259" i="3"/>
  <c r="Y259" i="3" s="1"/>
  <c r="H129" i="3"/>
  <c r="AC184" i="3"/>
  <c r="X186" i="3"/>
  <c r="Y186" i="3" s="1"/>
  <c r="AD98" i="3"/>
  <c r="AD90" i="3"/>
  <c r="AD249" i="3"/>
  <c r="AZ184" i="3"/>
  <c r="BA184" i="3" s="1"/>
  <c r="AD134" i="3"/>
  <c r="AD207" i="3"/>
  <c r="AC207" i="3"/>
  <c r="AX246" i="3"/>
  <c r="AY246" i="3"/>
  <c r="AY115" i="3"/>
  <c r="AX115" i="3"/>
  <c r="AX152" i="3"/>
  <c r="AY152" i="3"/>
  <c r="AW95" i="3"/>
  <c r="AC254" i="3"/>
  <c r="G249" i="3"/>
  <c r="G161" i="3"/>
  <c r="H161" i="3"/>
  <c r="AW121" i="3"/>
  <c r="AY121" i="3" s="1"/>
  <c r="AD224" i="3"/>
  <c r="AW210" i="3"/>
  <c r="AX210" i="3" s="1"/>
  <c r="H111" i="3"/>
  <c r="X109" i="3"/>
  <c r="Y109" i="3" s="1"/>
  <c r="AW177" i="3"/>
  <c r="AZ177" i="3" s="1"/>
  <c r="AW187" i="3"/>
  <c r="AW102" i="3"/>
  <c r="AY102" i="3" s="1"/>
  <c r="AW212" i="3"/>
  <c r="AX212" i="3" s="1"/>
  <c r="AW233" i="3"/>
  <c r="AY233" i="3" s="1"/>
  <c r="X145" i="3"/>
  <c r="Z145" i="3" s="1"/>
  <c r="AW227" i="3"/>
  <c r="AX227" i="3" s="1"/>
  <c r="H145" i="3"/>
  <c r="AW194" i="3"/>
  <c r="AY194" i="3" s="1"/>
  <c r="G223" i="3"/>
  <c r="AW64" i="3"/>
  <c r="AZ64" i="3" s="1"/>
  <c r="AD88" i="3"/>
  <c r="AC79" i="3"/>
  <c r="AC180" i="3"/>
  <c r="AD208" i="3"/>
  <c r="AC155" i="3"/>
  <c r="AB216" i="3"/>
  <c r="AZ216" i="3"/>
  <c r="AC149" i="3"/>
  <c r="AC231" i="3"/>
  <c r="X156" i="3"/>
  <c r="Z156" i="3" s="1"/>
  <c r="H236" i="3"/>
  <c r="H202" i="3"/>
  <c r="AC173" i="3"/>
  <c r="AC153" i="3"/>
  <c r="H238" i="3"/>
  <c r="AD234" i="3"/>
  <c r="G175" i="3"/>
  <c r="AC93" i="3"/>
  <c r="H211" i="3"/>
  <c r="H186" i="3"/>
  <c r="AC179" i="3"/>
  <c r="AC243" i="3"/>
  <c r="X171" i="3"/>
  <c r="AF171" i="3" s="1"/>
  <c r="AC263" i="3"/>
  <c r="X228" i="3"/>
  <c r="Y228" i="3" s="1"/>
  <c r="X144" i="3"/>
  <c r="Y144" i="3" s="1"/>
  <c r="X89" i="3"/>
  <c r="Z89" i="3" s="1"/>
  <c r="X175" i="3"/>
  <c r="AD138" i="3"/>
  <c r="AD221" i="3"/>
  <c r="X86" i="3"/>
  <c r="G231" i="3"/>
  <c r="Z92" i="3"/>
  <c r="G88" i="3"/>
  <c r="AC190" i="3"/>
  <c r="AC172" i="3"/>
  <c r="X258" i="3"/>
  <c r="AD225" i="3"/>
  <c r="X119" i="3"/>
  <c r="X183" i="3"/>
  <c r="AC131" i="3"/>
  <c r="X239" i="3"/>
  <c r="Z239" i="3" s="1"/>
  <c r="X99" i="3"/>
  <c r="Z99" i="3" s="1"/>
  <c r="X74" i="3"/>
  <c r="X230" i="3"/>
  <c r="Y230" i="3" s="1"/>
  <c r="X148" i="3"/>
  <c r="Z148" i="3" s="1"/>
  <c r="AD127" i="3"/>
  <c r="X208" i="3"/>
  <c r="AC123" i="3"/>
  <c r="AD116" i="3"/>
  <c r="AC116" i="3"/>
  <c r="AX201" i="3"/>
  <c r="AY201" i="3"/>
  <c r="AY162" i="3"/>
  <c r="AZ162" i="3"/>
  <c r="AX162" i="3"/>
  <c r="AX100" i="3"/>
  <c r="AY100" i="3"/>
  <c r="AZ138" i="3"/>
  <c r="AY138" i="3"/>
  <c r="AX138" i="3"/>
  <c r="AZ197" i="3"/>
  <c r="AY197" i="3"/>
  <c r="AX197" i="3"/>
  <c r="AC81" i="3"/>
  <c r="AD81" i="3"/>
  <c r="AY257" i="3"/>
  <c r="AX257" i="3"/>
  <c r="AD73" i="3"/>
  <c r="AC73" i="3"/>
  <c r="AX240" i="3"/>
  <c r="AY240" i="3"/>
  <c r="AX116" i="3"/>
  <c r="AY116" i="3"/>
  <c r="AZ116" i="3"/>
  <c r="AC94" i="3"/>
  <c r="AD94" i="3"/>
  <c r="AD163" i="3"/>
  <c r="AC163" i="3"/>
  <c r="AX145" i="3"/>
  <c r="AY145" i="3"/>
  <c r="AC97" i="3"/>
  <c r="AD97" i="3"/>
  <c r="AY125" i="3"/>
  <c r="AX125" i="3"/>
  <c r="AC204" i="3"/>
  <c r="AD204" i="3"/>
  <c r="AX104" i="3"/>
  <c r="AY104" i="3"/>
  <c r="AZ154" i="3"/>
  <c r="AY154" i="3"/>
  <c r="AX154" i="3"/>
  <c r="AY160" i="3"/>
  <c r="AX160" i="3"/>
  <c r="AZ140" i="3"/>
  <c r="AY140" i="3"/>
  <c r="AX140" i="3"/>
  <c r="AX103" i="3"/>
  <c r="AY103" i="3"/>
  <c r="AZ132" i="3"/>
  <c r="AX132" i="3"/>
  <c r="AY132" i="3"/>
  <c r="AX99" i="3"/>
  <c r="AY99" i="3"/>
  <c r="Z135" i="3"/>
  <c r="Y135" i="3"/>
  <c r="AY255" i="3"/>
  <c r="AX255" i="3"/>
  <c r="AX169" i="3"/>
  <c r="AY169" i="3"/>
  <c r="AD111" i="3"/>
  <c r="AC111" i="3"/>
  <c r="AY217" i="3"/>
  <c r="AX217" i="3"/>
  <c r="AZ124" i="3"/>
  <c r="AX124" i="3"/>
  <c r="AY124" i="3"/>
  <c r="AY166" i="3"/>
  <c r="AX166" i="3"/>
  <c r="AZ166" i="3"/>
  <c r="AX161" i="3"/>
  <c r="AY161" i="3"/>
  <c r="AZ161" i="3"/>
  <c r="AX130" i="3"/>
  <c r="AY130" i="3"/>
  <c r="AX155" i="3"/>
  <c r="AY155" i="3"/>
  <c r="AZ155" i="3"/>
  <c r="AY148" i="3"/>
  <c r="AX148" i="3"/>
  <c r="AX186" i="3"/>
  <c r="AY186" i="3"/>
  <c r="AX82" i="3"/>
  <c r="AY82" i="3"/>
  <c r="AC170" i="3"/>
  <c r="AD170" i="3"/>
  <c r="AZ84" i="3"/>
  <c r="AX84" i="3"/>
  <c r="AY84" i="3"/>
  <c r="AZ88" i="3"/>
  <c r="AX88" i="3"/>
  <c r="AY88" i="3"/>
  <c r="AB115" i="3"/>
  <c r="AZ115" i="3"/>
  <c r="AY195" i="3"/>
  <c r="AX195" i="3"/>
  <c r="AY193" i="3"/>
  <c r="AX193" i="3"/>
  <c r="AZ193" i="3"/>
  <c r="AX223" i="3"/>
  <c r="AY223" i="3"/>
  <c r="AZ223" i="3"/>
  <c r="AD233" i="3"/>
  <c r="AC233" i="3"/>
  <c r="AY108" i="3"/>
  <c r="AZ108" i="3"/>
  <c r="AX108" i="3"/>
  <c r="AC121" i="3"/>
  <c r="AD121" i="3"/>
  <c r="AC194" i="3"/>
  <c r="AD194" i="3"/>
  <c r="AD124" i="3"/>
  <c r="AC124" i="3"/>
  <c r="AC213" i="3"/>
  <c r="AD213" i="3"/>
  <c r="AB64" i="3"/>
  <c r="AC140" i="3"/>
  <c r="AD140" i="3"/>
  <c r="AD244" i="3"/>
  <c r="AC244" i="3"/>
  <c r="AY215" i="3"/>
  <c r="AX215" i="3"/>
  <c r="AZ213" i="3"/>
  <c r="AY213" i="3"/>
  <c r="AX213" i="3"/>
  <c r="AY222" i="3"/>
  <c r="AX222" i="3"/>
  <c r="AC76" i="3"/>
  <c r="AD76" i="3"/>
  <c r="AZ238" i="3"/>
  <c r="AY238" i="3"/>
  <c r="AX238" i="3"/>
  <c r="AB218" i="3"/>
  <c r="AD167" i="3"/>
  <c r="AC167" i="3"/>
  <c r="AX101" i="3"/>
  <c r="AY101" i="3"/>
  <c r="AX96" i="3"/>
  <c r="AY96" i="3"/>
  <c r="AY200" i="3"/>
  <c r="AX200" i="3"/>
  <c r="AY68" i="3"/>
  <c r="AX68" i="3"/>
  <c r="AX170" i="3"/>
  <c r="AZ170" i="3"/>
  <c r="AY170" i="3"/>
  <c r="AZ90" i="3"/>
  <c r="AX90" i="3"/>
  <c r="AY90" i="3"/>
  <c r="AY123" i="3"/>
  <c r="AX123" i="3"/>
  <c r="AZ123" i="3"/>
  <c r="AZ207" i="3"/>
  <c r="AY207" i="3"/>
  <c r="AX207" i="3"/>
  <c r="AZ249" i="3"/>
  <c r="AY249" i="3"/>
  <c r="AX249" i="3"/>
  <c r="AZ263" i="3"/>
  <c r="AY263" i="3"/>
  <c r="AX263" i="3"/>
  <c r="H65" i="3"/>
  <c r="G65" i="3"/>
  <c r="G102" i="3"/>
  <c r="H102" i="3"/>
  <c r="Y100" i="3"/>
  <c r="Z100" i="3"/>
  <c r="G97" i="3"/>
  <c r="H97" i="3"/>
  <c r="G177" i="3"/>
  <c r="H177" i="3"/>
  <c r="AY67" i="3"/>
  <c r="AX153" i="3"/>
  <c r="AY153" i="3"/>
  <c r="AZ153" i="3"/>
  <c r="Z250" i="3"/>
  <c r="Y250" i="3"/>
  <c r="X102" i="3"/>
  <c r="G176" i="3"/>
  <c r="H176" i="3"/>
  <c r="H72" i="3"/>
  <c r="G72" i="3"/>
  <c r="AW254" i="3"/>
  <c r="AD137" i="3"/>
  <c r="AC137" i="3"/>
  <c r="AD238" i="3"/>
  <c r="AC238" i="3"/>
  <c r="AX159" i="3"/>
  <c r="AY159" i="3"/>
  <c r="AZ159" i="3"/>
  <c r="AY110" i="3"/>
  <c r="AZ110" i="3"/>
  <c r="AX110" i="3"/>
  <c r="X185" i="3"/>
  <c r="AC178" i="3"/>
  <c r="AD178" i="3"/>
  <c r="AW156" i="3"/>
  <c r="AD120" i="3"/>
  <c r="AC120" i="3"/>
  <c r="G157" i="3"/>
  <c r="H157" i="3"/>
  <c r="X157" i="3"/>
  <c r="AX92" i="3"/>
  <c r="AY92" i="3"/>
  <c r="H197" i="3"/>
  <c r="G197" i="3"/>
  <c r="AW226" i="3"/>
  <c r="H112" i="3"/>
  <c r="G112" i="3"/>
  <c r="AC91" i="3"/>
  <c r="AD91" i="3"/>
  <c r="G91" i="3"/>
  <c r="H91" i="3"/>
  <c r="AW206" i="3"/>
  <c r="X105" i="3"/>
  <c r="AC202" i="3"/>
  <c r="AD202" i="3"/>
  <c r="AW74" i="3"/>
  <c r="H213" i="3"/>
  <c r="G213" i="3"/>
  <c r="AW69" i="3"/>
  <c r="G96" i="3"/>
  <c r="H96" i="3"/>
  <c r="AD260" i="3"/>
  <c r="AC260" i="3"/>
  <c r="H156" i="3"/>
  <c r="G156" i="3"/>
  <c r="H110" i="3"/>
  <c r="G110" i="3"/>
  <c r="AD147" i="3"/>
  <c r="AC147" i="3"/>
  <c r="AD193" i="3"/>
  <c r="AC193" i="3"/>
  <c r="AD210" i="3"/>
  <c r="AC210" i="3"/>
  <c r="G153" i="3"/>
  <c r="H153" i="3"/>
  <c r="G221" i="3"/>
  <c r="H221" i="3"/>
  <c r="AW147" i="3"/>
  <c r="AW203" i="3"/>
  <c r="AW259" i="3"/>
  <c r="AX219" i="3"/>
  <c r="AY219" i="3"/>
  <c r="AC107" i="3"/>
  <c r="AD107" i="3"/>
  <c r="AD126" i="3"/>
  <c r="AC126" i="3"/>
  <c r="AD159" i="3"/>
  <c r="AC159" i="3"/>
  <c r="H140" i="3"/>
  <c r="G140" i="3"/>
  <c r="H160" i="3"/>
  <c r="G160" i="3"/>
  <c r="AY232" i="3"/>
  <c r="AX232" i="3"/>
  <c r="AC261" i="3"/>
  <c r="AD261" i="3"/>
  <c r="AD141" i="3"/>
  <c r="AC141" i="3"/>
  <c r="AW106" i="3"/>
  <c r="AW237" i="3"/>
  <c r="AC83" i="3"/>
  <c r="AD83" i="3"/>
  <c r="AX149" i="3"/>
  <c r="AY149" i="3"/>
  <c r="AZ149" i="3"/>
  <c r="AZ205" i="3"/>
  <c r="AY205" i="3"/>
  <c r="AX205" i="3"/>
  <c r="G90" i="3"/>
  <c r="H90" i="3"/>
  <c r="AC192" i="3"/>
  <c r="AD192" i="3"/>
  <c r="AC251" i="3"/>
  <c r="AD251" i="3"/>
  <c r="H257" i="3"/>
  <c r="G257" i="3"/>
  <c r="Z247" i="3"/>
  <c r="Y247" i="3"/>
  <c r="H255" i="3"/>
  <c r="G255" i="3"/>
  <c r="X255" i="3"/>
  <c r="G206" i="3"/>
  <c r="H206" i="3"/>
  <c r="AC108" i="3"/>
  <c r="AD108" i="3"/>
  <c r="G105" i="3"/>
  <c r="H105" i="3"/>
  <c r="G139" i="3"/>
  <c r="H139" i="3"/>
  <c r="X139" i="3"/>
  <c r="AC154" i="3"/>
  <c r="AD154" i="3"/>
  <c r="AC211" i="3"/>
  <c r="AD211" i="3"/>
  <c r="AY133" i="3"/>
  <c r="AX133" i="3"/>
  <c r="AC177" i="3"/>
  <c r="AD177" i="3"/>
  <c r="AF95" i="3"/>
  <c r="Z95" i="3"/>
  <c r="Y95" i="3"/>
  <c r="AC84" i="3"/>
  <c r="AD84" i="3"/>
  <c r="AD212" i="3"/>
  <c r="AC212" i="3"/>
  <c r="AD242" i="3"/>
  <c r="AC242" i="3"/>
  <c r="H74" i="3"/>
  <c r="G74" i="3"/>
  <c r="H239" i="3"/>
  <c r="G239" i="3"/>
  <c r="AC205" i="3"/>
  <c r="AD205" i="3"/>
  <c r="AW225" i="3"/>
  <c r="AD252" i="3"/>
  <c r="AC252" i="3"/>
  <c r="H128" i="3"/>
  <c r="G128" i="3"/>
  <c r="AD174" i="3"/>
  <c r="AC174" i="3"/>
  <c r="H195" i="3"/>
  <c r="G195" i="3"/>
  <c r="X195" i="3"/>
  <c r="H260" i="3"/>
  <c r="G260" i="3"/>
  <c r="G242" i="3"/>
  <c r="H242" i="3"/>
  <c r="AW164" i="3"/>
  <c r="G233" i="3"/>
  <c r="H233" i="3"/>
  <c r="G172" i="3"/>
  <c r="H172" i="3"/>
  <c r="AZ128" i="3"/>
  <c r="H68" i="3"/>
  <c r="G68" i="3"/>
  <c r="AD151" i="3"/>
  <c r="AC151" i="3"/>
  <c r="AD132" i="3"/>
  <c r="AC132" i="3"/>
  <c r="AD143" i="3"/>
  <c r="AC143" i="3"/>
  <c r="G86" i="3"/>
  <c r="H86" i="3"/>
  <c r="G205" i="3"/>
  <c r="H205" i="3"/>
  <c r="AW109" i="3"/>
  <c r="H230" i="3"/>
  <c r="G230" i="3"/>
  <c r="AD227" i="3"/>
  <c r="AC227" i="3"/>
  <c r="H200" i="3"/>
  <c r="G200" i="3"/>
  <c r="G99" i="3"/>
  <c r="H99" i="3"/>
  <c r="AD256" i="3"/>
  <c r="AC256" i="3"/>
  <c r="AC162" i="3"/>
  <c r="AD162" i="3"/>
  <c r="AD128" i="3"/>
  <c r="AC128" i="3"/>
  <c r="AC220" i="3"/>
  <c r="AD220" i="3"/>
  <c r="H185" i="3"/>
  <c r="G185" i="3"/>
  <c r="AX83" i="3"/>
  <c r="AZ83" i="3"/>
  <c r="AY83" i="3"/>
  <c r="AY192" i="3"/>
  <c r="AZ192" i="3"/>
  <c r="AX192" i="3"/>
  <c r="AC203" i="3"/>
  <c r="AD203" i="3"/>
  <c r="AW120" i="3"/>
  <c r="G227" i="3"/>
  <c r="H227" i="3"/>
  <c r="AW258" i="3"/>
  <c r="AC110" i="3"/>
  <c r="AD110" i="3"/>
  <c r="AD237" i="3"/>
  <c r="AC237" i="3"/>
  <c r="AW131" i="3"/>
  <c r="AD113" i="3"/>
  <c r="AC113" i="3"/>
  <c r="H76" i="3"/>
  <c r="G76" i="3"/>
  <c r="AD223" i="3"/>
  <c r="AC223" i="3"/>
  <c r="AD189" i="3"/>
  <c r="AC189" i="3"/>
  <c r="AD236" i="3"/>
  <c r="AC236" i="3"/>
  <c r="AD118" i="3"/>
  <c r="AC118" i="3"/>
  <c r="AD161" i="3"/>
  <c r="AC161" i="3"/>
  <c r="H148" i="3"/>
  <c r="G148" i="3"/>
  <c r="H228" i="3"/>
  <c r="G228" i="3"/>
  <c r="G151" i="3"/>
  <c r="H151" i="3"/>
  <c r="X257" i="3"/>
  <c r="G183" i="3"/>
  <c r="H183" i="3"/>
  <c r="G159" i="3"/>
  <c r="H159" i="3"/>
  <c r="G178" i="3"/>
  <c r="H178" i="3"/>
  <c r="AW143" i="3"/>
  <c r="AC176" i="3"/>
  <c r="AD176" i="3"/>
  <c r="G155" i="3"/>
  <c r="H155" i="3"/>
  <c r="AW75" i="3"/>
  <c r="G225" i="3"/>
  <c r="H225" i="3"/>
  <c r="X112" i="3"/>
  <c r="H119" i="3"/>
  <c r="G119" i="3"/>
  <c r="H258" i="3"/>
  <c r="G258" i="3"/>
  <c r="AW151" i="3"/>
  <c r="AW129" i="3"/>
  <c r="AW180" i="3"/>
  <c r="AW235" i="3"/>
  <c r="AC166" i="3"/>
  <c r="AD166" i="3"/>
  <c r="G89" i="3"/>
  <c r="H89" i="3"/>
  <c r="AW167" i="3"/>
  <c r="H144" i="3"/>
  <c r="G144" i="3"/>
  <c r="G107" i="3"/>
  <c r="H107" i="3"/>
  <c r="AX190" i="3" l="1"/>
  <c r="AZ190" i="3"/>
  <c r="BB190" i="3" s="1"/>
  <c r="AY65" i="3"/>
  <c r="AY250" i="3"/>
  <c r="AY228" i="3"/>
  <c r="AY245" i="3"/>
  <c r="AX245" i="3"/>
  <c r="Z80" i="3"/>
  <c r="Z182" i="3"/>
  <c r="Z130" i="3"/>
  <c r="Y87" i="3"/>
  <c r="Z169" i="3"/>
  <c r="AY242" i="3"/>
  <c r="AZ242" i="3"/>
  <c r="BD242" i="3" s="1"/>
  <c r="Y240" i="3"/>
  <c r="Z168" i="3"/>
  <c r="Y188" i="3"/>
  <c r="AF87" i="3"/>
  <c r="AH87" i="3" s="1"/>
  <c r="Z71" i="3"/>
  <c r="AZ67" i="3"/>
  <c r="BA67" i="3" s="1"/>
  <c r="Y232" i="3"/>
  <c r="Y117" i="3"/>
  <c r="Y229" i="3"/>
  <c r="Y150" i="3"/>
  <c r="Z264" i="3"/>
  <c r="Y198" i="3"/>
  <c r="AX199" i="3"/>
  <c r="AX81" i="3"/>
  <c r="Z142" i="3"/>
  <c r="Z70" i="3"/>
  <c r="Y226" i="3"/>
  <c r="Z125" i="3"/>
  <c r="Z191" i="3"/>
  <c r="Z181" i="3"/>
  <c r="Y65" i="3"/>
  <c r="AZ66" i="3"/>
  <c r="BD66" i="3" s="1"/>
  <c r="BF66" i="3" s="1"/>
  <c r="BI66" i="3" s="1"/>
  <c r="Z235" i="3"/>
  <c r="Z146" i="3"/>
  <c r="Z78" i="3"/>
  <c r="Y133" i="3"/>
  <c r="Y187" i="3"/>
  <c r="AF117" i="3"/>
  <c r="AG117" i="3" s="1"/>
  <c r="Y209" i="3"/>
  <c r="Z69" i="3"/>
  <c r="Y196" i="3"/>
  <c r="AY81" i="3"/>
  <c r="AF71" i="3"/>
  <c r="AG71" i="3" s="1"/>
  <c r="AF78" i="3"/>
  <c r="AH78" i="3" s="1"/>
  <c r="AX135" i="3"/>
  <c r="AX71" i="3"/>
  <c r="AX137" i="3"/>
  <c r="Z114" i="3"/>
  <c r="Z77" i="3"/>
  <c r="Z106" i="3"/>
  <c r="Z101" i="3"/>
  <c r="Y68" i="3"/>
  <c r="Y75" i="3"/>
  <c r="AC66" i="3"/>
  <c r="AD66" i="3"/>
  <c r="AD67" i="3"/>
  <c r="AC67" i="3"/>
  <c r="Z67" i="3"/>
  <c r="Y67" i="3"/>
  <c r="U68" i="3"/>
  <c r="V68" i="3" s="1"/>
  <c r="AB68" i="3" s="1"/>
  <c r="U65" i="3"/>
  <c r="V65" i="3" s="1"/>
  <c r="AB65" i="3" s="1"/>
  <c r="Y66" i="3"/>
  <c r="Z66" i="3"/>
  <c r="Z64" i="3"/>
  <c r="Y64" i="3"/>
  <c r="AY137" i="3"/>
  <c r="AF75" i="3"/>
  <c r="AG75" i="3" s="1"/>
  <c r="Z262" i="3"/>
  <c r="Y164" i="3"/>
  <c r="Y85" i="3"/>
  <c r="AX188" i="3"/>
  <c r="AX119" i="3"/>
  <c r="Y165" i="3"/>
  <c r="Y215" i="3"/>
  <c r="Z103" i="3"/>
  <c r="AZ176" i="3"/>
  <c r="BB176" i="3" s="1"/>
  <c r="AY97" i="3"/>
  <c r="AY176" i="3"/>
  <c r="AZ97" i="3"/>
  <c r="BB97" i="3" s="1"/>
  <c r="AY136" i="3"/>
  <c r="Z199" i="3"/>
  <c r="AY139" i="3"/>
  <c r="Y104" i="3"/>
  <c r="AY86" i="3"/>
  <c r="AX214" i="3"/>
  <c r="Z122" i="3"/>
  <c r="AF261" i="3"/>
  <c r="AG261" i="3" s="1"/>
  <c r="Y263" i="3"/>
  <c r="AZ214" i="3"/>
  <c r="BA214" i="3" s="1"/>
  <c r="AD214" i="3"/>
  <c r="Y261" i="3"/>
  <c r="AF66" i="3"/>
  <c r="AH66" i="3" s="1"/>
  <c r="AC117" i="3"/>
  <c r="Y162" i="3"/>
  <c r="Y241" i="3"/>
  <c r="AF263" i="3"/>
  <c r="AG263" i="3" s="1"/>
  <c r="AC99" i="3"/>
  <c r="AD117" i="3"/>
  <c r="Z162" i="3"/>
  <c r="AZ99" i="3"/>
  <c r="BB99" i="3" s="1"/>
  <c r="AD109" i="3"/>
  <c r="B96" i="1"/>
  <c r="B42" i="1" s="1"/>
  <c r="AC232" i="3"/>
  <c r="Z256" i="3"/>
  <c r="BD162" i="3"/>
  <c r="BF162" i="3" s="1"/>
  <c r="BI162" i="3" s="1"/>
  <c r="AF232" i="3"/>
  <c r="AG232" i="3" s="1"/>
  <c r="Z179" i="3"/>
  <c r="AZ232" i="3"/>
  <c r="BB232" i="3" s="1"/>
  <c r="AF179" i="3"/>
  <c r="AH179" i="3" s="1"/>
  <c r="AF256" i="3"/>
  <c r="AG256" i="3" s="1"/>
  <c r="AF74" i="3"/>
  <c r="AH74" i="3" s="1"/>
  <c r="AD122" i="3"/>
  <c r="AF122" i="3"/>
  <c r="AG122" i="3" s="1"/>
  <c r="Y248" i="3"/>
  <c r="AZ73" i="3"/>
  <c r="BD73" i="3" s="1"/>
  <c r="BF73" i="3" s="1"/>
  <c r="BI73" i="3" s="1"/>
  <c r="AF248" i="3"/>
  <c r="AG248" i="3" s="1"/>
  <c r="Y73" i="3"/>
  <c r="Y141" i="3"/>
  <c r="AF168" i="3"/>
  <c r="AG168" i="3" s="1"/>
  <c r="Z83" i="3"/>
  <c r="AD78" i="3"/>
  <c r="AD102" i="3"/>
  <c r="AD168" i="3"/>
  <c r="AC78" i="3"/>
  <c r="Y237" i="3"/>
  <c r="AC158" i="3"/>
  <c r="AC136" i="3"/>
  <c r="AD247" i="3"/>
  <c r="AD74" i="3"/>
  <c r="Z94" i="3"/>
  <c r="Y79" i="3"/>
  <c r="Z237" i="3"/>
  <c r="AC247" i="3"/>
  <c r="AF136" i="3"/>
  <c r="AH136" i="3" s="1"/>
  <c r="AD182" i="3"/>
  <c r="AF182" i="3"/>
  <c r="AH182" i="3" s="1"/>
  <c r="AZ191" i="3"/>
  <c r="BD191" i="3" s="1"/>
  <c r="BF191" i="3" s="1"/>
  <c r="BI191" i="3" s="1"/>
  <c r="AZ82" i="3"/>
  <c r="BA82" i="3" s="1"/>
  <c r="AC82" i="3"/>
  <c r="BD79" i="3"/>
  <c r="BF79" i="3" s="1"/>
  <c r="BI79" i="3" s="1"/>
  <c r="Z79" i="3"/>
  <c r="AF130" i="3"/>
  <c r="AH130" i="3" s="1"/>
  <c r="AF73" i="3"/>
  <c r="AH73" i="3" s="1"/>
  <c r="AZ247" i="3"/>
  <c r="BD247" i="3" s="1"/>
  <c r="BE247" i="3" s="1"/>
  <c r="BH247" i="3" s="1"/>
  <c r="AZ158" i="3"/>
  <c r="BD158" i="3" s="1"/>
  <c r="BF158" i="3" s="1"/>
  <c r="BI158" i="3" s="1"/>
  <c r="AZ135" i="3"/>
  <c r="BD135" i="3" s="1"/>
  <c r="BE135" i="3" s="1"/>
  <c r="BH135" i="3" s="1"/>
  <c r="Z141" i="3"/>
  <c r="AD135" i="3"/>
  <c r="AF135" i="3"/>
  <c r="AG135" i="3" s="1"/>
  <c r="AZ136" i="3"/>
  <c r="BA136" i="3" s="1"/>
  <c r="AF191" i="3"/>
  <c r="AH191" i="3" s="1"/>
  <c r="AF204" i="3"/>
  <c r="AH204" i="3" s="1"/>
  <c r="AZ148" i="3"/>
  <c r="BD148" i="3" s="1"/>
  <c r="BE148" i="3" s="1"/>
  <c r="BH148" i="3" s="1"/>
  <c r="AD191" i="3"/>
  <c r="AC148" i="3"/>
  <c r="AF174" i="3"/>
  <c r="AH174" i="3" s="1"/>
  <c r="AZ195" i="3"/>
  <c r="BB195" i="3" s="1"/>
  <c r="AF77" i="3"/>
  <c r="AH77" i="3" s="1"/>
  <c r="AD130" i="3"/>
  <c r="Z174" i="3"/>
  <c r="AD77" i="3"/>
  <c r="Y126" i="3"/>
  <c r="AC119" i="3"/>
  <c r="AF164" i="3"/>
  <c r="AG164" i="3" s="1"/>
  <c r="AF106" i="3"/>
  <c r="AH106" i="3" s="1"/>
  <c r="AX264" i="3"/>
  <c r="Y132" i="3"/>
  <c r="AF241" i="3"/>
  <c r="AG241" i="3" s="1"/>
  <c r="AD240" i="3"/>
  <c r="AC229" i="3"/>
  <c r="AC71" i="3"/>
  <c r="AC152" i="3"/>
  <c r="Y127" i="3"/>
  <c r="Z184" i="3"/>
  <c r="AB246" i="3"/>
  <c r="AF246" i="3" s="1"/>
  <c r="AH246" i="3" s="1"/>
  <c r="AC160" i="3"/>
  <c r="Z126" i="3"/>
  <c r="Y204" i="3"/>
  <c r="Z120" i="3"/>
  <c r="AZ133" i="3"/>
  <c r="BD133" i="3" s="1"/>
  <c r="AZ119" i="3"/>
  <c r="BA119" i="3" s="1"/>
  <c r="AF120" i="3"/>
  <c r="AH120" i="3" s="1"/>
  <c r="AF132" i="3"/>
  <c r="AH132" i="3" s="1"/>
  <c r="AZ201" i="3"/>
  <c r="BA201" i="3" s="1"/>
  <c r="Y245" i="3"/>
  <c r="AZ152" i="3"/>
  <c r="BB152" i="3" s="1"/>
  <c r="AD71" i="3"/>
  <c r="Z245" i="3"/>
  <c r="AC201" i="3"/>
  <c r="AZ71" i="3"/>
  <c r="BD71" i="3" s="1"/>
  <c r="BF71" i="3" s="1"/>
  <c r="BI71" i="3" s="1"/>
  <c r="AD112" i="3"/>
  <c r="AD104" i="3"/>
  <c r="AF152" i="3"/>
  <c r="AG152" i="3" s="1"/>
  <c r="Z252" i="3"/>
  <c r="AC164" i="3"/>
  <c r="BD245" i="3"/>
  <c r="BF245" i="3" s="1"/>
  <c r="BI245" i="3" s="1"/>
  <c r="BD132" i="3"/>
  <c r="BE132" i="3" s="1"/>
  <c r="BH132" i="3" s="1"/>
  <c r="AZ160" i="3"/>
  <c r="BD160" i="3" s="1"/>
  <c r="AD157" i="3"/>
  <c r="AF160" i="3"/>
  <c r="AG160" i="3" s="1"/>
  <c r="AZ157" i="3"/>
  <c r="BA157" i="3" s="1"/>
  <c r="Z118" i="3"/>
  <c r="AF118" i="3"/>
  <c r="AG118" i="3" s="1"/>
  <c r="Z170" i="3"/>
  <c r="AZ130" i="3"/>
  <c r="BD130" i="3" s="1"/>
  <c r="BF130" i="3" s="1"/>
  <c r="BI130" i="3" s="1"/>
  <c r="Y94" i="3"/>
  <c r="AF67" i="3"/>
  <c r="AH67" i="3" s="1"/>
  <c r="AF133" i="3"/>
  <c r="AG133" i="3" s="1"/>
  <c r="AC195" i="3"/>
  <c r="AF229" i="3"/>
  <c r="AG229" i="3" s="1"/>
  <c r="AF125" i="3"/>
  <c r="AH125" i="3" s="1"/>
  <c r="AD103" i="3"/>
  <c r="AZ125" i="3"/>
  <c r="BD125" i="3" s="1"/>
  <c r="BE125" i="3" s="1"/>
  <c r="BH125" i="3" s="1"/>
  <c r="AZ85" i="3"/>
  <c r="BD85" i="3" s="1"/>
  <c r="BE85" i="3" s="1"/>
  <c r="BH85" i="3" s="1"/>
  <c r="Y108" i="3"/>
  <c r="AC72" i="3"/>
  <c r="BD170" i="3"/>
  <c r="BF170" i="3" s="1"/>
  <c r="BI170" i="3" s="1"/>
  <c r="AZ200" i="3"/>
  <c r="BA200" i="3" s="1"/>
  <c r="AF218" i="3"/>
  <c r="AH218" i="3" s="1"/>
  <c r="AZ103" i="3"/>
  <c r="BA103" i="3" s="1"/>
  <c r="AC250" i="3"/>
  <c r="AF119" i="3"/>
  <c r="AH119" i="3" s="1"/>
  <c r="AC125" i="3"/>
  <c r="AD165" i="3"/>
  <c r="AD200" i="3"/>
  <c r="Y166" i="3"/>
  <c r="AC206" i="3"/>
  <c r="AF81" i="3"/>
  <c r="AH81" i="3" s="1"/>
  <c r="AF206" i="3"/>
  <c r="AH206" i="3" s="1"/>
  <c r="AF127" i="3"/>
  <c r="AH127" i="3" s="1"/>
  <c r="AD144" i="3"/>
  <c r="AF83" i="3"/>
  <c r="AH83" i="3" s="1"/>
  <c r="AF175" i="3"/>
  <c r="AH175" i="3" s="1"/>
  <c r="AF93" i="3"/>
  <c r="AG93" i="3" s="1"/>
  <c r="Z115" i="3"/>
  <c r="AF131" i="3"/>
  <c r="AG131" i="3" s="1"/>
  <c r="AF234" i="3"/>
  <c r="AG234" i="3" s="1"/>
  <c r="AC146" i="3"/>
  <c r="AD89" i="3"/>
  <c r="AD185" i="3"/>
  <c r="AZ255" i="3"/>
  <c r="BA255" i="3" s="1"/>
  <c r="Y194" i="3"/>
  <c r="AF254" i="3"/>
  <c r="AH254" i="3" s="1"/>
  <c r="AC106" i="3"/>
  <c r="AD105" i="3"/>
  <c r="Y184" i="3"/>
  <c r="Y143" i="3"/>
  <c r="AF244" i="3"/>
  <c r="AH244" i="3" s="1"/>
  <c r="Y81" i="3"/>
  <c r="AF194" i="3"/>
  <c r="AG194" i="3" s="1"/>
  <c r="AF69" i="3"/>
  <c r="AG69" i="3" s="1"/>
  <c r="AD156" i="3"/>
  <c r="AD69" i="3"/>
  <c r="AZ264" i="3"/>
  <c r="BD264" i="3" s="1"/>
  <c r="BF264" i="3" s="1"/>
  <c r="BI264" i="3" s="1"/>
  <c r="AF262" i="3"/>
  <c r="AH262" i="3" s="1"/>
  <c r="AC217" i="3"/>
  <c r="Y243" i="3"/>
  <c r="Y254" i="3"/>
  <c r="AC258" i="3"/>
  <c r="AF253" i="3"/>
  <c r="AH253" i="3" s="1"/>
  <c r="AZ217" i="3"/>
  <c r="BD217" i="3" s="1"/>
  <c r="BD81" i="3"/>
  <c r="BE81" i="3" s="1"/>
  <c r="BH81" i="3" s="1"/>
  <c r="AD255" i="3"/>
  <c r="AF243" i="3"/>
  <c r="AH243" i="3" s="1"/>
  <c r="AF235" i="3"/>
  <c r="AG235" i="3" s="1"/>
  <c r="AZ105" i="3"/>
  <c r="BD105" i="3" s="1"/>
  <c r="AF264" i="3"/>
  <c r="AG264" i="3" s="1"/>
  <c r="AC262" i="3"/>
  <c r="Z98" i="3"/>
  <c r="AD235" i="3"/>
  <c r="AF98" i="3"/>
  <c r="AH98" i="3" s="1"/>
  <c r="AC133" i="3"/>
  <c r="AD264" i="3"/>
  <c r="AZ222" i="3"/>
  <c r="BA222" i="3" s="1"/>
  <c r="Y93" i="3"/>
  <c r="AF209" i="3"/>
  <c r="AH209" i="3" s="1"/>
  <c r="AF146" i="3"/>
  <c r="AH146" i="3" s="1"/>
  <c r="AD241" i="3"/>
  <c r="Y121" i="3"/>
  <c r="AD175" i="3"/>
  <c r="AD75" i="3"/>
  <c r="AF124" i="3"/>
  <c r="AH124" i="3" s="1"/>
  <c r="AF115" i="3"/>
  <c r="AG115" i="3" s="1"/>
  <c r="AC181" i="3"/>
  <c r="AC101" i="3"/>
  <c r="AF165" i="3"/>
  <c r="AG165" i="3" s="1"/>
  <c r="AZ229" i="3"/>
  <c r="BB229" i="3" s="1"/>
  <c r="AC215" i="3"/>
  <c r="Y124" i="3"/>
  <c r="AZ104" i="3"/>
  <c r="BB104" i="3" s="1"/>
  <c r="AZ240" i="3"/>
  <c r="BA240" i="3" s="1"/>
  <c r="AZ100" i="3"/>
  <c r="BA100" i="3" s="1"/>
  <c r="AF104" i="3"/>
  <c r="AG104" i="3" s="1"/>
  <c r="AF251" i="3"/>
  <c r="AH251" i="3" s="1"/>
  <c r="AC103" i="3"/>
  <c r="AZ250" i="3"/>
  <c r="BD250" i="3" s="1"/>
  <c r="BF250" i="3" s="1"/>
  <c r="BI250" i="3" s="1"/>
  <c r="Z143" i="3"/>
  <c r="AF224" i="3"/>
  <c r="AG224" i="3" s="1"/>
  <c r="Z147" i="3"/>
  <c r="Y158" i="3"/>
  <c r="AF190" i="3"/>
  <c r="AG190" i="3" s="1"/>
  <c r="AC129" i="3"/>
  <c r="AC70" i="3"/>
  <c r="Y253" i="3"/>
  <c r="AF92" i="3"/>
  <c r="AG92" i="3" s="1"/>
  <c r="AD139" i="3"/>
  <c r="Y147" i="3"/>
  <c r="Y149" i="3"/>
  <c r="AF196" i="3"/>
  <c r="AG196" i="3" s="1"/>
  <c r="Y244" i="3"/>
  <c r="AD226" i="3"/>
  <c r="Z224" i="3"/>
  <c r="AD259" i="3"/>
  <c r="AD187" i="3"/>
  <c r="AF220" i="3"/>
  <c r="AG220" i="3" s="1"/>
  <c r="AC230" i="3"/>
  <c r="AF70" i="3"/>
  <c r="AG70" i="3" s="1"/>
  <c r="AF240" i="3"/>
  <c r="AH240" i="3" s="1"/>
  <c r="AD142" i="3"/>
  <c r="AF250" i="3"/>
  <c r="AH250" i="3" s="1"/>
  <c r="AF205" i="3"/>
  <c r="AH205" i="3" s="1"/>
  <c r="AZ139" i="3"/>
  <c r="BB139" i="3" s="1"/>
  <c r="AF149" i="3"/>
  <c r="AH149" i="3" s="1"/>
  <c r="AD196" i="3"/>
  <c r="AF222" i="3"/>
  <c r="AH222" i="3" s="1"/>
  <c r="AD222" i="3"/>
  <c r="AF72" i="3"/>
  <c r="AG72" i="3" s="1"/>
  <c r="AF158" i="3"/>
  <c r="AH158" i="3" s="1"/>
  <c r="AD257" i="3"/>
  <c r="AZ92" i="3"/>
  <c r="BB92" i="3" s="1"/>
  <c r="AF142" i="3"/>
  <c r="AG142" i="3" s="1"/>
  <c r="Z166" i="3"/>
  <c r="AZ257" i="3"/>
  <c r="BB257" i="3" s="1"/>
  <c r="AF100" i="3"/>
  <c r="AG100" i="3" s="1"/>
  <c r="AZ86" i="3"/>
  <c r="BD86" i="3" s="1"/>
  <c r="Z205" i="3"/>
  <c r="BD124" i="3"/>
  <c r="BF124" i="3" s="1"/>
  <c r="BI124" i="3" s="1"/>
  <c r="AZ169" i="3"/>
  <c r="BD169" i="3" s="1"/>
  <c r="BE169" i="3" s="1"/>
  <c r="BH169" i="3" s="1"/>
  <c r="AC100" i="3"/>
  <c r="AC87" i="3"/>
  <c r="AF215" i="3"/>
  <c r="AH215" i="3" s="1"/>
  <c r="Z251" i="3"/>
  <c r="AD228" i="3"/>
  <c r="Z220" i="3"/>
  <c r="Z190" i="3"/>
  <c r="AZ228" i="3"/>
  <c r="BB228" i="3" s="1"/>
  <c r="AZ215" i="3"/>
  <c r="BA215" i="3" s="1"/>
  <c r="AF187" i="3"/>
  <c r="AG187" i="3" s="1"/>
  <c r="AZ186" i="3"/>
  <c r="BD186" i="3" s="1"/>
  <c r="AD92" i="3"/>
  <c r="AD209" i="3"/>
  <c r="AC186" i="3"/>
  <c r="AD169" i="3"/>
  <c r="AZ187" i="3"/>
  <c r="BA187" i="3" s="1"/>
  <c r="AF150" i="3"/>
  <c r="AH150" i="3" s="1"/>
  <c r="AF80" i="3"/>
  <c r="AH80" i="3" s="1"/>
  <c r="AD219" i="3"/>
  <c r="AF169" i="3"/>
  <c r="AG169" i="3" s="1"/>
  <c r="AF193" i="3"/>
  <c r="AH193" i="3" s="1"/>
  <c r="AZ101" i="3"/>
  <c r="BA101" i="3" s="1"/>
  <c r="AC75" i="3"/>
  <c r="AF123" i="3"/>
  <c r="AG123" i="3" s="1"/>
  <c r="AF101" i="3"/>
  <c r="AG101" i="3" s="1"/>
  <c r="Z193" i="3"/>
  <c r="AF181" i="3"/>
  <c r="AH181" i="3" s="1"/>
  <c r="AD150" i="3"/>
  <c r="AF121" i="3"/>
  <c r="AH121" i="3" s="1"/>
  <c r="Z116" i="3"/>
  <c r="AF252" i="3"/>
  <c r="AG252" i="3" s="1"/>
  <c r="AZ80" i="3"/>
  <c r="BB80" i="3" s="1"/>
  <c r="AF84" i="3"/>
  <c r="AG84" i="3" s="1"/>
  <c r="AZ188" i="3"/>
  <c r="BD188" i="3" s="1"/>
  <c r="BF188" i="3" s="1"/>
  <c r="BI188" i="3" s="1"/>
  <c r="AC188" i="3"/>
  <c r="Z210" i="3"/>
  <c r="AZ219" i="3"/>
  <c r="BB219" i="3" s="1"/>
  <c r="AF173" i="3"/>
  <c r="AH173" i="3" s="1"/>
  <c r="AD239" i="3"/>
  <c r="AD145" i="3"/>
  <c r="Y116" i="3"/>
  <c r="AD86" i="3"/>
  <c r="AX73" i="3"/>
  <c r="AF167" i="3"/>
  <c r="AG167" i="3" s="1"/>
  <c r="AZ145" i="3"/>
  <c r="BB145" i="3" s="1"/>
  <c r="BD116" i="3"/>
  <c r="BF116" i="3" s="1"/>
  <c r="BI116" i="3" s="1"/>
  <c r="AD87" i="3"/>
  <c r="AD198" i="3"/>
  <c r="Z131" i="3"/>
  <c r="AD80" i="3"/>
  <c r="Z84" i="3"/>
  <c r="Y173" i="3"/>
  <c r="AZ96" i="3"/>
  <c r="BB96" i="3" s="1"/>
  <c r="Z234" i="3"/>
  <c r="AF258" i="3"/>
  <c r="AH258" i="3" s="1"/>
  <c r="AF198" i="3"/>
  <c r="AH198" i="3" s="1"/>
  <c r="AF114" i="3"/>
  <c r="AG114" i="3" s="1"/>
  <c r="AF134" i="3"/>
  <c r="AG134" i="3" s="1"/>
  <c r="AC114" i="3"/>
  <c r="AF188" i="3"/>
  <c r="AG188" i="3" s="1"/>
  <c r="Z108" i="3"/>
  <c r="Z218" i="3"/>
  <c r="Y134" i="3"/>
  <c r="Y170" i="3"/>
  <c r="Z72" i="3"/>
  <c r="AC85" i="3"/>
  <c r="AC96" i="3"/>
  <c r="AF85" i="3"/>
  <c r="AH85" i="3" s="1"/>
  <c r="AF199" i="3"/>
  <c r="AH199" i="3" s="1"/>
  <c r="AD253" i="3"/>
  <c r="AD183" i="3"/>
  <c r="AD199" i="3"/>
  <c r="Z113" i="3"/>
  <c r="Y180" i="3"/>
  <c r="AX252" i="3"/>
  <c r="AC253" i="3"/>
  <c r="Y210" i="3"/>
  <c r="BD108" i="3"/>
  <c r="BE108" i="3" s="1"/>
  <c r="BH108" i="3" s="1"/>
  <c r="Z167" i="3"/>
  <c r="AF226" i="3"/>
  <c r="AG226" i="3" s="1"/>
  <c r="AF183" i="3"/>
  <c r="AG183" i="3" s="1"/>
  <c r="AF86" i="3"/>
  <c r="AG86" i="3" s="1"/>
  <c r="AF180" i="3"/>
  <c r="AH180" i="3" s="1"/>
  <c r="Z123" i="3"/>
  <c r="BD84" i="3"/>
  <c r="BE84" i="3" s="1"/>
  <c r="BH84" i="3" s="1"/>
  <c r="AZ199" i="3"/>
  <c r="BD199" i="3" s="1"/>
  <c r="BF199" i="3" s="1"/>
  <c r="BI199" i="3" s="1"/>
  <c r="AF113" i="3"/>
  <c r="AH113" i="3" s="1"/>
  <c r="AY241" i="3"/>
  <c r="AX231" i="3"/>
  <c r="AZ231" i="3"/>
  <c r="BB231" i="3" s="1"/>
  <c r="AY134" i="3"/>
  <c r="AZ134" i="3"/>
  <c r="BD134" i="3" s="1"/>
  <c r="BE134" i="3" s="1"/>
  <c r="BH134" i="3" s="1"/>
  <c r="AZ252" i="3"/>
  <c r="BD252" i="3" s="1"/>
  <c r="BE252" i="3" s="1"/>
  <c r="BH252" i="3" s="1"/>
  <c r="AX224" i="3"/>
  <c r="AY224" i="3"/>
  <c r="Z207" i="3"/>
  <c r="AZ241" i="3"/>
  <c r="BD241" i="3" s="1"/>
  <c r="BE241" i="3" s="1"/>
  <c r="BH241" i="3" s="1"/>
  <c r="AZ87" i="3"/>
  <c r="BB87" i="3" s="1"/>
  <c r="AF207" i="3"/>
  <c r="AH207" i="3" s="1"/>
  <c r="AY251" i="3"/>
  <c r="AY87" i="3"/>
  <c r="AZ118" i="3"/>
  <c r="BD118" i="3" s="1"/>
  <c r="BF118" i="3" s="1"/>
  <c r="BI118" i="3" s="1"/>
  <c r="AZ77" i="3"/>
  <c r="BA77" i="3" s="1"/>
  <c r="AX220" i="3"/>
  <c r="AX77" i="3"/>
  <c r="AY220" i="3"/>
  <c r="AX191" i="3"/>
  <c r="AY191" i="3"/>
  <c r="AZ168" i="3"/>
  <c r="BD168" i="3" s="1"/>
  <c r="BE168" i="3" s="1"/>
  <c r="BH168" i="3" s="1"/>
  <c r="AX168" i="3"/>
  <c r="AY94" i="3"/>
  <c r="AZ150" i="3"/>
  <c r="BD150" i="3" s="1"/>
  <c r="BF150" i="3" s="1"/>
  <c r="BI150" i="3" s="1"/>
  <c r="AX251" i="3"/>
  <c r="AY118" i="3"/>
  <c r="AY229" i="3"/>
  <c r="AX150" i="3"/>
  <c r="AZ181" i="3"/>
  <c r="BA181" i="3" s="1"/>
  <c r="AZ76" i="3"/>
  <c r="BA76" i="3" s="1"/>
  <c r="AZ94" i="3"/>
  <c r="BA94" i="3" s="1"/>
  <c r="AX105" i="3"/>
  <c r="AX89" i="3"/>
  <c r="AY239" i="3"/>
  <c r="AX117" i="3"/>
  <c r="AX98" i="3"/>
  <c r="AY196" i="3"/>
  <c r="AZ117" i="3"/>
  <c r="BD117" i="3" s="1"/>
  <c r="BF117" i="3" s="1"/>
  <c r="BI117" i="3" s="1"/>
  <c r="AY98" i="3"/>
  <c r="AZ209" i="3"/>
  <c r="BD209" i="3" s="1"/>
  <c r="BF209" i="3" s="1"/>
  <c r="BI209" i="3" s="1"/>
  <c r="AY204" i="3"/>
  <c r="AZ174" i="3"/>
  <c r="BD174" i="3" s="1"/>
  <c r="AX209" i="3"/>
  <c r="AZ196" i="3"/>
  <c r="BD196" i="3" s="1"/>
  <c r="BE196" i="3" s="1"/>
  <c r="BH196" i="3" s="1"/>
  <c r="AY105" i="3"/>
  <c r="AZ204" i="3"/>
  <c r="BA204" i="3" s="1"/>
  <c r="AZ173" i="3"/>
  <c r="BD173" i="3" s="1"/>
  <c r="BF173" i="3" s="1"/>
  <c r="BI173" i="3" s="1"/>
  <c r="AF129" i="3"/>
  <c r="AH129" i="3" s="1"/>
  <c r="AZ239" i="3"/>
  <c r="BB239" i="3" s="1"/>
  <c r="AX229" i="3"/>
  <c r="AX113" i="3"/>
  <c r="AZ142" i="3"/>
  <c r="BD142" i="3" s="1"/>
  <c r="BE142" i="3" s="1"/>
  <c r="BH142" i="3" s="1"/>
  <c r="AX181" i="3"/>
  <c r="AZ244" i="3"/>
  <c r="BA244" i="3" s="1"/>
  <c r="AX76" i="3"/>
  <c r="AZ113" i="3"/>
  <c r="BB113" i="3" s="1"/>
  <c r="AX142" i="3"/>
  <c r="AZ89" i="3"/>
  <c r="BB89" i="3" s="1"/>
  <c r="AZ175" i="3"/>
  <c r="BD175" i="3" s="1"/>
  <c r="BF175" i="3" s="1"/>
  <c r="BI175" i="3" s="1"/>
  <c r="AZ72" i="3"/>
  <c r="BB72" i="3" s="1"/>
  <c r="AX173" i="3"/>
  <c r="AZ163" i="3"/>
  <c r="BD163" i="3" s="1"/>
  <c r="BE163" i="3" s="1"/>
  <c r="BH163" i="3" s="1"/>
  <c r="AY163" i="3"/>
  <c r="AY157" i="3"/>
  <c r="AY72" i="3"/>
  <c r="AY175" i="3"/>
  <c r="AY261" i="3"/>
  <c r="AX157" i="3"/>
  <c r="AZ261" i="3"/>
  <c r="BD261" i="3" s="1"/>
  <c r="BF261" i="3" s="1"/>
  <c r="BI261" i="3" s="1"/>
  <c r="AX211" i="3"/>
  <c r="AY244" i="3"/>
  <c r="AZ243" i="3"/>
  <c r="BB243" i="3" s="1"/>
  <c r="AY66" i="3"/>
  <c r="AY107" i="3"/>
  <c r="AZ221" i="3"/>
  <c r="BA221" i="3" s="1"/>
  <c r="AX174" i="3"/>
  <c r="AZ185" i="3"/>
  <c r="BA185" i="3" s="1"/>
  <c r="AY185" i="3"/>
  <c r="AX66" i="3"/>
  <c r="AZ93" i="3"/>
  <c r="BB93" i="3" s="1"/>
  <c r="AY221" i="3"/>
  <c r="AX243" i="3"/>
  <c r="AZ211" i="3"/>
  <c r="BA211" i="3" s="1"/>
  <c r="AY93" i="3"/>
  <c r="AX178" i="3"/>
  <c r="AX260" i="3"/>
  <c r="AY122" i="3"/>
  <c r="AY208" i="3"/>
  <c r="AY158" i="3"/>
  <c r="AX208" i="3"/>
  <c r="AX112" i="3"/>
  <c r="AZ112" i="3"/>
  <c r="BB112" i="3" s="1"/>
  <c r="AZ141" i="3"/>
  <c r="BD141" i="3" s="1"/>
  <c r="BF141" i="3" s="1"/>
  <c r="BI141" i="3" s="1"/>
  <c r="AZ107" i="3"/>
  <c r="BA107" i="3" s="1"/>
  <c r="AY141" i="3"/>
  <c r="AY178" i="3"/>
  <c r="AZ260" i="3"/>
  <c r="BB260" i="3" s="1"/>
  <c r="AX158" i="3"/>
  <c r="AZ256" i="3"/>
  <c r="BB256" i="3" s="1"/>
  <c r="AY171" i="3"/>
  <c r="AZ91" i="3"/>
  <c r="BD91" i="3" s="1"/>
  <c r="BE91" i="3" s="1"/>
  <c r="BH91" i="3" s="1"/>
  <c r="AX165" i="3"/>
  <c r="AZ171" i="3"/>
  <c r="BD171" i="3" s="1"/>
  <c r="BE171" i="3" s="1"/>
  <c r="BH171" i="3" s="1"/>
  <c r="AY91" i="3"/>
  <c r="AZ165" i="3"/>
  <c r="BD165" i="3" s="1"/>
  <c r="BE165" i="3" s="1"/>
  <c r="BH165" i="3" s="1"/>
  <c r="AF219" i="3"/>
  <c r="AG219" i="3" s="1"/>
  <c r="Y219" i="3"/>
  <c r="Y189" i="3"/>
  <c r="Z136" i="3"/>
  <c r="AX182" i="3"/>
  <c r="AY256" i="3"/>
  <c r="AX247" i="3"/>
  <c r="AZ182" i="3"/>
  <c r="BA182" i="3" s="1"/>
  <c r="AY172" i="3"/>
  <c r="AZ218" i="3"/>
  <c r="BB218" i="3" s="1"/>
  <c r="AZ122" i="3"/>
  <c r="BD122" i="3" s="1"/>
  <c r="AY218" i="3"/>
  <c r="AZ189" i="3"/>
  <c r="BB189" i="3" s="1"/>
  <c r="AY114" i="3"/>
  <c r="AZ198" i="3"/>
  <c r="BD198" i="3" s="1"/>
  <c r="AX202" i="3"/>
  <c r="AZ114" i="3"/>
  <c r="BA114" i="3" s="1"/>
  <c r="AX198" i="3"/>
  <c r="AY262" i="3"/>
  <c r="AX179" i="3"/>
  <c r="AZ172" i="3"/>
  <c r="BB172" i="3" s="1"/>
  <c r="AY189" i="3"/>
  <c r="AZ179" i="3"/>
  <c r="BD179" i="3" s="1"/>
  <c r="AZ227" i="3"/>
  <c r="BB227" i="3" s="1"/>
  <c r="AZ202" i="3"/>
  <c r="BA202" i="3" s="1"/>
  <c r="Z178" i="3"/>
  <c r="AF189" i="3"/>
  <c r="AG189" i="3" s="1"/>
  <c r="AZ262" i="3"/>
  <c r="BD262" i="3" s="1"/>
  <c r="AY247" i="3"/>
  <c r="AZ236" i="3"/>
  <c r="BB236" i="3" s="1"/>
  <c r="AZ126" i="3"/>
  <c r="BD126" i="3" s="1"/>
  <c r="BF126" i="3" s="1"/>
  <c r="BI126" i="3" s="1"/>
  <c r="Y136" i="3"/>
  <c r="Y178" i="3"/>
  <c r="BD178" i="3"/>
  <c r="BF178" i="3" s="1"/>
  <c r="BI178" i="3" s="1"/>
  <c r="AY210" i="3"/>
  <c r="AZ102" i="3"/>
  <c r="BD102" i="3" s="1"/>
  <c r="AX85" i="3"/>
  <c r="AZ111" i="3"/>
  <c r="BD111" i="3" s="1"/>
  <c r="BF111" i="3" s="1"/>
  <c r="BI111" i="3" s="1"/>
  <c r="AZ144" i="3"/>
  <c r="BB144" i="3" s="1"/>
  <c r="AY248" i="3"/>
  <c r="AX236" i="3"/>
  <c r="AX111" i="3"/>
  <c r="AX126" i="3"/>
  <c r="AY85" i="3"/>
  <c r="AZ248" i="3"/>
  <c r="BD248" i="3" s="1"/>
  <c r="BE248" i="3" s="1"/>
  <c r="BH248" i="3" s="1"/>
  <c r="AY127" i="3"/>
  <c r="AX146" i="3"/>
  <c r="AY78" i="3"/>
  <c r="AX144" i="3"/>
  <c r="AZ230" i="3"/>
  <c r="BB230" i="3" s="1"/>
  <c r="AX194" i="3"/>
  <c r="AZ194" i="3"/>
  <c r="BD194" i="3" s="1"/>
  <c r="BF194" i="3" s="1"/>
  <c r="BI194" i="3" s="1"/>
  <c r="AF145" i="3"/>
  <c r="AH145" i="3" s="1"/>
  <c r="AX230" i="3"/>
  <c r="AZ78" i="3"/>
  <c r="BB78" i="3" s="1"/>
  <c r="AX121" i="3"/>
  <c r="AX234" i="3"/>
  <c r="AZ127" i="3"/>
  <c r="BD127" i="3" s="1"/>
  <c r="BE127" i="3" s="1"/>
  <c r="BH127" i="3" s="1"/>
  <c r="AZ146" i="3"/>
  <c r="BD146" i="3" s="1"/>
  <c r="BF146" i="3" s="1"/>
  <c r="BI146" i="3" s="1"/>
  <c r="AZ121" i="3"/>
  <c r="BD121" i="3" s="1"/>
  <c r="BE121" i="3" s="1"/>
  <c r="BH121" i="3" s="1"/>
  <c r="AZ234" i="3"/>
  <c r="BB234" i="3" s="1"/>
  <c r="AF200" i="3"/>
  <c r="AG200" i="3" s="1"/>
  <c r="AY212" i="3"/>
  <c r="AZ183" i="3"/>
  <c r="BA183" i="3" s="1"/>
  <c r="AZ212" i="3"/>
  <c r="BA212" i="3" s="1"/>
  <c r="AX177" i="3"/>
  <c r="AX70" i="3"/>
  <c r="AX233" i="3"/>
  <c r="Y200" i="3"/>
  <c r="AX183" i="3"/>
  <c r="AY177" i="3"/>
  <c r="AZ70" i="3"/>
  <c r="BD70" i="3" s="1"/>
  <c r="BE70" i="3" s="1"/>
  <c r="BH70" i="3" s="1"/>
  <c r="AY253" i="3"/>
  <c r="AY79" i="3"/>
  <c r="AY227" i="3"/>
  <c r="AZ253" i="3"/>
  <c r="BD253" i="3" s="1"/>
  <c r="BE253" i="3" s="1"/>
  <c r="BH253" i="3" s="1"/>
  <c r="AX79" i="3"/>
  <c r="AX102" i="3"/>
  <c r="Z161" i="3"/>
  <c r="Z186" i="3"/>
  <c r="AF201" i="3"/>
  <c r="AG201" i="3" s="1"/>
  <c r="AG103" i="3"/>
  <c r="Z201" i="3"/>
  <c r="Z202" i="3"/>
  <c r="AF228" i="3"/>
  <c r="AH228" i="3" s="1"/>
  <c r="BD64" i="3"/>
  <c r="BE64" i="3" s="1"/>
  <c r="BH64" i="3" s="1"/>
  <c r="BD223" i="3"/>
  <c r="BF223" i="3" s="1"/>
  <c r="BI223" i="3" s="1"/>
  <c r="Y154" i="3"/>
  <c r="Z233" i="3"/>
  <c r="AF154" i="3"/>
  <c r="AH154" i="3" s="1"/>
  <c r="Z222" i="3"/>
  <c r="Z160" i="3"/>
  <c r="Y216" i="3"/>
  <c r="Z217" i="3"/>
  <c r="Z246" i="3"/>
  <c r="Z236" i="3"/>
  <c r="BD246" i="3"/>
  <c r="BF246" i="3" s="1"/>
  <c r="BI246" i="3" s="1"/>
  <c r="AF236" i="3"/>
  <c r="AH236" i="3" s="1"/>
  <c r="AF91" i="3"/>
  <c r="AH91" i="3" s="1"/>
  <c r="AF217" i="3"/>
  <c r="AG217" i="3" s="1"/>
  <c r="AF107" i="3"/>
  <c r="AH107" i="3" s="1"/>
  <c r="Y160" i="3"/>
  <c r="BD216" i="3"/>
  <c r="BE216" i="3" s="1"/>
  <c r="BH216" i="3" s="1"/>
  <c r="Y107" i="3"/>
  <c r="Y161" i="3"/>
  <c r="Y233" i="3"/>
  <c r="AF186" i="3"/>
  <c r="AH186" i="3" s="1"/>
  <c r="Y222" i="3"/>
  <c r="Z129" i="3"/>
  <c r="Y223" i="3"/>
  <c r="Z152" i="3"/>
  <c r="Y152" i="3"/>
  <c r="Y91" i="3"/>
  <c r="Y206" i="3"/>
  <c r="AF82" i="3"/>
  <c r="AG82" i="3" s="1"/>
  <c r="Z82" i="3"/>
  <c r="Z259" i="3"/>
  <c r="Z203" i="3"/>
  <c r="AF259" i="3"/>
  <c r="AG259" i="3" s="1"/>
  <c r="AF203" i="3"/>
  <c r="AH203" i="3" s="1"/>
  <c r="AF214" i="3"/>
  <c r="AH214" i="3" s="1"/>
  <c r="AF223" i="3"/>
  <c r="AH223" i="3" s="1"/>
  <c r="Z249" i="3"/>
  <c r="AF249" i="3"/>
  <c r="AG249" i="3" s="1"/>
  <c r="Y214" i="3"/>
  <c r="Z128" i="3"/>
  <c r="Z206" i="3"/>
  <c r="BA216" i="3"/>
  <c r="BB184" i="3"/>
  <c r="BD128" i="3"/>
  <c r="BF128" i="3" s="1"/>
  <c r="BI128" i="3" s="1"/>
  <c r="Z110" i="3"/>
  <c r="Z109" i="3"/>
  <c r="Z227" i="3"/>
  <c r="BD184" i="3"/>
  <c r="BE184" i="3" s="1"/>
  <c r="BH184" i="3" s="1"/>
  <c r="AF163" i="3"/>
  <c r="AH163" i="3" s="1"/>
  <c r="Z111" i="3"/>
  <c r="Z163" i="3"/>
  <c r="Z155" i="3"/>
  <c r="AF155" i="3"/>
  <c r="AG155" i="3" s="1"/>
  <c r="AF111" i="3"/>
  <c r="AH111" i="3" s="1"/>
  <c r="BB208" i="3"/>
  <c r="Y145" i="3"/>
  <c r="AF238" i="3"/>
  <c r="AH238" i="3" s="1"/>
  <c r="Y238" i="3"/>
  <c r="Y171" i="3"/>
  <c r="AF212" i="3"/>
  <c r="AG212" i="3" s="1"/>
  <c r="Y258" i="3"/>
  <c r="AZ210" i="3"/>
  <c r="BA210" i="3" s="1"/>
  <c r="Y128" i="3"/>
  <c r="AF109" i="3"/>
  <c r="AH109" i="3" s="1"/>
  <c r="AZ233" i="3"/>
  <c r="BD233" i="3" s="1"/>
  <c r="BF233" i="3" s="1"/>
  <c r="BI233" i="3" s="1"/>
  <c r="Y175" i="3"/>
  <c r="AF110" i="3"/>
  <c r="AH110" i="3" s="1"/>
  <c r="BD110" i="3"/>
  <c r="BF110" i="3" s="1"/>
  <c r="BI110" i="3" s="1"/>
  <c r="Z76" i="3"/>
  <c r="AF156" i="3"/>
  <c r="AG156" i="3" s="1"/>
  <c r="Y231" i="3"/>
  <c r="AY64" i="3"/>
  <c r="AX64" i="3"/>
  <c r="AX187" i="3"/>
  <c r="AY187" i="3"/>
  <c r="AX95" i="3"/>
  <c r="AZ95" i="3"/>
  <c r="AY95" i="3"/>
  <c r="BB216" i="3"/>
  <c r="AF137" i="3"/>
  <c r="AH137" i="3" s="1"/>
  <c r="AF76" i="3"/>
  <c r="AH76" i="3" s="1"/>
  <c r="Y212" i="3"/>
  <c r="Z144" i="3"/>
  <c r="Z159" i="3"/>
  <c r="Z177" i="3"/>
  <c r="Z171" i="3"/>
  <c r="AF89" i="3"/>
  <c r="AH89" i="3" s="1"/>
  <c r="BD153" i="3"/>
  <c r="BF153" i="3" s="1"/>
  <c r="BI153" i="3" s="1"/>
  <c r="AF213" i="3"/>
  <c r="AH213" i="3" s="1"/>
  <c r="Y89" i="3"/>
  <c r="Z153" i="3"/>
  <c r="Y148" i="3"/>
  <c r="Z74" i="3"/>
  <c r="Y172" i="3"/>
  <c r="Y156" i="3"/>
  <c r="Y140" i="3"/>
  <c r="Z213" i="3"/>
  <c r="Y177" i="3"/>
  <c r="AF159" i="3"/>
  <c r="AG159" i="3" s="1"/>
  <c r="AD216" i="3"/>
  <c r="AC216" i="3"/>
  <c r="AF192" i="3"/>
  <c r="AH192" i="3" s="1"/>
  <c r="Z260" i="3"/>
  <c r="Z172" i="3"/>
  <c r="Z88" i="3"/>
  <c r="AH147" i="3"/>
  <c r="BD177" i="3"/>
  <c r="BE177" i="3" s="1"/>
  <c r="BH177" i="3" s="1"/>
  <c r="BD137" i="3"/>
  <c r="BE137" i="3" s="1"/>
  <c r="BH137" i="3" s="1"/>
  <c r="BD88" i="3"/>
  <c r="BE88" i="3" s="1"/>
  <c r="BH88" i="3" s="1"/>
  <c r="Z192" i="3"/>
  <c r="Z137" i="3"/>
  <c r="Y260" i="3"/>
  <c r="AF88" i="3"/>
  <c r="AH88" i="3" s="1"/>
  <c r="BD159" i="3"/>
  <c r="BE159" i="3" s="1"/>
  <c r="BH159" i="3" s="1"/>
  <c r="AF216" i="3"/>
  <c r="Z175" i="3"/>
  <c r="Z151" i="3"/>
  <c r="AF260" i="3"/>
  <c r="AH260" i="3" s="1"/>
  <c r="Z230" i="3"/>
  <c r="Y211" i="3"/>
  <c r="Y86" i="3"/>
  <c r="AF211" i="3"/>
  <c r="AG211" i="3" s="1"/>
  <c r="Y202" i="3"/>
  <c r="AF153" i="3"/>
  <c r="AH153" i="3" s="1"/>
  <c r="Z228" i="3"/>
  <c r="Z138" i="3"/>
  <c r="Y138" i="3"/>
  <c r="Y239" i="3"/>
  <c r="Y227" i="3"/>
  <c r="Y99" i="3"/>
  <c r="BD213" i="3"/>
  <c r="BF213" i="3" s="1"/>
  <c r="BI213" i="3" s="1"/>
  <c r="AF138" i="3"/>
  <c r="AF239" i="3"/>
  <c r="AG239" i="3" s="1"/>
  <c r="Y151" i="3"/>
  <c r="Z258" i="3"/>
  <c r="AF144" i="3"/>
  <c r="AH144" i="3" s="1"/>
  <c r="Z119" i="3"/>
  <c r="AF230" i="3"/>
  <c r="AH230" i="3" s="1"/>
  <c r="AF99" i="3"/>
  <c r="AG99" i="3" s="1"/>
  <c r="Z86" i="3"/>
  <c r="AF231" i="3"/>
  <c r="Z208" i="3"/>
  <c r="AF208" i="3"/>
  <c r="Y208" i="3"/>
  <c r="AF148" i="3"/>
  <c r="AH148" i="3" s="1"/>
  <c r="Y183" i="3"/>
  <c r="Y74" i="3"/>
  <c r="AF140" i="3"/>
  <c r="AH140" i="3" s="1"/>
  <c r="Z183" i="3"/>
  <c r="Y119" i="3"/>
  <c r="BD140" i="3"/>
  <c r="BE140" i="3" s="1"/>
  <c r="BH140" i="3" s="1"/>
  <c r="BD208" i="3"/>
  <c r="AX151" i="3"/>
  <c r="AY151" i="3"/>
  <c r="AZ151" i="3"/>
  <c r="BB83" i="3"/>
  <c r="BA83" i="3"/>
  <c r="AY259" i="3"/>
  <c r="AX259" i="3"/>
  <c r="AZ259" i="3"/>
  <c r="AX206" i="3"/>
  <c r="AZ206" i="3"/>
  <c r="AY206" i="3"/>
  <c r="Y197" i="3"/>
  <c r="BD197" i="3"/>
  <c r="Z197" i="3"/>
  <c r="AF197" i="3"/>
  <c r="AG161" i="3"/>
  <c r="AH161" i="3"/>
  <c r="AF102" i="3"/>
  <c r="Y102" i="3"/>
  <c r="Z102" i="3"/>
  <c r="AH116" i="3"/>
  <c r="AG116" i="3"/>
  <c r="BA193" i="3"/>
  <c r="BB193" i="3"/>
  <c r="BD193" i="3"/>
  <c r="BA115" i="3"/>
  <c r="BB115" i="3"/>
  <c r="BA155" i="3"/>
  <c r="BB155" i="3"/>
  <c r="BA161" i="3"/>
  <c r="BB161" i="3"/>
  <c r="BA124" i="3"/>
  <c r="BB124" i="3"/>
  <c r="AG166" i="3"/>
  <c r="AH166" i="3"/>
  <c r="BD115" i="3"/>
  <c r="Y242" i="3"/>
  <c r="AF242" i="3"/>
  <c r="Z242" i="3"/>
  <c r="AH79" i="3"/>
  <c r="AG79" i="3"/>
  <c r="AH171" i="3"/>
  <c r="AG171" i="3"/>
  <c r="AX180" i="3"/>
  <c r="AZ180" i="3"/>
  <c r="AY180" i="3"/>
  <c r="Y112" i="3"/>
  <c r="AF112" i="3"/>
  <c r="Z112" i="3"/>
  <c r="AG108" i="3"/>
  <c r="AH108" i="3"/>
  <c r="BA128" i="3"/>
  <c r="BB128" i="3"/>
  <c r="AF255" i="3"/>
  <c r="Z255" i="3"/>
  <c r="Y255" i="3"/>
  <c r="BB149" i="3"/>
  <c r="BA149" i="3"/>
  <c r="BD149" i="3"/>
  <c r="AY129" i="3"/>
  <c r="AX129" i="3"/>
  <c r="AZ129" i="3"/>
  <c r="Y225" i="3"/>
  <c r="AF225" i="3"/>
  <c r="Z225" i="3"/>
  <c r="AY75" i="3"/>
  <c r="AZ75" i="3"/>
  <c r="AX75" i="3"/>
  <c r="AG237" i="3"/>
  <c r="AH237" i="3"/>
  <c r="AF257" i="3"/>
  <c r="Z257" i="3"/>
  <c r="Y257" i="3"/>
  <c r="AH202" i="3"/>
  <c r="AG202" i="3"/>
  <c r="AG141" i="3"/>
  <c r="AH141" i="3"/>
  <c r="AX120" i="3"/>
  <c r="AZ120" i="3"/>
  <c r="AY120" i="3"/>
  <c r="AG162" i="3"/>
  <c r="AH162" i="3"/>
  <c r="BA192" i="3"/>
  <c r="BB192" i="3"/>
  <c r="BD192" i="3"/>
  <c r="AH184" i="3"/>
  <c r="AG184" i="3"/>
  <c r="AG151" i="3"/>
  <c r="AH151" i="3"/>
  <c r="AF96" i="3"/>
  <c r="Y96" i="3"/>
  <c r="Z96" i="3"/>
  <c r="AY164" i="3"/>
  <c r="AX164" i="3"/>
  <c r="AZ164" i="3"/>
  <c r="AH126" i="3"/>
  <c r="AG126" i="3"/>
  <c r="AH128" i="3"/>
  <c r="AG128" i="3"/>
  <c r="BD90" i="3"/>
  <c r="AF90" i="3"/>
  <c r="Y90" i="3"/>
  <c r="Z90" i="3"/>
  <c r="AZ106" i="3"/>
  <c r="AX106" i="3"/>
  <c r="AY106" i="3"/>
  <c r="Y221" i="3"/>
  <c r="AF221" i="3"/>
  <c r="Z221" i="3"/>
  <c r="AF105" i="3"/>
  <c r="Z105" i="3"/>
  <c r="Y105" i="3"/>
  <c r="AY226" i="3"/>
  <c r="AZ226" i="3"/>
  <c r="AX226" i="3"/>
  <c r="BA110" i="3"/>
  <c r="BB110" i="3"/>
  <c r="BA159" i="3"/>
  <c r="BB159" i="3"/>
  <c r="BB177" i="3"/>
  <c r="BA177" i="3"/>
  <c r="BA263" i="3"/>
  <c r="BB263" i="3"/>
  <c r="BD263" i="3"/>
  <c r="BB88" i="3"/>
  <c r="BA88" i="3"/>
  <c r="BB178" i="3"/>
  <c r="BA178" i="3"/>
  <c r="BA116" i="3"/>
  <c r="BB116" i="3"/>
  <c r="BA224" i="3"/>
  <c r="BB224" i="3"/>
  <c r="BD224" i="3"/>
  <c r="BA197" i="3"/>
  <c r="BB197" i="3"/>
  <c r="BA220" i="3"/>
  <c r="BB220" i="3"/>
  <c r="AH247" i="3"/>
  <c r="AG247" i="3"/>
  <c r="BB205" i="3"/>
  <c r="BA205" i="3"/>
  <c r="BB137" i="3"/>
  <c r="BA137" i="3"/>
  <c r="AY235" i="3"/>
  <c r="AX235" i="3"/>
  <c r="AZ235" i="3"/>
  <c r="AF97" i="3"/>
  <c r="Z97" i="3"/>
  <c r="Y97" i="3"/>
  <c r="Y195" i="3"/>
  <c r="Z195" i="3"/>
  <c r="AF195" i="3"/>
  <c r="AX225" i="3"/>
  <c r="AY225" i="3"/>
  <c r="AZ225" i="3"/>
  <c r="BD225" i="3" s="1"/>
  <c r="AH95" i="3"/>
  <c r="AG95" i="3"/>
  <c r="AH172" i="3"/>
  <c r="AG172" i="3"/>
  <c r="AZ203" i="3"/>
  <c r="AX203" i="3"/>
  <c r="AY203" i="3"/>
  <c r="Y157" i="3"/>
  <c r="AF157" i="3"/>
  <c r="Z157" i="3"/>
  <c r="AF185" i="3"/>
  <c r="Z185" i="3"/>
  <c r="Y185" i="3"/>
  <c r="BD161" i="3"/>
  <c r="AF176" i="3"/>
  <c r="Z176" i="3"/>
  <c r="Y176" i="3"/>
  <c r="AH177" i="3"/>
  <c r="AG177" i="3"/>
  <c r="BA249" i="3"/>
  <c r="BB249" i="3"/>
  <c r="BD249" i="3"/>
  <c r="BB123" i="3"/>
  <c r="BA123" i="3"/>
  <c r="BD123" i="3"/>
  <c r="AD218" i="3"/>
  <c r="AC218" i="3"/>
  <c r="AG143" i="3"/>
  <c r="AH143" i="3"/>
  <c r="BB64" i="3"/>
  <c r="BA64" i="3"/>
  <c r="BA108" i="3"/>
  <c r="BB108" i="3"/>
  <c r="BB98" i="3"/>
  <c r="BA98" i="3"/>
  <c r="BD98" i="3"/>
  <c r="AC115" i="3"/>
  <c r="AD115" i="3"/>
  <c r="BB84" i="3"/>
  <c r="BA84" i="3"/>
  <c r="BD205" i="3"/>
  <c r="BB166" i="3"/>
  <c r="BA166" i="3"/>
  <c r="AH94" i="3"/>
  <c r="AG94" i="3"/>
  <c r="AH178" i="3"/>
  <c r="AG178" i="3"/>
  <c r="BD166" i="3"/>
  <c r="BD155" i="3"/>
  <c r="BA251" i="3"/>
  <c r="BB251" i="3"/>
  <c r="BD251" i="3"/>
  <c r="BA190" i="3"/>
  <c r="AH233" i="3"/>
  <c r="AG233" i="3"/>
  <c r="BA162" i="3"/>
  <c r="BB162" i="3"/>
  <c r="AZ167" i="3"/>
  <c r="AX167" i="3"/>
  <c r="AY167" i="3"/>
  <c r="AX143" i="3"/>
  <c r="AY143" i="3"/>
  <c r="AZ143" i="3"/>
  <c r="AY258" i="3"/>
  <c r="AZ258" i="3"/>
  <c r="AX258" i="3"/>
  <c r="BD220" i="3"/>
  <c r="AF139" i="3"/>
  <c r="Z139" i="3"/>
  <c r="Y139" i="3"/>
  <c r="BD83" i="3"/>
  <c r="AH210" i="3"/>
  <c r="AG210" i="3"/>
  <c r="AY74" i="3"/>
  <c r="AX74" i="3"/>
  <c r="AZ74" i="3"/>
  <c r="BB207" i="3"/>
  <c r="BA207" i="3"/>
  <c r="BD207" i="3"/>
  <c r="BB170" i="3"/>
  <c r="BA170" i="3"/>
  <c r="BB213" i="3"/>
  <c r="BA213" i="3"/>
  <c r="BA223" i="3"/>
  <c r="BB223" i="3"/>
  <c r="BA154" i="3"/>
  <c r="BB154" i="3"/>
  <c r="AY131" i="3"/>
  <c r="AX131" i="3"/>
  <c r="AZ131" i="3"/>
  <c r="AG227" i="3"/>
  <c r="AH227" i="3"/>
  <c r="AG245" i="3"/>
  <c r="AH245" i="3"/>
  <c r="AX109" i="3"/>
  <c r="AY109" i="3"/>
  <c r="AZ109" i="3"/>
  <c r="AY237" i="3"/>
  <c r="AX237" i="3"/>
  <c r="AZ237" i="3"/>
  <c r="AX147" i="3"/>
  <c r="AY147" i="3"/>
  <c r="AZ147" i="3"/>
  <c r="AZ69" i="3"/>
  <c r="AY69" i="3"/>
  <c r="AX69" i="3"/>
  <c r="AY156" i="3"/>
  <c r="AZ156" i="3"/>
  <c r="AX156" i="3"/>
  <c r="AZ254" i="3"/>
  <c r="AX254" i="3"/>
  <c r="AY254" i="3"/>
  <c r="BB153" i="3"/>
  <c r="BA153" i="3"/>
  <c r="BA79" i="3"/>
  <c r="BB79" i="3"/>
  <c r="BB90" i="3"/>
  <c r="BA90" i="3"/>
  <c r="BA238" i="3"/>
  <c r="BB238" i="3"/>
  <c r="BD238" i="3"/>
  <c r="AH170" i="3"/>
  <c r="AG170" i="3"/>
  <c r="AD64" i="3"/>
  <c r="AC64" i="3"/>
  <c r="BA246" i="3"/>
  <c r="BB246" i="3"/>
  <c r="BB242" i="3"/>
  <c r="BD154" i="3"/>
  <c r="BB245" i="3"/>
  <c r="BA245" i="3"/>
  <c r="BA132" i="3"/>
  <c r="BB132" i="3"/>
  <c r="BB81" i="3"/>
  <c r="BA81" i="3"/>
  <c r="AF64" i="3"/>
  <c r="BA140" i="3"/>
  <c r="BB140" i="3"/>
  <c r="BA138" i="3"/>
  <c r="BB138" i="3"/>
  <c r="BD138" i="3"/>
  <c r="BD190" i="3" l="1"/>
  <c r="BE190" i="3" s="1"/>
  <c r="BH190" i="3" s="1"/>
  <c r="BE66" i="3"/>
  <c r="BH66" i="3" s="1"/>
  <c r="BD67" i="3"/>
  <c r="BE67" i="3" s="1"/>
  <c r="BH67" i="3" s="1"/>
  <c r="BB66" i="3"/>
  <c r="BA242" i="3"/>
  <c r="AG87" i="3"/>
  <c r="AG78" i="3"/>
  <c r="BB67" i="3"/>
  <c r="BA66" i="3"/>
  <c r="AH71" i="3"/>
  <c r="AH117" i="3"/>
  <c r="AZ65" i="3"/>
  <c r="BA65" i="3" s="1"/>
  <c r="AH261" i="3"/>
  <c r="AZ68" i="3"/>
  <c r="BD68" i="3" s="1"/>
  <c r="BF68" i="3" s="1"/>
  <c r="BI68" i="3" s="1"/>
  <c r="AD65" i="3"/>
  <c r="AC65" i="3"/>
  <c r="AF65" i="3"/>
  <c r="AG65" i="3" s="1"/>
  <c r="AC68" i="3"/>
  <c r="AD68" i="3"/>
  <c r="AF68" i="3"/>
  <c r="AG68" i="3" s="1"/>
  <c r="AH75" i="3"/>
  <c r="BD97" i="3"/>
  <c r="BF97" i="3" s="1"/>
  <c r="BI97" i="3" s="1"/>
  <c r="BA97" i="3"/>
  <c r="BD176" i="3"/>
  <c r="BE176" i="3" s="1"/>
  <c r="BH176" i="3" s="1"/>
  <c r="BA176" i="3"/>
  <c r="AG66" i="3"/>
  <c r="BD214" i="3"/>
  <c r="BE214" i="3" s="1"/>
  <c r="BH214" i="3" s="1"/>
  <c r="BB214" i="3"/>
  <c r="AH263" i="3"/>
  <c r="AG74" i="3"/>
  <c r="BA232" i="3"/>
  <c r="BD99" i="3"/>
  <c r="BF99" i="3" s="1"/>
  <c r="BI99" i="3" s="1"/>
  <c r="BA99" i="3"/>
  <c r="BE162" i="3"/>
  <c r="BH162" i="3" s="1"/>
  <c r="AH256" i="3"/>
  <c r="BD232" i="3"/>
  <c r="BF232" i="3" s="1"/>
  <c r="BI232" i="3" s="1"/>
  <c r="AH232" i="3"/>
  <c r="AG179" i="3"/>
  <c r="AH122" i="3"/>
  <c r="AG182" i="3"/>
  <c r="BD200" i="3"/>
  <c r="BE200" i="3" s="1"/>
  <c r="BH200" i="3" s="1"/>
  <c r="BE191" i="3"/>
  <c r="BH191" i="3" s="1"/>
  <c r="AH248" i="3"/>
  <c r="BD201" i="3"/>
  <c r="BE201" i="3" s="1"/>
  <c r="BH201" i="3" s="1"/>
  <c r="AH164" i="3"/>
  <c r="AG262" i="3"/>
  <c r="BF135" i="3"/>
  <c r="BI135" i="3" s="1"/>
  <c r="BD136" i="3"/>
  <c r="BF136" i="3" s="1"/>
  <c r="BI136" i="3" s="1"/>
  <c r="AG191" i="3"/>
  <c r="AH241" i="3"/>
  <c r="BA73" i="3"/>
  <c r="BB73" i="3"/>
  <c r="AG77" i="3"/>
  <c r="AC246" i="3"/>
  <c r="AG73" i="3"/>
  <c r="BB247" i="3"/>
  <c r="AH168" i="3"/>
  <c r="BE158" i="3"/>
  <c r="BH158" i="3" s="1"/>
  <c r="BB82" i="3"/>
  <c r="BA135" i="3"/>
  <c r="BB158" i="3"/>
  <c r="AH135" i="3"/>
  <c r="BB191" i="3"/>
  <c r="AG130" i="3"/>
  <c r="BA158" i="3"/>
  <c r="BA191" i="3"/>
  <c r="BE73" i="3"/>
  <c r="BH73" i="3" s="1"/>
  <c r="BD82" i="3"/>
  <c r="BF82" i="3" s="1"/>
  <c r="BI82" i="3" s="1"/>
  <c r="AG204" i="3"/>
  <c r="BD195" i="3"/>
  <c r="BE195" i="3" s="1"/>
  <c r="BH195" i="3" s="1"/>
  <c r="AG136" i="3"/>
  <c r="BF247" i="3"/>
  <c r="BI247" i="3" s="1"/>
  <c r="BB136" i="3"/>
  <c r="BA195" i="3"/>
  <c r="BB135" i="3"/>
  <c r="BE79" i="3"/>
  <c r="BH79" i="3" s="1"/>
  <c r="BA247" i="3"/>
  <c r="AG174" i="3"/>
  <c r="BB148" i="3"/>
  <c r="BA148" i="3"/>
  <c r="BE130" i="3"/>
  <c r="BH130" i="3" s="1"/>
  <c r="BA130" i="3"/>
  <c r="AG106" i="3"/>
  <c r="AH226" i="3"/>
  <c r="BD100" i="3"/>
  <c r="BE100" i="3" s="1"/>
  <c r="BH100" i="3" s="1"/>
  <c r="BB255" i="3"/>
  <c r="BF132" i="3"/>
  <c r="BI132" i="3" s="1"/>
  <c r="BB71" i="3"/>
  <c r="BA152" i="3"/>
  <c r="BB200" i="3"/>
  <c r="BB160" i="3"/>
  <c r="AG175" i="3"/>
  <c r="AG120" i="3"/>
  <c r="AH235" i="3"/>
  <c r="BD152" i="3"/>
  <c r="BE152" i="3" s="1"/>
  <c r="BH152" i="3" s="1"/>
  <c r="AG83" i="3"/>
  <c r="AG193" i="3"/>
  <c r="BF85" i="3"/>
  <c r="BI85" i="3" s="1"/>
  <c r="BA160" i="3"/>
  <c r="AD246" i="3"/>
  <c r="BD222" i="3"/>
  <c r="BF222" i="3" s="1"/>
  <c r="BI222" i="3" s="1"/>
  <c r="AG206" i="3"/>
  <c r="BA71" i="3"/>
  <c r="BE71" i="3"/>
  <c r="BH71" i="3" s="1"/>
  <c r="BF81" i="3"/>
  <c r="BI81" i="3" s="1"/>
  <c r="BA217" i="3"/>
  <c r="BA85" i="3"/>
  <c r="AG127" i="3"/>
  <c r="AH229" i="3"/>
  <c r="AG132" i="3"/>
  <c r="BB105" i="3"/>
  <c r="BB85" i="3"/>
  <c r="AH72" i="3"/>
  <c r="BA125" i="3"/>
  <c r="BA250" i="3"/>
  <c r="BD119" i="3"/>
  <c r="BE119" i="3" s="1"/>
  <c r="BH119" i="3" s="1"/>
  <c r="AG253" i="3"/>
  <c r="BB103" i="3"/>
  <c r="BE250" i="3"/>
  <c r="BH250" i="3" s="1"/>
  <c r="BD157" i="3"/>
  <c r="BE157" i="3" s="1"/>
  <c r="BH157" i="3" s="1"/>
  <c r="BB119" i="3"/>
  <c r="BA133" i="3"/>
  <c r="BB130" i="3"/>
  <c r="AH152" i="3"/>
  <c r="BD103" i="3"/>
  <c r="BF103" i="3" s="1"/>
  <c r="BI103" i="3" s="1"/>
  <c r="BB157" i="3"/>
  <c r="AG81" i="3"/>
  <c r="BF125" i="3"/>
  <c r="BI125" i="3" s="1"/>
  <c r="BE170" i="3"/>
  <c r="BH170" i="3" s="1"/>
  <c r="BB125" i="3"/>
  <c r="AG244" i="3"/>
  <c r="BB133" i="3"/>
  <c r="BE245" i="3"/>
  <c r="BH245" i="3" s="1"/>
  <c r="AH69" i="3"/>
  <c r="BB201" i="3"/>
  <c r="BB222" i="3"/>
  <c r="BB188" i="3"/>
  <c r="AG67" i="3"/>
  <c r="AH160" i="3"/>
  <c r="AG125" i="3"/>
  <c r="AG218" i="3"/>
  <c r="BD228" i="3"/>
  <c r="BF228" i="3" s="1"/>
  <c r="BI228" i="3" s="1"/>
  <c r="AH118" i="3"/>
  <c r="AH100" i="3"/>
  <c r="BD104" i="3"/>
  <c r="BE104" i="3" s="1"/>
  <c r="BH104" i="3" s="1"/>
  <c r="BA105" i="3"/>
  <c r="BB186" i="3"/>
  <c r="AH194" i="3"/>
  <c r="AG119" i="3"/>
  <c r="AG258" i="3"/>
  <c r="AH169" i="3"/>
  <c r="AH93" i="3"/>
  <c r="AH133" i="3"/>
  <c r="BD92" i="3"/>
  <c r="BE92" i="3" s="1"/>
  <c r="BH92" i="3" s="1"/>
  <c r="BD229" i="3"/>
  <c r="BE229" i="3" s="1"/>
  <c r="BH229" i="3" s="1"/>
  <c r="AH264" i="3"/>
  <c r="BE124" i="3"/>
  <c r="BH124" i="3" s="1"/>
  <c r="BB101" i="3"/>
  <c r="BE264" i="3"/>
  <c r="BH264" i="3" s="1"/>
  <c r="BB217" i="3"/>
  <c r="AH220" i="3"/>
  <c r="BB100" i="3"/>
  <c r="BD255" i="3"/>
  <c r="BE255" i="3" s="1"/>
  <c r="BH255" i="3" s="1"/>
  <c r="AH234" i="3"/>
  <c r="AG243" i="3"/>
  <c r="AG149" i="3"/>
  <c r="BA80" i="3"/>
  <c r="BA86" i="3"/>
  <c r="AH131" i="3"/>
  <c r="AG240" i="3"/>
  <c r="BD240" i="3"/>
  <c r="BE240" i="3" s="1"/>
  <c r="BH240" i="3" s="1"/>
  <c r="BA228" i="3"/>
  <c r="AG254" i="3"/>
  <c r="AG98" i="3"/>
  <c r="BA104" i="3"/>
  <c r="BA169" i="3"/>
  <c r="BA229" i="3"/>
  <c r="AG173" i="3"/>
  <c r="BA257" i="3"/>
  <c r="BA139" i="3"/>
  <c r="AG124" i="3"/>
  <c r="BB240" i="3"/>
  <c r="AH115" i="3"/>
  <c r="BB264" i="3"/>
  <c r="AH165" i="3"/>
  <c r="AH252" i="3"/>
  <c r="BD139" i="3"/>
  <c r="BE139" i="3" s="1"/>
  <c r="BH139" i="3" s="1"/>
  <c r="BA264" i="3"/>
  <c r="AG215" i="3"/>
  <c r="AG251" i="3"/>
  <c r="AG250" i="3"/>
  <c r="AG209" i="3"/>
  <c r="BB250" i="3"/>
  <c r="AG80" i="3"/>
  <c r="AH190" i="3"/>
  <c r="AG158" i="3"/>
  <c r="AG146" i="3"/>
  <c r="AH104" i="3"/>
  <c r="BF84" i="3"/>
  <c r="BI84" i="3" s="1"/>
  <c r="BB215" i="3"/>
  <c r="AH167" i="3"/>
  <c r="BA219" i="3"/>
  <c r="AG85" i="3"/>
  <c r="AH123" i="3"/>
  <c r="BA239" i="3"/>
  <c r="BE188" i="3"/>
  <c r="BH188" i="3" s="1"/>
  <c r="AH224" i="3"/>
  <c r="AH187" i="3"/>
  <c r="AH196" i="3"/>
  <c r="BE116" i="3"/>
  <c r="BH116" i="3" s="1"/>
  <c r="AH134" i="3"/>
  <c r="AH70" i="3"/>
  <c r="BA231" i="3"/>
  <c r="BD101" i="3"/>
  <c r="BE101" i="3" s="1"/>
  <c r="BH101" i="3" s="1"/>
  <c r="AH114" i="3"/>
  <c r="AG205" i="3"/>
  <c r="AH92" i="3"/>
  <c r="AH101" i="3"/>
  <c r="AG222" i="3"/>
  <c r="BA186" i="3"/>
  <c r="BA188" i="3"/>
  <c r="BD257" i="3"/>
  <c r="BF257" i="3" s="1"/>
  <c r="BI257" i="3" s="1"/>
  <c r="BA145" i="3"/>
  <c r="AH188" i="3"/>
  <c r="BB86" i="3"/>
  <c r="AG198" i="3"/>
  <c r="BD80" i="3"/>
  <c r="BF80" i="3" s="1"/>
  <c r="BI80" i="3" s="1"/>
  <c r="BB169" i="3"/>
  <c r="AH142" i="3"/>
  <c r="BD215" i="3"/>
  <c r="BE215" i="3" s="1"/>
  <c r="BH215" i="3" s="1"/>
  <c r="BA92" i="3"/>
  <c r="BF169" i="3"/>
  <c r="BI169" i="3" s="1"/>
  <c r="BD187" i="3"/>
  <c r="BE187" i="3" s="1"/>
  <c r="BH187" i="3" s="1"/>
  <c r="AG150" i="3"/>
  <c r="BB187" i="3"/>
  <c r="AG181" i="3"/>
  <c r="AG180" i="3"/>
  <c r="BD219" i="3"/>
  <c r="BF219" i="3" s="1"/>
  <c r="BI219" i="3" s="1"/>
  <c r="BF134" i="3"/>
  <c r="BI134" i="3" s="1"/>
  <c r="AG121" i="3"/>
  <c r="AH183" i="3"/>
  <c r="BA96" i="3"/>
  <c r="AG199" i="3"/>
  <c r="AH84" i="3"/>
  <c r="BD145" i="3"/>
  <c r="BF145" i="3" s="1"/>
  <c r="BI145" i="3" s="1"/>
  <c r="BD96" i="3"/>
  <c r="BE96" i="3" s="1"/>
  <c r="BH96" i="3" s="1"/>
  <c r="AH86" i="3"/>
  <c r="AG113" i="3"/>
  <c r="BF108" i="3"/>
  <c r="BI108" i="3" s="1"/>
  <c r="BE199" i="3"/>
  <c r="BH199" i="3" s="1"/>
  <c r="BB199" i="3"/>
  <c r="BA199" i="3"/>
  <c r="BD231" i="3"/>
  <c r="BE231" i="3" s="1"/>
  <c r="BH231" i="3" s="1"/>
  <c r="BB134" i="3"/>
  <c r="BB252" i="3"/>
  <c r="BF252" i="3"/>
  <c r="BI252" i="3" s="1"/>
  <c r="BA252" i="3"/>
  <c r="BA134" i="3"/>
  <c r="BA87" i="3"/>
  <c r="BA241" i="3"/>
  <c r="BF241" i="3"/>
  <c r="BI241" i="3" s="1"/>
  <c r="BB241" i="3"/>
  <c r="BD87" i="3"/>
  <c r="BE87" i="3" s="1"/>
  <c r="BH87" i="3" s="1"/>
  <c r="AG207" i="3"/>
  <c r="BE118" i="3"/>
  <c r="BH118" i="3" s="1"/>
  <c r="BD77" i="3"/>
  <c r="BF77" i="3" s="1"/>
  <c r="BI77" i="3" s="1"/>
  <c r="BB77" i="3"/>
  <c r="BB118" i="3"/>
  <c r="BA118" i="3"/>
  <c r="BD181" i="3"/>
  <c r="BE181" i="3" s="1"/>
  <c r="BH181" i="3" s="1"/>
  <c r="BE150" i="3"/>
  <c r="BH150" i="3" s="1"/>
  <c r="BB150" i="3"/>
  <c r="BF168" i="3"/>
  <c r="BI168" i="3" s="1"/>
  <c r="BB94" i="3"/>
  <c r="BB181" i="3"/>
  <c r="BA168" i="3"/>
  <c r="BD94" i="3"/>
  <c r="BE94" i="3" s="1"/>
  <c r="BH94" i="3" s="1"/>
  <c r="BB168" i="3"/>
  <c r="BD76" i="3"/>
  <c r="BF76" i="3" s="1"/>
  <c r="BI76" i="3" s="1"/>
  <c r="BA150" i="3"/>
  <c r="BA174" i="3"/>
  <c r="BB76" i="3"/>
  <c r="BD113" i="3"/>
  <c r="BE113" i="3" s="1"/>
  <c r="BH113" i="3" s="1"/>
  <c r="BE209" i="3"/>
  <c r="BH209" i="3" s="1"/>
  <c r="BF196" i="3"/>
  <c r="BI196" i="3" s="1"/>
  <c r="BF142" i="3"/>
  <c r="BI142" i="3" s="1"/>
  <c r="BE173" i="3"/>
  <c r="BH173" i="3" s="1"/>
  <c r="BB173" i="3"/>
  <c r="BA117" i="3"/>
  <c r="BE117" i="3"/>
  <c r="BH117" i="3" s="1"/>
  <c r="BD244" i="3"/>
  <c r="BE244" i="3" s="1"/>
  <c r="BH244" i="3" s="1"/>
  <c r="BA89" i="3"/>
  <c r="BB163" i="3"/>
  <c r="BB204" i="3"/>
  <c r="BD89" i="3"/>
  <c r="BE89" i="3" s="1"/>
  <c r="BH89" i="3" s="1"/>
  <c r="AG129" i="3"/>
  <c r="BB196" i="3"/>
  <c r="BB209" i="3"/>
  <c r="BB142" i="3"/>
  <c r="BA196" i="3"/>
  <c r="BA113" i="3"/>
  <c r="BB174" i="3"/>
  <c r="BA209" i="3"/>
  <c r="BD204" i="3"/>
  <c r="BF204" i="3" s="1"/>
  <c r="BI204" i="3" s="1"/>
  <c r="BB117" i="3"/>
  <c r="BB244" i="3"/>
  <c r="BA173" i="3"/>
  <c r="BA175" i="3"/>
  <c r="BD239" i="3"/>
  <c r="BE239" i="3" s="1"/>
  <c r="BH239" i="3" s="1"/>
  <c r="BA171" i="3"/>
  <c r="BD211" i="3"/>
  <c r="BF211" i="3" s="1"/>
  <c r="BI211" i="3" s="1"/>
  <c r="BA163" i="3"/>
  <c r="BA142" i="3"/>
  <c r="AH219" i="3"/>
  <c r="BA261" i="3"/>
  <c r="BD185" i="3"/>
  <c r="BE185" i="3" s="1"/>
  <c r="BH185" i="3" s="1"/>
  <c r="BD221" i="3"/>
  <c r="BE221" i="3" s="1"/>
  <c r="BH221" i="3" s="1"/>
  <c r="BA256" i="3"/>
  <c r="BB211" i="3"/>
  <c r="BB175" i="3"/>
  <c r="BB221" i="3"/>
  <c r="BD72" i="3"/>
  <c r="BE72" i="3" s="1"/>
  <c r="BH72" i="3" s="1"/>
  <c r="BA72" i="3"/>
  <c r="BE261" i="3"/>
  <c r="BH261" i="3" s="1"/>
  <c r="BA243" i="3"/>
  <c r="BD93" i="3"/>
  <c r="BF93" i="3" s="1"/>
  <c r="BI93" i="3" s="1"/>
  <c r="BA93" i="3"/>
  <c r="BD256" i="3"/>
  <c r="BE256" i="3" s="1"/>
  <c r="BH256" i="3" s="1"/>
  <c r="BB261" i="3"/>
  <c r="BD243" i="3"/>
  <c r="BE243" i="3" s="1"/>
  <c r="BH243" i="3" s="1"/>
  <c r="BB185" i="3"/>
  <c r="BB107" i="3"/>
  <c r="BD112" i="3"/>
  <c r="BF112" i="3" s="1"/>
  <c r="BI112" i="3" s="1"/>
  <c r="BE141" i="3"/>
  <c r="BH141" i="3" s="1"/>
  <c r="BA112" i="3"/>
  <c r="BB141" i="3"/>
  <c r="BD172" i="3"/>
  <c r="BF172" i="3" s="1"/>
  <c r="BI172" i="3" s="1"/>
  <c r="BD107" i="3"/>
  <c r="BE107" i="3" s="1"/>
  <c r="BH107" i="3" s="1"/>
  <c r="BF165" i="3"/>
  <c r="BI165" i="3" s="1"/>
  <c r="BA141" i="3"/>
  <c r="BB91" i="3"/>
  <c r="BB165" i="3"/>
  <c r="BD260" i="3"/>
  <c r="BF260" i="3" s="1"/>
  <c r="BI260" i="3" s="1"/>
  <c r="BA260" i="3"/>
  <c r="BA91" i="3"/>
  <c r="BA165" i="3"/>
  <c r="BB171" i="3"/>
  <c r="BD227" i="3"/>
  <c r="BE227" i="3" s="1"/>
  <c r="BH227" i="3" s="1"/>
  <c r="BB182" i="3"/>
  <c r="BD182" i="3"/>
  <c r="BE182" i="3" s="1"/>
  <c r="BH182" i="3" s="1"/>
  <c r="AH249" i="3"/>
  <c r="BD144" i="3"/>
  <c r="BF144" i="3" s="1"/>
  <c r="BI144" i="3" s="1"/>
  <c r="BD218" i="3"/>
  <c r="BF218" i="3" s="1"/>
  <c r="BI218" i="3" s="1"/>
  <c r="BA218" i="3"/>
  <c r="BB122" i="3"/>
  <c r="BA179" i="3"/>
  <c r="BA198" i="3"/>
  <c r="BA122" i="3"/>
  <c r="BB198" i="3"/>
  <c r="BB179" i="3"/>
  <c r="BA189" i="3"/>
  <c r="BD189" i="3"/>
  <c r="BE189" i="3" s="1"/>
  <c r="BH189" i="3" s="1"/>
  <c r="BB202" i="3"/>
  <c r="BA172" i="3"/>
  <c r="BB114" i="3"/>
  <c r="BD114" i="3"/>
  <c r="BE114" i="3" s="1"/>
  <c r="BH114" i="3" s="1"/>
  <c r="BA102" i="3"/>
  <c r="BB102" i="3"/>
  <c r="BA227" i="3"/>
  <c r="BA262" i="3"/>
  <c r="BD202" i="3"/>
  <c r="BF202" i="3" s="1"/>
  <c r="BI202" i="3" s="1"/>
  <c r="BB262" i="3"/>
  <c r="BA236" i="3"/>
  <c r="BD183" i="3"/>
  <c r="BE183" i="3" s="1"/>
  <c r="BH183" i="3" s="1"/>
  <c r="BD236" i="3"/>
  <c r="BF236" i="3" s="1"/>
  <c r="BI236" i="3" s="1"/>
  <c r="BA126" i="3"/>
  <c r="AH189" i="3"/>
  <c r="BA144" i="3"/>
  <c r="BE178" i="3"/>
  <c r="BH178" i="3" s="1"/>
  <c r="BE126" i="3"/>
  <c r="BH126" i="3" s="1"/>
  <c r="BB126" i="3"/>
  <c r="BB248" i="3"/>
  <c r="BB212" i="3"/>
  <c r="BD230" i="3"/>
  <c r="BE230" i="3" s="1"/>
  <c r="BH230" i="3" s="1"/>
  <c r="BA111" i="3"/>
  <c r="BB111" i="3"/>
  <c r="BA230" i="3"/>
  <c r="BF248" i="3"/>
  <c r="BI248" i="3" s="1"/>
  <c r="BA248" i="3"/>
  <c r="BD234" i="3"/>
  <c r="BF234" i="3" s="1"/>
  <c r="BI234" i="3" s="1"/>
  <c r="BA234" i="3"/>
  <c r="AG145" i="3"/>
  <c r="BF127" i="3"/>
  <c r="BI127" i="3" s="1"/>
  <c r="BB194" i="3"/>
  <c r="BB146" i="3"/>
  <c r="BE146" i="3"/>
  <c r="BH146" i="3" s="1"/>
  <c r="BA78" i="3"/>
  <c r="BA146" i="3"/>
  <c r="BE194" i="3"/>
  <c r="BH194" i="3" s="1"/>
  <c r="BF121" i="3"/>
  <c r="BI121" i="3" s="1"/>
  <c r="BD78" i="3"/>
  <c r="BE78" i="3" s="1"/>
  <c r="BH78" i="3" s="1"/>
  <c r="BB121" i="3"/>
  <c r="BA194" i="3"/>
  <c r="BA121" i="3"/>
  <c r="BA127" i="3"/>
  <c r="AH200" i="3"/>
  <c r="BB127" i="3"/>
  <c r="BD212" i="3"/>
  <c r="BF212" i="3" s="1"/>
  <c r="BI212" i="3" s="1"/>
  <c r="BB183" i="3"/>
  <c r="BF70" i="3"/>
  <c r="BI70" i="3" s="1"/>
  <c r="BA70" i="3"/>
  <c r="AH201" i="3"/>
  <c r="BB70" i="3"/>
  <c r="BA253" i="3"/>
  <c r="BB253" i="3"/>
  <c r="BF91" i="3"/>
  <c r="BI91" i="3" s="1"/>
  <c r="AG228" i="3"/>
  <c r="BF253" i="3"/>
  <c r="BI253" i="3" s="1"/>
  <c r="BF64" i="3"/>
  <c r="BI64" i="3" s="1"/>
  <c r="BF184" i="3"/>
  <c r="BI184" i="3" s="1"/>
  <c r="BF216" i="3"/>
  <c r="BI216" i="3" s="1"/>
  <c r="BF177" i="3"/>
  <c r="BI177" i="3" s="1"/>
  <c r="AG111" i="3"/>
  <c r="AG223" i="3"/>
  <c r="BE246" i="3"/>
  <c r="BH246" i="3" s="1"/>
  <c r="AG154" i="3"/>
  <c r="AG236" i="3"/>
  <c r="BE128" i="3"/>
  <c r="BH128" i="3" s="1"/>
  <c r="BE223" i="3"/>
  <c r="BH223" i="3" s="1"/>
  <c r="AH217" i="3"/>
  <c r="AG246" i="3"/>
  <c r="AG91" i="3"/>
  <c r="AG107" i="3"/>
  <c r="BE111" i="3"/>
  <c r="BH111" i="3" s="1"/>
  <c r="BB210" i="3"/>
  <c r="AG89" i="3"/>
  <c r="AG260" i="3"/>
  <c r="AG186" i="3"/>
  <c r="AG163" i="3"/>
  <c r="AH259" i="3"/>
  <c r="AG140" i="3"/>
  <c r="AH239" i="3"/>
  <c r="AG203" i="3"/>
  <c r="AH82" i="3"/>
  <c r="AG214" i="3"/>
  <c r="AH211" i="3"/>
  <c r="BA233" i="3"/>
  <c r="AH155" i="3"/>
  <c r="AG76" i="3"/>
  <c r="AG110" i="3"/>
  <c r="AH159" i="3"/>
  <c r="AG109" i="3"/>
  <c r="BF163" i="3"/>
  <c r="BI163" i="3" s="1"/>
  <c r="AH212" i="3"/>
  <c r="BB233" i="3"/>
  <c r="BE110" i="3"/>
  <c r="BH110" i="3" s="1"/>
  <c r="AG213" i="3"/>
  <c r="BE233" i="3"/>
  <c r="BH233" i="3" s="1"/>
  <c r="AG238" i="3"/>
  <c r="AH156" i="3"/>
  <c r="BE153" i="3"/>
  <c r="BH153" i="3" s="1"/>
  <c r="BA95" i="3"/>
  <c r="BB95" i="3"/>
  <c r="BD95" i="3"/>
  <c r="BF171" i="3"/>
  <c r="BI171" i="3" s="1"/>
  <c r="BE175" i="3"/>
  <c r="BH175" i="3" s="1"/>
  <c r="AG137" i="3"/>
  <c r="BD210" i="3"/>
  <c r="BF210" i="3" s="1"/>
  <c r="BI210" i="3" s="1"/>
  <c r="AG192" i="3"/>
  <c r="BF159" i="3"/>
  <c r="BI159" i="3" s="1"/>
  <c r="AG153" i="3"/>
  <c r="BF148" i="3"/>
  <c r="BI148" i="3" s="1"/>
  <c r="AG88" i="3"/>
  <c r="BF137" i="3"/>
  <c r="BI137" i="3" s="1"/>
  <c r="BF88" i="3"/>
  <c r="BI88" i="3" s="1"/>
  <c r="AH216" i="3"/>
  <c r="AG216" i="3"/>
  <c r="AH99" i="3"/>
  <c r="BE213" i="3"/>
  <c r="BH213" i="3" s="1"/>
  <c r="AG144" i="3"/>
  <c r="AG148" i="3"/>
  <c r="AG230" i="3"/>
  <c r="AH138" i="3"/>
  <c r="AG138" i="3"/>
  <c r="BF140" i="3"/>
  <c r="BI140" i="3" s="1"/>
  <c r="AG231" i="3"/>
  <c r="AH231" i="3"/>
  <c r="BF208" i="3"/>
  <c r="BI208" i="3" s="1"/>
  <c r="BE208" i="3"/>
  <c r="BH208" i="3" s="1"/>
  <c r="AH208" i="3"/>
  <c r="AG208" i="3"/>
  <c r="BF262" i="3"/>
  <c r="BI262" i="3" s="1"/>
  <c r="BE262" i="3"/>
  <c r="BH262" i="3" s="1"/>
  <c r="BB143" i="3"/>
  <c r="BA143" i="3"/>
  <c r="BD143" i="3"/>
  <c r="BE86" i="3"/>
  <c r="BH86" i="3" s="1"/>
  <c r="BF86" i="3"/>
  <c r="BI86" i="3" s="1"/>
  <c r="AG255" i="3"/>
  <c r="AH255" i="3"/>
  <c r="BB237" i="3"/>
  <c r="BA237" i="3"/>
  <c r="BD237" i="3"/>
  <c r="BB131" i="3"/>
  <c r="BA131" i="3"/>
  <c r="BD131" i="3"/>
  <c r="AG139" i="3"/>
  <c r="AH139" i="3"/>
  <c r="BE138" i="3"/>
  <c r="BH138" i="3" s="1"/>
  <c r="BF138" i="3"/>
  <c r="BI138" i="3" s="1"/>
  <c r="BF238" i="3"/>
  <c r="BI238" i="3" s="1"/>
  <c r="BE238" i="3"/>
  <c r="BH238" i="3" s="1"/>
  <c r="BA156" i="3"/>
  <c r="BB156" i="3"/>
  <c r="BD156" i="3"/>
  <c r="BF174" i="3"/>
  <c r="BI174" i="3" s="1"/>
  <c r="BE174" i="3"/>
  <c r="BH174" i="3" s="1"/>
  <c r="BB147" i="3"/>
  <c r="BA147" i="3"/>
  <c r="BD147" i="3"/>
  <c r="BF186" i="3"/>
  <c r="BI186" i="3" s="1"/>
  <c r="BE186" i="3"/>
  <c r="BH186" i="3" s="1"/>
  <c r="BB74" i="3"/>
  <c r="BA74" i="3"/>
  <c r="BD74" i="3"/>
  <c r="BA167" i="3"/>
  <c r="BB167" i="3"/>
  <c r="BD167" i="3"/>
  <c r="BF122" i="3"/>
  <c r="BI122" i="3" s="1"/>
  <c r="BE122" i="3"/>
  <c r="BH122" i="3" s="1"/>
  <c r="BE205" i="3"/>
  <c r="BH205" i="3" s="1"/>
  <c r="BF205" i="3"/>
  <c r="BI205" i="3" s="1"/>
  <c r="BE98" i="3"/>
  <c r="BH98" i="3" s="1"/>
  <c r="BF98" i="3"/>
  <c r="BI98" i="3" s="1"/>
  <c r="BE249" i="3"/>
  <c r="BH249" i="3" s="1"/>
  <c r="BF249" i="3"/>
  <c r="BI249" i="3" s="1"/>
  <c r="BA225" i="3"/>
  <c r="BB225" i="3"/>
  <c r="BB235" i="3"/>
  <c r="BA235" i="3"/>
  <c r="BD235" i="3"/>
  <c r="AH105" i="3"/>
  <c r="AG105" i="3"/>
  <c r="AH90" i="3"/>
  <c r="AG90" i="3"/>
  <c r="BB164" i="3"/>
  <c r="BA164" i="3"/>
  <c r="BD164" i="3"/>
  <c r="BA120" i="3"/>
  <c r="BB120" i="3"/>
  <c r="BD120" i="3"/>
  <c r="AH242" i="3"/>
  <c r="AG242" i="3"/>
  <c r="BE115" i="3"/>
  <c r="BH115" i="3" s="1"/>
  <c r="BF115" i="3"/>
  <c r="BI115" i="3" s="1"/>
  <c r="BE102" i="3"/>
  <c r="BH102" i="3" s="1"/>
  <c r="BF102" i="3"/>
  <c r="BI102" i="3" s="1"/>
  <c r="BB206" i="3"/>
  <c r="BA206" i="3"/>
  <c r="BD206" i="3"/>
  <c r="BE179" i="3"/>
  <c r="BH179" i="3" s="1"/>
  <c r="BF179" i="3"/>
  <c r="BI179" i="3" s="1"/>
  <c r="BE251" i="3"/>
  <c r="BH251" i="3" s="1"/>
  <c r="BF251" i="3"/>
  <c r="BI251" i="3" s="1"/>
  <c r="BE123" i="3"/>
  <c r="BH123" i="3" s="1"/>
  <c r="BF123" i="3"/>
  <c r="BI123" i="3" s="1"/>
  <c r="BE90" i="3"/>
  <c r="BH90" i="3" s="1"/>
  <c r="BF90" i="3"/>
  <c r="BI90" i="3" s="1"/>
  <c r="AG257" i="3"/>
  <c r="AH257" i="3"/>
  <c r="BB151" i="3"/>
  <c r="BA151" i="3"/>
  <c r="BD151" i="3"/>
  <c r="AG185" i="3"/>
  <c r="AH185" i="3"/>
  <c r="BB203" i="3"/>
  <c r="BA203" i="3"/>
  <c r="BD203" i="3"/>
  <c r="BF192" i="3"/>
  <c r="BI192" i="3" s="1"/>
  <c r="BE192" i="3"/>
  <c r="BH192" i="3" s="1"/>
  <c r="AG225" i="3"/>
  <c r="AH225" i="3"/>
  <c r="BF149" i="3"/>
  <c r="BI149" i="3" s="1"/>
  <c r="BE149" i="3"/>
  <c r="BH149" i="3" s="1"/>
  <c r="AG112" i="3"/>
  <c r="AH112" i="3"/>
  <c r="BB180" i="3"/>
  <c r="BA180" i="3"/>
  <c r="BD180" i="3"/>
  <c r="BF242" i="3"/>
  <c r="BI242" i="3" s="1"/>
  <c r="BE242" i="3"/>
  <c r="BH242" i="3" s="1"/>
  <c r="BA259" i="3"/>
  <c r="BB259" i="3"/>
  <c r="BD259" i="3"/>
  <c r="BF198" i="3"/>
  <c r="BI198" i="3" s="1"/>
  <c r="BE198" i="3"/>
  <c r="BH198" i="3" s="1"/>
  <c r="BA109" i="3"/>
  <c r="BB109" i="3"/>
  <c r="BD109" i="3"/>
  <c r="AG157" i="3"/>
  <c r="AH157" i="3"/>
  <c r="BE133" i="3"/>
  <c r="BH133" i="3" s="1"/>
  <c r="BF133" i="3"/>
  <c r="BI133" i="3" s="1"/>
  <c r="AG195" i="3"/>
  <c r="AH195" i="3"/>
  <c r="BE263" i="3"/>
  <c r="BH263" i="3" s="1"/>
  <c r="BF263" i="3"/>
  <c r="BI263" i="3" s="1"/>
  <c r="BB129" i="3"/>
  <c r="BA129" i="3"/>
  <c r="BD129" i="3"/>
  <c r="BF197" i="3"/>
  <c r="BI197" i="3" s="1"/>
  <c r="BE197" i="3"/>
  <c r="BH197" i="3" s="1"/>
  <c r="BA254" i="3"/>
  <c r="BB254" i="3"/>
  <c r="BD254" i="3"/>
  <c r="BF83" i="3"/>
  <c r="BI83" i="3" s="1"/>
  <c r="BE83" i="3"/>
  <c r="BH83" i="3" s="1"/>
  <c r="BE166" i="3"/>
  <c r="BH166" i="3" s="1"/>
  <c r="BF166" i="3"/>
  <c r="BI166" i="3" s="1"/>
  <c r="AH176" i="3"/>
  <c r="AG176" i="3"/>
  <c r="BF105" i="3"/>
  <c r="BI105" i="3" s="1"/>
  <c r="BE105" i="3"/>
  <c r="BH105" i="3" s="1"/>
  <c r="AG64" i="3"/>
  <c r="AH64" i="3"/>
  <c r="BE154" i="3"/>
  <c r="BH154" i="3" s="1"/>
  <c r="BF154" i="3"/>
  <c r="BI154" i="3" s="1"/>
  <c r="BA69" i="3"/>
  <c r="BB69" i="3"/>
  <c r="BD69" i="3"/>
  <c r="BE207" i="3"/>
  <c r="BH207" i="3" s="1"/>
  <c r="BF207" i="3"/>
  <c r="BI207" i="3" s="1"/>
  <c r="BF220" i="3"/>
  <c r="BI220" i="3" s="1"/>
  <c r="BE220" i="3"/>
  <c r="BH220" i="3" s="1"/>
  <c r="BA258" i="3"/>
  <c r="BB258" i="3"/>
  <c r="BD258" i="3"/>
  <c r="BF155" i="3"/>
  <c r="BI155" i="3" s="1"/>
  <c r="BE155" i="3"/>
  <c r="BH155" i="3" s="1"/>
  <c r="BF160" i="3"/>
  <c r="BI160" i="3" s="1"/>
  <c r="BE160" i="3"/>
  <c r="BH160" i="3" s="1"/>
  <c r="BF161" i="3"/>
  <c r="BI161" i="3" s="1"/>
  <c r="BE161" i="3"/>
  <c r="BH161" i="3" s="1"/>
  <c r="AH97" i="3"/>
  <c r="AG97" i="3"/>
  <c r="BF224" i="3"/>
  <c r="BI224" i="3" s="1"/>
  <c r="BE224" i="3"/>
  <c r="BH224" i="3" s="1"/>
  <c r="BE217" i="3"/>
  <c r="BH217" i="3" s="1"/>
  <c r="BF217" i="3"/>
  <c r="BI217" i="3" s="1"/>
  <c r="BA226" i="3"/>
  <c r="BB226" i="3"/>
  <c r="BD226" i="3"/>
  <c r="AG221" i="3"/>
  <c r="AH221" i="3"/>
  <c r="BB106" i="3"/>
  <c r="BA106" i="3"/>
  <c r="BD106" i="3"/>
  <c r="AH96" i="3"/>
  <c r="AG96" i="3"/>
  <c r="BA75" i="3"/>
  <c r="BB75" i="3"/>
  <c r="BD75" i="3"/>
  <c r="BF225" i="3"/>
  <c r="BI225" i="3" s="1"/>
  <c r="BE225" i="3"/>
  <c r="BH225" i="3" s="1"/>
  <c r="BF193" i="3"/>
  <c r="BI193" i="3" s="1"/>
  <c r="BE193" i="3"/>
  <c r="BH193" i="3" s="1"/>
  <c r="AH102" i="3"/>
  <c r="AG102" i="3"/>
  <c r="AH197" i="3"/>
  <c r="AG197" i="3"/>
  <c r="BF190" i="3" l="1"/>
  <c r="BI190" i="3" s="1"/>
  <c r="BF67" i="3"/>
  <c r="BI67" i="3" s="1"/>
  <c r="BB65" i="3"/>
  <c r="BD65" i="3"/>
  <c r="BF65" i="3" s="1"/>
  <c r="BI65" i="3" s="1"/>
  <c r="BE68" i="3"/>
  <c r="BH68" i="3" s="1"/>
  <c r="BF214" i="3"/>
  <c r="BI214" i="3" s="1"/>
  <c r="AH68" i="3"/>
  <c r="BB68" i="3"/>
  <c r="BA68" i="3"/>
  <c r="AH65" i="3"/>
  <c r="BE97" i="3"/>
  <c r="BH97" i="3" s="1"/>
  <c r="BF176" i="3"/>
  <c r="BI176" i="3" s="1"/>
  <c r="BE99" i="3"/>
  <c r="BH99" i="3" s="1"/>
  <c r="BE232" i="3"/>
  <c r="BH232" i="3" s="1"/>
  <c r="BE82" i="3"/>
  <c r="BH82" i="3" s="1"/>
  <c r="BF200" i="3"/>
  <c r="BI200" i="3" s="1"/>
  <c r="BF195" i="3"/>
  <c r="BI195" i="3" s="1"/>
  <c r="BF201" i="3"/>
  <c r="BI201" i="3" s="1"/>
  <c r="BE136" i="3"/>
  <c r="BH136" i="3" s="1"/>
  <c r="BE228" i="3"/>
  <c r="BH228" i="3" s="1"/>
  <c r="BE257" i="3"/>
  <c r="BH257" i="3" s="1"/>
  <c r="BF229" i="3"/>
  <c r="BI229" i="3" s="1"/>
  <c r="BF139" i="3"/>
  <c r="BI139" i="3" s="1"/>
  <c r="BE103" i="3"/>
  <c r="BH103" i="3" s="1"/>
  <c r="BF119" i="3"/>
  <c r="BI119" i="3" s="1"/>
  <c r="BF100" i="3"/>
  <c r="BI100" i="3" s="1"/>
  <c r="BF255" i="3"/>
  <c r="BI255" i="3" s="1"/>
  <c r="BF240" i="3"/>
  <c r="BI240" i="3" s="1"/>
  <c r="BF101" i="3"/>
  <c r="BI101" i="3" s="1"/>
  <c r="BF157" i="3"/>
  <c r="BI157" i="3" s="1"/>
  <c r="BF215" i="3"/>
  <c r="BI215" i="3" s="1"/>
  <c r="BF152" i="3"/>
  <c r="BI152" i="3" s="1"/>
  <c r="BE222" i="3"/>
  <c r="BH222" i="3" s="1"/>
  <c r="BF104" i="3"/>
  <c r="BI104" i="3" s="1"/>
  <c r="BF92" i="3"/>
  <c r="BI92" i="3" s="1"/>
  <c r="BF187" i="3"/>
  <c r="BI187" i="3" s="1"/>
  <c r="BF231" i="3"/>
  <c r="BI231" i="3" s="1"/>
  <c r="BE145" i="3"/>
  <c r="BH145" i="3" s="1"/>
  <c r="BE80" i="3"/>
  <c r="BH80" i="3" s="1"/>
  <c r="BF96" i="3"/>
  <c r="BI96" i="3" s="1"/>
  <c r="BF87" i="3"/>
  <c r="BI87" i="3" s="1"/>
  <c r="BE219" i="3"/>
  <c r="BH219" i="3" s="1"/>
  <c r="BE77" i="3"/>
  <c r="BH77" i="3" s="1"/>
  <c r="BF181" i="3"/>
  <c r="BI181" i="3" s="1"/>
  <c r="BF94" i="3"/>
  <c r="BI94" i="3" s="1"/>
  <c r="BF239" i="3"/>
  <c r="BI239" i="3" s="1"/>
  <c r="BF89" i="3"/>
  <c r="BI89" i="3" s="1"/>
  <c r="BF256" i="3"/>
  <c r="BI256" i="3" s="1"/>
  <c r="BF113" i="3"/>
  <c r="BI113" i="3" s="1"/>
  <c r="BF244" i="3"/>
  <c r="BI244" i="3" s="1"/>
  <c r="BE76" i="3"/>
  <c r="BH76" i="3" s="1"/>
  <c r="BE204" i="3"/>
  <c r="BH204" i="3" s="1"/>
  <c r="BF185" i="3"/>
  <c r="BI185" i="3" s="1"/>
  <c r="BF221" i="3"/>
  <c r="BI221" i="3" s="1"/>
  <c r="BE211" i="3"/>
  <c r="BH211" i="3" s="1"/>
  <c r="BF72" i="3"/>
  <c r="BI72" i="3" s="1"/>
  <c r="BF243" i="3"/>
  <c r="BI243" i="3" s="1"/>
  <c r="BE93" i="3"/>
  <c r="BH93" i="3" s="1"/>
  <c r="BF107" i="3"/>
  <c r="BI107" i="3" s="1"/>
  <c r="BE112" i="3"/>
  <c r="BH112" i="3" s="1"/>
  <c r="BE260" i="3"/>
  <c r="BH260" i="3" s="1"/>
  <c r="BE172" i="3"/>
  <c r="BH172" i="3" s="1"/>
  <c r="BF227" i="3"/>
  <c r="BI227" i="3" s="1"/>
  <c r="BF189" i="3"/>
  <c r="BI189" i="3" s="1"/>
  <c r="BF182" i="3"/>
  <c r="BI182" i="3" s="1"/>
  <c r="BE218" i="3"/>
  <c r="BH218" i="3" s="1"/>
  <c r="BE144" i="3"/>
  <c r="BH144" i="3" s="1"/>
  <c r="BF114" i="3"/>
  <c r="BI114" i="3" s="1"/>
  <c r="BE236" i="3"/>
  <c r="BH236" i="3" s="1"/>
  <c r="BE202" i="3"/>
  <c r="BH202" i="3" s="1"/>
  <c r="BF183" i="3"/>
  <c r="BI183" i="3" s="1"/>
  <c r="BF230" i="3"/>
  <c r="BI230" i="3" s="1"/>
  <c r="BE234" i="3"/>
  <c r="BH234" i="3" s="1"/>
  <c r="BF78" i="3"/>
  <c r="BI78" i="3" s="1"/>
  <c r="BE212" i="3"/>
  <c r="BH212" i="3" s="1"/>
  <c r="BE210" i="3"/>
  <c r="BH210" i="3" s="1"/>
  <c r="BF95" i="3"/>
  <c r="BI95" i="3" s="1"/>
  <c r="BE95" i="3"/>
  <c r="BH95" i="3" s="1"/>
  <c r="BE203" i="3"/>
  <c r="BH203" i="3" s="1"/>
  <c r="BF203" i="3"/>
  <c r="BI203" i="3" s="1"/>
  <c r="BF75" i="3"/>
  <c r="BI75" i="3" s="1"/>
  <c r="BE75" i="3"/>
  <c r="BH75" i="3" s="1"/>
  <c r="BF226" i="3"/>
  <c r="BI226" i="3" s="1"/>
  <c r="BE226" i="3"/>
  <c r="BH226" i="3" s="1"/>
  <c r="BF258" i="3"/>
  <c r="BI258" i="3" s="1"/>
  <c r="BE258" i="3"/>
  <c r="BH258" i="3" s="1"/>
  <c r="BF254" i="3"/>
  <c r="BI254" i="3" s="1"/>
  <c r="BE254" i="3"/>
  <c r="BH254" i="3" s="1"/>
  <c r="BF109" i="3"/>
  <c r="BI109" i="3" s="1"/>
  <c r="BE109" i="3"/>
  <c r="BH109" i="3" s="1"/>
  <c r="BF180" i="3"/>
  <c r="BI180" i="3" s="1"/>
  <c r="BE180" i="3"/>
  <c r="BH180" i="3" s="1"/>
  <c r="BE235" i="3"/>
  <c r="BH235" i="3" s="1"/>
  <c r="BF235" i="3"/>
  <c r="BI235" i="3" s="1"/>
  <c r="BE74" i="3"/>
  <c r="BH74" i="3" s="1"/>
  <c r="BF74" i="3"/>
  <c r="BI74" i="3" s="1"/>
  <c r="BE237" i="3"/>
  <c r="BH237" i="3" s="1"/>
  <c r="BF237" i="3"/>
  <c r="BI237" i="3" s="1"/>
  <c r="BF259" i="3"/>
  <c r="BI259" i="3" s="1"/>
  <c r="BE259" i="3"/>
  <c r="BH259" i="3" s="1"/>
  <c r="BE131" i="3"/>
  <c r="BH131" i="3" s="1"/>
  <c r="BF131" i="3"/>
  <c r="BI131" i="3" s="1"/>
  <c r="BE106" i="3"/>
  <c r="BH106" i="3" s="1"/>
  <c r="BF106" i="3"/>
  <c r="BI106" i="3" s="1"/>
  <c r="BF151" i="3"/>
  <c r="BI151" i="3" s="1"/>
  <c r="BE151" i="3"/>
  <c r="BH151" i="3" s="1"/>
  <c r="BF120" i="3"/>
  <c r="BI120" i="3" s="1"/>
  <c r="BE120" i="3"/>
  <c r="BH120" i="3" s="1"/>
  <c r="BF156" i="3"/>
  <c r="BI156" i="3" s="1"/>
  <c r="BE156" i="3"/>
  <c r="BH156" i="3" s="1"/>
  <c r="BF69" i="3"/>
  <c r="BI69" i="3" s="1"/>
  <c r="BE69" i="3"/>
  <c r="BH69" i="3" s="1"/>
  <c r="BF147" i="3"/>
  <c r="BI147" i="3" s="1"/>
  <c r="BE147" i="3"/>
  <c r="BH147" i="3" s="1"/>
  <c r="BE129" i="3"/>
  <c r="BH129" i="3" s="1"/>
  <c r="BF129" i="3"/>
  <c r="BI129" i="3" s="1"/>
  <c r="BF206" i="3"/>
  <c r="BI206" i="3" s="1"/>
  <c r="BE206" i="3"/>
  <c r="BH206" i="3" s="1"/>
  <c r="BE164" i="3"/>
  <c r="BH164" i="3" s="1"/>
  <c r="BF164" i="3"/>
  <c r="BI164" i="3" s="1"/>
  <c r="BF167" i="3"/>
  <c r="BI167" i="3" s="1"/>
  <c r="BE167" i="3"/>
  <c r="BH167" i="3" s="1"/>
  <c r="BF143" i="3"/>
  <c r="BI143" i="3" s="1"/>
  <c r="BE143" i="3"/>
  <c r="BH143" i="3" s="1"/>
  <c r="BE65" i="3" l="1"/>
  <c r="BH65" i="3" s="1"/>
  <c r="M36" i="3"/>
  <c r="O36" i="3" s="1"/>
  <c r="M34" i="3"/>
  <c r="M35" i="3"/>
  <c r="O35" i="3" s="1"/>
</calcChain>
</file>

<file path=xl/sharedStrings.xml><?xml version="1.0" encoding="utf-8"?>
<sst xmlns="http://schemas.openxmlformats.org/spreadsheetml/2006/main" count="383" uniqueCount="273">
  <si>
    <t>Power Loss Calculation</t>
  </si>
  <si>
    <t>Switching Frequency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</si>
  <si>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</si>
  <si>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</si>
  <si>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</si>
  <si>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</si>
  <si>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</si>
  <si>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</si>
  <si>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</si>
  <si>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</si>
  <si>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</si>
  <si>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</si>
  <si>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</si>
  <si>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</si>
  <si>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</si>
  <si>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</si>
  <si>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</si>
  <si>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</si>
  <si>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</si>
  <si>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</si>
  <si>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</si>
  <si>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</si>
  <si>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</si>
  <si>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</si>
  <si>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</si>
  <si>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</si>
  <si>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</si>
  <si>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</si>
  <si>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</si>
  <si>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</si>
  <si>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</si>
  <si>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</si>
  <si>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</si>
  <si>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</si>
  <si>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</si>
  <si>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</si>
  <si>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</si>
  <si>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</si>
  <si>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</si>
  <si>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</si>
  <si>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</si>
  <si>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</si>
  <si>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</si>
  <si>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</si>
  <si>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</si>
  <si>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</si>
  <si>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</si>
  <si>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</si>
  <si>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</si>
  <si>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</si>
  <si>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</si>
  <si>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</si>
  <si>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</si>
  <si>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</si>
  <si>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</si>
  <si>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</si>
  <si>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</si>
  <si>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</si>
  <si>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</si>
  <si>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</si>
  <si>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</si>
  <si>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</si>
  <si>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</si>
  <si>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</si>
  <si>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</si>
  <si>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</si>
  <si>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</si>
  <si>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</si>
  <si>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</si>
  <si>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</si>
  <si>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</si>
  <si>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</si>
  <si>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</si>
  <si>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</si>
  <si>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</si>
  <si>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</si>
  <si>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</si>
  <si>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</si>
  <si>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</si>
  <si>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>Body diode conduction loss = Vd*Fsw*[ (Iout+Irip/2) * Td1+ (Iout-Irip/2) * Td2]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</si>
  <si>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</si>
  <si>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</si>
  <si>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</si>
  <si>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</si>
  <si>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</si>
  <si>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</si>
  <si>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</si>
  <si>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</si>
  <si>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</si>
  <si>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</si>
  <si>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</si>
  <si>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</si>
  <si>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</si>
  <si>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</si>
  <si>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</si>
  <si>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</si>
  <si>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</si>
  <si>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</si>
  <si>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</si>
  <si>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</si>
  <si>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</si>
  <si>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</si>
  <si>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</si>
  <si>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</si>
  <si>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</si>
  <si>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</si>
  <si>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</si>
  <si>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</si>
  <si>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</si>
  <si>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</si>
  <si>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</si>
  <si>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</si>
  <si>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</si>
  <si>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</si>
  <si>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</si>
  <si>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</si>
  <si>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</si>
  <si>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</si>
  <si>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</si>
  <si>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</si>
  <si>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V_ls_diode</t>
  </si>
  <si>
    <t>Dead Time</t>
  </si>
  <si>
    <t>nsec</t>
  </si>
  <si>
    <t>uA</t>
  </si>
  <si>
    <t>On time pulse</t>
  </si>
  <si>
    <t>Off time pulse</t>
  </si>
  <si>
    <t>Hz</t>
  </si>
  <si>
    <t>f1=1/(dt1+dt2)</t>
  </si>
  <si>
    <t>f2=2*Iout(I_PFM_pk/2 -Iout)/((Vout_upper-Vout)*Cout*I_PFM_pk)</t>
  </si>
  <si>
    <t>Inductor conduction loss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</si>
  <si>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</si>
  <si>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</si>
  <si>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</si>
  <si>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</si>
  <si>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</si>
  <si>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</si>
  <si>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</si>
  <si>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</si>
  <si>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</si>
  <si>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</si>
  <si>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</si>
  <si>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</si>
  <si>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</si>
  <si>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</si>
  <si>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</si>
  <si>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</si>
  <si>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 xml:space="preserve">Compensator Design - Type 2  </t>
  </si>
  <si>
    <t>Note: In order for the Compensation Design to work, need to have the Analysis Tool Pack active.</t>
  </si>
  <si>
    <t xml:space="preserve">See Below For Graphical Represenatation of Ti(s), Tv(s), T(s), Rfb1, Rfb2, Cfb1, R1, C1, C2 </t>
  </si>
  <si>
    <t xml:space="preserve">1. Go to File, then Option. </t>
  </si>
  <si>
    <t>Transfer Function</t>
  </si>
  <si>
    <t>Controller</t>
  </si>
  <si>
    <t xml:space="preserve">2. Select Add-Ins. </t>
  </si>
  <si>
    <r>
      <t>Tran-resistance, R</t>
    </r>
    <r>
      <rPr>
        <vertAlign val="subscript"/>
        <sz val="10"/>
        <rFont val="Arial"/>
        <family val="2"/>
      </rPr>
      <t>T</t>
    </r>
  </si>
  <si>
    <t>3. If Analysis-ToolPak if it is inactive. Then use the manage menu.</t>
  </si>
  <si>
    <r>
      <t>Slope Compensation, S</t>
    </r>
    <r>
      <rPr>
        <vertAlign val="subscript"/>
        <sz val="10"/>
        <rFont val="Arial"/>
        <family val="2"/>
      </rPr>
      <t>E (without Fs)</t>
    </r>
  </si>
  <si>
    <t>Current Sense, Sn</t>
  </si>
  <si>
    <t>A/s</t>
  </si>
  <si>
    <t>4. Select Excel Add-ins and click Go.</t>
  </si>
  <si>
    <r>
      <t>Total Control Slope, m</t>
    </r>
    <r>
      <rPr>
        <vertAlign val="subscript"/>
        <sz val="10"/>
        <rFont val="Arial"/>
        <family val="2"/>
      </rPr>
      <t>c</t>
    </r>
  </si>
  <si>
    <t>5. Check Analysis-ToolPak and click OK.</t>
  </si>
  <si>
    <t>ωo</t>
  </si>
  <si>
    <t>Error Amp Output Resistance, Roerr</t>
  </si>
  <si>
    <t>ohm</t>
  </si>
  <si>
    <t>Fesr</t>
  </si>
  <si>
    <t>Feedback Voltage, VFB</t>
  </si>
  <si>
    <t>Fz</t>
  </si>
  <si>
    <t>Transconductance, gm</t>
  </si>
  <si>
    <t>S</t>
  </si>
  <si>
    <t>Q</t>
  </si>
  <si>
    <t>Caculated Values</t>
  </si>
  <si>
    <t>Selected Values</t>
  </si>
  <si>
    <t>Fs</t>
  </si>
  <si>
    <t>Desired Fc</t>
  </si>
  <si>
    <t>of Fs = Fc</t>
  </si>
  <si>
    <t>Resistive Divider</t>
  </si>
  <si>
    <t>F</t>
  </si>
  <si>
    <t>User Selects R1</t>
  </si>
  <si>
    <t>User Selects R2</t>
  </si>
  <si>
    <t>Fz1</t>
  </si>
  <si>
    <t>Fp2</t>
  </si>
  <si>
    <t>User Selects Cfb2</t>
  </si>
  <si>
    <t>Bandwidth</t>
  </si>
  <si>
    <t>Phase margin</t>
  </si>
  <si>
    <t>degree</t>
  </si>
  <si>
    <t>Sampling Transfer Functions</t>
  </si>
  <si>
    <t>wn</t>
  </si>
  <si>
    <t>Qn</t>
  </si>
  <si>
    <t>Fm</t>
  </si>
  <si>
    <t>Fstart</t>
  </si>
  <si>
    <t>Fstop</t>
  </si>
  <si>
    <t>Fstep</t>
  </si>
  <si>
    <t>Step</t>
  </si>
  <si>
    <t>Calculations for the Sampling Transfer function</t>
  </si>
  <si>
    <t>Current Loop Gain</t>
  </si>
  <si>
    <t>Open Loop Voltage Gain</t>
  </si>
  <si>
    <t>Total Loop Gain</t>
  </si>
  <si>
    <t>Voltage Divider Gain</t>
  </si>
  <si>
    <t>Gain of Internal Compensation</t>
  </si>
  <si>
    <t>Open Loop to Inductor Current Transfer function</t>
  </si>
  <si>
    <t>Open Loop duty Cycle to Output Voltage Transfer Function</t>
  </si>
  <si>
    <t>Fm*Rt*Fdi(S)*He(S)</t>
  </si>
  <si>
    <t>Fm*Fdv(S)</t>
  </si>
  <si>
    <t>TV(S)/1+Ti(S)</t>
  </si>
  <si>
    <t>Compensator</t>
  </si>
  <si>
    <t>Voltage loop with compensation</t>
  </si>
  <si>
    <t>Closed Loop with Compensation</t>
  </si>
  <si>
    <t>To Find the Bandwidth</t>
  </si>
  <si>
    <t>S = j*2*pi*F</t>
  </si>
  <si>
    <t>Real He(s)</t>
  </si>
  <si>
    <t>Imag He(S)</t>
  </si>
  <si>
    <t>Complex He(S)</t>
  </si>
  <si>
    <t>Gain He(S)</t>
  </si>
  <si>
    <t>Phase He(S)</t>
  </si>
  <si>
    <t>Gain</t>
  </si>
  <si>
    <t>Upper Complex</t>
  </si>
  <si>
    <t>Lower Complex</t>
  </si>
  <si>
    <t>Fdi(S)</t>
  </si>
  <si>
    <t>lower Same as inductor</t>
  </si>
  <si>
    <t>Fdv(S)</t>
  </si>
  <si>
    <t>Ti(s)</t>
  </si>
  <si>
    <t>Phase</t>
  </si>
  <si>
    <t>Tv(S)</t>
  </si>
  <si>
    <t>T(S)</t>
  </si>
  <si>
    <t>gain</t>
  </si>
  <si>
    <t>phase</t>
  </si>
  <si>
    <t>Z1(S)</t>
  </si>
  <si>
    <t>Z2(S)</t>
  </si>
  <si>
    <t>2nd gm pole</t>
  </si>
  <si>
    <t>2nd gm pole//Cp1</t>
  </si>
  <si>
    <t>2 poles contribution</t>
  </si>
  <si>
    <t>Voltage Gain Denominator</t>
  </si>
  <si>
    <t>K(S)</t>
  </si>
  <si>
    <t>top</t>
  </si>
  <si>
    <t>bottom</t>
  </si>
  <si>
    <t>A(S)</t>
  </si>
  <si>
    <t>K(S)*A(S)</t>
  </si>
  <si>
    <t>mag</t>
  </si>
  <si>
    <t>Tv(s)c</t>
  </si>
  <si>
    <t>T(s)</t>
  </si>
  <si>
    <t>1-gain</t>
  </si>
  <si>
    <t>-Phase</t>
  </si>
  <si>
    <t>Gain margin</t>
  </si>
  <si>
    <t>Lower MOSFET diode reverse recovery loss = n*Vin*Fsw*Qrr/2</t>
  </si>
  <si>
    <t>C5</t>
  </si>
  <si>
    <t>C6</t>
  </si>
  <si>
    <t>Output Voltage Ripple</t>
  </si>
  <si>
    <t>dB</t>
  </si>
  <si>
    <t>mVp-p</t>
  </si>
  <si>
    <t>Program UVLO:</t>
  </si>
  <si>
    <r>
      <t>V</t>
    </r>
    <r>
      <rPr>
        <b/>
        <vertAlign val="subscript"/>
        <sz val="10"/>
        <rFont val="Arial"/>
        <family val="2"/>
      </rPr>
      <t>ON</t>
    </r>
  </si>
  <si>
    <t>kOhm</t>
  </si>
  <si>
    <t>Version 2.0</t>
  </si>
  <si>
    <t>R5</t>
  </si>
  <si>
    <t>Part Number</t>
  </si>
  <si>
    <t>Internal</t>
  </si>
  <si>
    <t>External</t>
  </si>
  <si>
    <t>Time shift</t>
  </si>
  <si>
    <t>Frequency</t>
  </si>
  <si>
    <t>Energy Current</t>
  </si>
  <si>
    <t>DCM-CCM Boundary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</si>
  <si>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</si>
  <si>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</si>
  <si>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User Selects C4</t>
  </si>
  <si>
    <t>R3</t>
  </si>
  <si>
    <t>6. Go to File, then Option.</t>
  </si>
  <si>
    <t>7. Select Advance.</t>
  </si>
  <si>
    <t>8. Unselect Use System separator</t>
  </si>
  <si>
    <t>9. Change to local Decimal/Thousand separator to "." or ","</t>
  </si>
  <si>
    <t>10. Click OK.</t>
  </si>
  <si>
    <t>AP64060</t>
  </si>
  <si>
    <t>AP64060Q</t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</si>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</sst>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9"/>
      <name val="Arial"/>
      <family val="2"/>
    </font>
    <font>
      <vertAlign val="subscript"/>
      <sz val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FFFF66"/>
      <name val="Calibri"/>
      <family val="2"/>
      <scheme val="minor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0"/>
      <name val="Calibri"/>
      <family val="2"/>
    </font>
    <font>
      <b/>
      <sz val="1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4" borderId="0" xfId="0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2" applyFont="1" applyFill="1"/>
    <xf numFmtId="0" fontId="2" fillId="4" borderId="0" xfId="2" applyFont="1" applyFill="1"/>
    <xf numFmtId="0" fontId="10" fillId="2" borderId="0" xfId="0" applyFont="1" applyFill="1"/>
    <xf numFmtId="0" fontId="11" fillId="4" borderId="0" xfId="0" applyFont="1" applyFill="1"/>
    <xf numFmtId="164" fontId="2" fillId="5" borderId="0" xfId="2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/>
    <xf numFmtId="11" fontId="15" fillId="0" borderId="0" xfId="3" applyNumberForma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10" xfId="0" applyFill="1" applyBorder="1"/>
    <xf numFmtId="0" fontId="0" fillId="5" borderId="9" xfId="0" applyFill="1" applyBorder="1"/>
    <xf numFmtId="11" fontId="0" fillId="5" borderId="10" xfId="0" applyNumberFormat="1" applyFill="1" applyBorder="1"/>
    <xf numFmtId="0" fontId="0" fillId="4" borderId="10" xfId="0" applyFill="1" applyBorder="1"/>
    <xf numFmtId="0" fontId="0" fillId="2" borderId="11" xfId="0" applyFill="1" applyBorder="1"/>
    <xf numFmtId="0" fontId="0" fillId="5" borderId="6" xfId="0" applyFill="1" applyBorder="1"/>
    <xf numFmtId="1" fontId="0" fillId="5" borderId="11" xfId="0" applyNumberFormat="1" applyFill="1" applyBorder="1"/>
    <xf numFmtId="0" fontId="0" fillId="4" borderId="11" xfId="0" applyFill="1" applyBorder="1"/>
    <xf numFmtId="0" fontId="0" fillId="5" borderId="1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3" borderId="13" xfId="0" applyNumberFormat="1" applyFill="1" applyBorder="1" applyProtection="1">
      <protection locked="0"/>
    </xf>
    <xf numFmtId="165" fontId="0" fillId="5" borderId="11" xfId="0" applyNumberFormat="1" applyFill="1" applyBorder="1"/>
    <xf numFmtId="0" fontId="0" fillId="2" borderId="13" xfId="0" applyFill="1" applyBorder="1"/>
    <xf numFmtId="0" fontId="0" fillId="5" borderId="14" xfId="0" applyFill="1" applyBorder="1"/>
    <xf numFmtId="11" fontId="0" fillId="5" borderId="13" xfId="0" applyNumberFormat="1" applyFill="1" applyBorder="1"/>
    <xf numFmtId="0" fontId="0" fillId="4" borderId="13" xfId="0" applyFill="1" applyBorder="1"/>
    <xf numFmtId="0" fontId="20" fillId="2" borderId="2" xfId="0" applyFont="1" applyFill="1" applyBorder="1" applyProtection="1"/>
    <xf numFmtId="0" fontId="20" fillId="0" borderId="10" xfId="0" applyFont="1" applyBorder="1" applyProtection="1"/>
    <xf numFmtId="0" fontId="20" fillId="4" borderId="10" xfId="0" applyFont="1" applyFill="1" applyBorder="1" applyProtection="1"/>
    <xf numFmtId="11" fontId="21" fillId="5" borderId="0" xfId="0" applyNumberFormat="1" applyFont="1" applyFill="1" applyBorder="1"/>
    <xf numFmtId="0" fontId="20" fillId="4" borderId="11" xfId="0" applyFont="1" applyFill="1" applyBorder="1" applyProtection="1"/>
    <xf numFmtId="166" fontId="21" fillId="5" borderId="0" xfId="0" applyNumberFormat="1" applyFont="1" applyFill="1" applyBorder="1"/>
    <xf numFmtId="0" fontId="0" fillId="5" borderId="10" xfId="0" applyNumberFormat="1" applyFill="1" applyBorder="1" applyProtection="1"/>
    <xf numFmtId="0" fontId="0" fillId="4" borderId="7" xfId="0" applyFill="1" applyBorder="1"/>
    <xf numFmtId="0" fontId="0" fillId="5" borderId="15" xfId="0" applyFill="1" applyBorder="1"/>
    <xf numFmtId="0" fontId="0" fillId="4" borderId="12" xfId="0" applyFill="1" applyBorder="1"/>
    <xf numFmtId="0" fontId="0" fillId="2" borderId="14" xfId="0" applyFill="1" applyBorder="1"/>
    <xf numFmtId="0" fontId="0" fillId="2" borderId="7" xfId="0" applyFill="1" applyBorder="1"/>
    <xf numFmtId="1" fontId="21" fillId="5" borderId="8" xfId="0" applyNumberFormat="1" applyFont="1" applyFill="1" applyBorder="1"/>
    <xf numFmtId="11" fontId="0" fillId="3" borderId="10" xfId="0" applyNumberFormat="1" applyFill="1" applyBorder="1" applyProtection="1">
      <protection locked="0"/>
    </xf>
    <xf numFmtId="0" fontId="0" fillId="2" borderId="12" xfId="0" applyFill="1" applyBorder="1"/>
    <xf numFmtId="166" fontId="21" fillId="5" borderId="1" xfId="0" applyNumberFormat="1" applyFont="1" applyFill="1" applyBorder="1"/>
    <xf numFmtId="0" fontId="20" fillId="4" borderId="13" xfId="0" applyFont="1" applyFill="1" applyBorder="1" applyProtection="1"/>
    <xf numFmtId="0" fontId="20" fillId="0" borderId="13" xfId="0" applyFont="1" applyBorder="1" applyProtection="1"/>
    <xf numFmtId="0" fontId="22" fillId="2" borderId="0" xfId="0" applyFont="1" applyFill="1"/>
    <xf numFmtId="0" fontId="23" fillId="2" borderId="0" xfId="0" applyFont="1" applyFill="1" applyBorder="1" applyProtection="1"/>
    <xf numFmtId="2" fontId="22" fillId="2" borderId="0" xfId="0" applyNumberFormat="1" applyFont="1" applyFill="1" applyBorder="1"/>
    <xf numFmtId="0" fontId="22" fillId="0" borderId="0" xfId="0" applyFont="1"/>
    <xf numFmtId="0" fontId="24" fillId="2" borderId="0" xfId="0" applyFont="1" applyFill="1"/>
    <xf numFmtId="0" fontId="21" fillId="2" borderId="0" xfId="0" applyFont="1" applyFill="1"/>
    <xf numFmtId="0" fontId="25" fillId="2" borderId="0" xfId="0" applyFont="1" applyFill="1"/>
    <xf numFmtId="2" fontId="21" fillId="5" borderId="10" xfId="0" applyNumberFormat="1" applyFont="1" applyFill="1" applyBorder="1"/>
    <xf numFmtId="2" fontId="21" fillId="5" borderId="11" xfId="0" applyNumberFormat="1" applyFont="1" applyFill="1" applyBorder="1"/>
    <xf numFmtId="2" fontId="21" fillId="5" borderId="13" xfId="0" applyNumberFormat="1" applyFont="1" applyFill="1" applyBorder="1"/>
    <xf numFmtId="0" fontId="20" fillId="0" borderId="11" xfId="0" applyFont="1" applyBorder="1" applyProtection="1"/>
    <xf numFmtId="11" fontId="27" fillId="3" borderId="13" xfId="0" applyNumberFormat="1" applyFont="1" applyFill="1" applyBorder="1" applyProtection="1"/>
    <xf numFmtId="0" fontId="0" fillId="4" borderId="13" xfId="0" applyFill="1" applyBorder="1" applyProtection="1"/>
    <xf numFmtId="166" fontId="8" fillId="2" borderId="0" xfId="0" applyNumberFormat="1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10" borderId="0" xfId="0" applyFont="1" applyFill="1" applyProtection="1"/>
    <xf numFmtId="0" fontId="0" fillId="11" borderId="10" xfId="0" applyFill="1" applyBorder="1" applyProtection="1"/>
    <xf numFmtId="0" fontId="0" fillId="4" borderId="9" xfId="0" applyFill="1" applyBorder="1" applyProtection="1"/>
    <xf numFmtId="0" fontId="0" fillId="11" borderId="11" xfId="0" applyFill="1" applyBorder="1" applyProtection="1"/>
    <xf numFmtId="0" fontId="0" fillId="4" borderId="6" xfId="0" applyFill="1" applyBorder="1" applyProtection="1"/>
    <xf numFmtId="11" fontId="0" fillId="5" borderId="11" xfId="0" applyNumberFormat="1" applyFill="1" applyBorder="1" applyProtection="1"/>
    <xf numFmtId="11" fontId="0" fillId="11" borderId="11" xfId="0" applyNumberFormat="1" applyFill="1" applyBorder="1" applyProtection="1"/>
    <xf numFmtId="11" fontId="0" fillId="11" borderId="13" xfId="0" applyNumberFormat="1" applyFill="1" applyBorder="1" applyProtection="1"/>
    <xf numFmtId="0" fontId="0" fillId="4" borderId="14" xfId="0" applyFill="1" applyBorder="1" applyProtection="1"/>
    <xf numFmtId="0" fontId="21" fillId="5" borderId="0" xfId="0" applyFont="1" applyFill="1" applyBorder="1" applyProtection="1"/>
    <xf numFmtId="0" fontId="2" fillId="3" borderId="0" xfId="2" applyFont="1" applyFill="1" applyProtection="1">
      <protection locked="0"/>
    </xf>
    <xf numFmtId="0" fontId="8" fillId="2" borderId="0" xfId="0" applyFont="1" applyFill="1" applyProtection="1"/>
    <xf numFmtId="0" fontId="8" fillId="10" borderId="0" xfId="0" applyFont="1" applyFill="1" applyAlignment="1" applyProtection="1">
      <alignment horizontal="right"/>
    </xf>
    <xf numFmtId="0" fontId="29" fillId="2" borderId="0" xfId="0" applyFont="1" applyFill="1"/>
    <xf numFmtId="164" fontId="2" fillId="3" borderId="0" xfId="0" applyNumberFormat="1" applyFont="1" applyFill="1" applyAlignment="1" applyProtection="1">
      <alignment horizontal="right" vertical="center"/>
      <protection locked="0"/>
    </xf>
    <xf numFmtId="1" fontId="21" fillId="5" borderId="0" xfId="0" applyNumberFormat="1" applyFont="1" applyFill="1" applyBorder="1"/>
    <xf numFmtId="0" fontId="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164" fontId="2" fillId="3" borderId="0" xfId="0" applyNumberFormat="1" applyFont="1" applyFill="1" applyAlignment="1" applyProtection="1">
      <alignment vertical="center"/>
      <protection locked="0"/>
    </xf>
    <xf numFmtId="1" fontId="2" fillId="5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1" fontId="2" fillId="3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vertical="center"/>
    </xf>
    <xf numFmtId="0" fontId="34" fillId="2" borderId="0" xfId="0" applyFont="1" applyFill="1"/>
    <xf numFmtId="9" fontId="20" fillId="3" borderId="0" xfId="1" applyFont="1" applyFill="1" applyBorder="1" applyProtection="1">
      <protection locked="0"/>
    </xf>
    <xf numFmtId="0" fontId="31" fillId="2" borderId="2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0" fontId="35" fillId="2" borderId="0" xfId="0" applyFont="1" applyFill="1" applyProtection="1">
      <protection hidden="1"/>
    </xf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1" fontId="8" fillId="2" borderId="0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0" fontId="36" fillId="2" borderId="0" xfId="0" applyFont="1" applyFill="1" applyProtection="1">
      <protection hidden="1"/>
    </xf>
    <xf numFmtId="0" fontId="8" fillId="2" borderId="0" xfId="2" applyFont="1" applyFill="1" applyProtection="1">
      <protection hidden="1"/>
    </xf>
    <xf numFmtId="165" fontId="8" fillId="2" borderId="0" xfId="2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165" fontId="36" fillId="2" borderId="0" xfId="0" applyNumberFormat="1" applyFont="1" applyFill="1" applyProtection="1">
      <protection hidden="1"/>
    </xf>
    <xf numFmtId="0" fontId="8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170" fontId="8" fillId="2" borderId="0" xfId="0" applyNumberFormat="1" applyFont="1" applyFill="1"/>
    <xf numFmtId="11" fontId="24" fillId="2" borderId="0" xfId="0" applyNumberFormat="1" applyFont="1" applyFill="1"/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4" fillId="2" borderId="0" xfId="0" quotePrefix="1" applyFont="1" applyFill="1"/>
    <xf numFmtId="0" fontId="24" fillId="2" borderId="0" xfId="4" quotePrefix="1" applyFont="1" applyFill="1"/>
    <xf numFmtId="0" fontId="24" fillId="2" borderId="0" xfId="4" applyFont="1" applyFill="1"/>
    <xf numFmtId="164" fontId="2" fillId="12" borderId="0" xfId="0" applyNumberFormat="1" applyFont="1" applyFill="1" applyAlignment="1" applyProtection="1">
      <alignment vertical="center"/>
      <protection locked="0"/>
    </xf>
    <xf numFmtId="0" fontId="2" fillId="10" borderId="0" xfId="0" applyFont="1" applyFill="1"/>
    <xf numFmtId="0" fontId="2" fillId="10" borderId="0" xfId="0" applyFont="1" applyFill="1" applyAlignment="1">
      <alignment horizontal="right"/>
    </xf>
    <xf numFmtId="1" fontId="2" fillId="10" borderId="0" xfId="0" applyNumberFormat="1" applyFont="1" applyFill="1" applyAlignment="1">
      <alignment horizontal="right"/>
    </xf>
    <xf numFmtId="0" fontId="2" fillId="10" borderId="0" xfId="0" applyFont="1" applyFill="1" applyAlignment="1" applyProtection="1">
      <alignment horizontal="right"/>
    </xf>
    <xf numFmtId="1" fontId="2" fillId="10" borderId="0" xfId="0" applyNumberFormat="1" applyFont="1" applyFill="1" applyAlignment="1" applyProtection="1">
      <alignment horizontal="right"/>
    </xf>
    <xf numFmtId="0" fontId="2" fillId="10" borderId="0" xfId="0" applyFont="1" applyFill="1" applyProtection="1"/>
    <xf numFmtId="0" fontId="2" fillId="10" borderId="0" xfId="0" applyFont="1" applyFill="1" applyAlignment="1" applyProtection="1">
      <alignment horizontal="right" vertical="center"/>
    </xf>
    <xf numFmtId="11" fontId="21" fillId="5" borderId="0" xfId="0" applyNumberFormat="1" applyFont="1" applyFill="1" applyBorder="1" applyProtection="1"/>
    <xf numFmtId="11" fontId="21" fillId="5" borderId="13" xfId="0" applyNumberFormat="1" applyFont="1" applyFill="1" applyBorder="1" applyProtection="1"/>
    <xf numFmtId="164" fontId="2" fillId="10" borderId="0" xfId="0" applyNumberFormat="1" applyFont="1" applyFill="1" applyProtection="1"/>
    <xf numFmtId="2" fontId="2" fillId="3" borderId="0" xfId="0" applyNumberFormat="1" applyFont="1" applyFill="1" applyAlignment="1" applyProtection="1">
      <alignment vertical="center"/>
      <protection locked="0"/>
    </xf>
    <xf numFmtId="0" fontId="2" fillId="10" borderId="0" xfId="0" applyFont="1" applyFill="1" applyAlignment="1">
      <alignment horizontal="right" vertical="center"/>
    </xf>
    <xf numFmtId="0" fontId="0" fillId="5" borderId="12" xfId="0" applyFill="1" applyBorder="1" applyAlignment="1"/>
    <xf numFmtId="0" fontId="0" fillId="0" borderId="14" xfId="0" applyBorder="1" applyAlignment="1"/>
    <xf numFmtId="0" fontId="0" fillId="5" borderId="7" xfId="0" applyFill="1" applyBorder="1" applyAlignment="1"/>
    <xf numFmtId="0" fontId="0" fillId="0" borderId="9" xfId="0" applyBorder="1" applyAlignment="1"/>
    <xf numFmtId="0" fontId="28" fillId="5" borderId="12" xfId="0" applyFont="1" applyFill="1" applyBorder="1" applyAlignment="1" applyProtection="1"/>
    <xf numFmtId="0" fontId="28" fillId="0" borderId="14" xfId="0" applyFont="1" applyBorder="1" applyAlignment="1" applyProtection="1"/>
    <xf numFmtId="0" fontId="8" fillId="2" borderId="0" xfId="0" applyFont="1" applyFill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9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5" fillId="0" borderId="0" xfId="3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0" fillId="0" borderId="0" xfId="0" applyAlignment="1"/>
    <xf numFmtId="0" fontId="17" fillId="2" borderId="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8" borderId="0" xfId="0" applyFont="1" applyFill="1" applyAlignment="1">
      <alignment horizontal="center"/>
    </xf>
  </cellXfs>
  <cellStyles count="7">
    <cellStyle name="Normal" xfId="0" builtinId="0"/>
    <cellStyle name="Normal 2" xfId="2"/>
    <cellStyle name="Normal 3" xfId="4"/>
    <cellStyle name="Normal 4" xfId="3"/>
    <cellStyle name="Percent" xfId="1" builtinId="5"/>
    <cellStyle name="Percent 2" xfId="6"/>
    <cellStyle name="Percent 3" xfId="5"/>
  </cellStyles>
  <dxfs count="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66"/>
      <color rgb="FFCC9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2532854445825853"/>
          <c:w val="0.8479459948616066"/>
          <c:h val="0.74612822519992017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2.6752301946680237E-2</c:v>
                </c:pt>
                <c:pt idx="1">
                  <c:v>9.543340411006998E-2</c:v>
                </c:pt>
                <c:pt idx="3">
                  <c:v>2.50972E-2</c:v>
                </c:pt>
                <c:pt idx="4" formatCode="0.000E+00">
                  <c:v>1.2150000000000004E-6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0.17158229769392036</c:v>
                </c:pt>
                <c:pt idx="1">
                  <c:v>6.7773170247933875E-2</c:v>
                </c:pt>
                <c:pt idx="2">
                  <c:v>4.0000000000000001E-3</c:v>
                </c:pt>
                <c:pt idx="3">
                  <c:v>5.4816011298155328E-5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953152"/>
        <c:axId val="234575360"/>
      </c:barChart>
      <c:catAx>
        <c:axId val="23395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268777499245885"/>
              <c:y val="0.9358462648309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57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57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3953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2472253715972"/>
          <c:y val="0.12571042654755873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62304902726853E-2"/>
          <c:y val="0.16374300176466894"/>
          <c:w val="0.88634542819552131"/>
          <c:h val="0.73879282939058954"/>
        </c:manualLayout>
      </c:layout>
      <c:scatterChart>
        <c:scatterStyle val="smoothMarker"/>
        <c:varyColors val="0"/>
        <c:ser>
          <c:idx val="0"/>
          <c:order val="0"/>
          <c:tx>
            <c:v>PWM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1.4989999999999999E-3</c:v>
                </c:pt>
                <c:pt idx="2">
                  <c:v>1.9979999999999998E-3</c:v>
                </c:pt>
                <c:pt idx="3">
                  <c:v>2.996E-3</c:v>
                </c:pt>
                <c:pt idx="4">
                  <c:v>3.9940000000000002E-3</c:v>
                </c:pt>
                <c:pt idx="5">
                  <c:v>4.9919999999999999E-3</c:v>
                </c:pt>
                <c:pt idx="6">
                  <c:v>5.9900000000000005E-3</c:v>
                </c:pt>
                <c:pt idx="7">
                  <c:v>1.098E-2</c:v>
                </c:pt>
                <c:pt idx="8">
                  <c:v>2.0960000000000003E-2</c:v>
                </c:pt>
                <c:pt idx="9">
                  <c:v>3.0939999999999999E-2</c:v>
                </c:pt>
                <c:pt idx="10">
                  <c:v>4.0920000000000005E-2</c:v>
                </c:pt>
                <c:pt idx="11">
                  <c:v>5.0900000000000001E-2</c:v>
                </c:pt>
                <c:pt idx="12">
                  <c:v>7.5850000000000001E-2</c:v>
                </c:pt>
                <c:pt idx="13">
                  <c:v>0.1008</c:v>
                </c:pt>
                <c:pt idx="14">
                  <c:v>0.12575</c:v>
                </c:pt>
                <c:pt idx="15">
                  <c:v>0.17565</c:v>
                </c:pt>
                <c:pt idx="16">
                  <c:v>0.2006</c:v>
                </c:pt>
                <c:pt idx="17">
                  <c:v>0.22555</c:v>
                </c:pt>
                <c:pt idx="18">
                  <c:v>0.2505</c:v>
                </c:pt>
                <c:pt idx="19">
                  <c:v>0.27545000000000003</c:v>
                </c:pt>
                <c:pt idx="20">
                  <c:v>0.3004</c:v>
                </c:pt>
                <c:pt idx="21">
                  <c:v>0.32535000000000003</c:v>
                </c:pt>
                <c:pt idx="22">
                  <c:v>0.3503</c:v>
                </c:pt>
                <c:pt idx="23">
                  <c:v>0.37524999999999997</c:v>
                </c:pt>
                <c:pt idx="24">
                  <c:v>0.4002</c:v>
                </c:pt>
                <c:pt idx="25">
                  <c:v>0.42514999999999997</c:v>
                </c:pt>
                <c:pt idx="26">
                  <c:v>0.4501</c:v>
                </c:pt>
                <c:pt idx="27">
                  <c:v>0.47504999999999997</c:v>
                </c:pt>
                <c:pt idx="28">
                  <c:v>0.5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2.8443758342631837</c:v>
                </c:pt>
                <c:pt idx="1">
                  <c:v>4.1834568831623749</c:v>
                </c:pt>
                <c:pt idx="2">
                  <c:v>5.4725745893792572</c:v>
                </c:pt>
                <c:pt idx="3">
                  <c:v>7.9102678782939542</c:v>
                </c:pt>
                <c:pt idx="4">
                  <c:v>10.174602138851613</c:v>
                </c:pt>
                <c:pt idx="5">
                  <c:v>12.280504444508937</c:v>
                </c:pt>
                <c:pt idx="6">
                  <c:v>14.241002122172972</c:v>
                </c:pt>
                <c:pt idx="7">
                  <c:v>22.214772678809855</c:v>
                </c:pt>
                <c:pt idx="8">
                  <c:v>31.341889616266588</c:v>
                </c:pt>
                <c:pt idx="9">
                  <c:v>35.416855942523661</c:v>
                </c:pt>
                <c:pt idx="10">
                  <c:v>40.37925334848272</c:v>
                </c:pt>
                <c:pt idx="11">
                  <c:v>44.102138538672889</c:v>
                </c:pt>
                <c:pt idx="12">
                  <c:v>50.219816804292307</c:v>
                </c:pt>
                <c:pt idx="13">
                  <c:v>53.828012099933275</c:v>
                </c:pt>
                <c:pt idx="14">
                  <c:v>56.114671277428052</c:v>
                </c:pt>
                <c:pt idx="15">
                  <c:v>58.630029085405646</c:v>
                </c:pt>
                <c:pt idx="16">
                  <c:v>59.304592330772223</c:v>
                </c:pt>
                <c:pt idx="17">
                  <c:v>59.743587077350533</c:v>
                </c:pt>
                <c:pt idx="18">
                  <c:v>60.011340258951094</c:v>
                </c:pt>
                <c:pt idx="19">
                  <c:v>60.151309918664218</c:v>
                </c:pt>
                <c:pt idx="20">
                  <c:v>60.193895022660271</c:v>
                </c:pt>
                <c:pt idx="21">
                  <c:v>60.160982957771772</c:v>
                </c:pt>
                <c:pt idx="22">
                  <c:v>60.06872105886152</c:v>
                </c:pt>
                <c:pt idx="23">
                  <c:v>59.929271871404225</c:v>
                </c:pt>
                <c:pt idx="24">
                  <c:v>59.751961841203801</c:v>
                </c:pt>
                <c:pt idx="25">
                  <c:v>59.544054647230546</c:v>
                </c:pt>
                <c:pt idx="26">
                  <c:v>59.311284869532258</c:v>
                </c:pt>
                <c:pt idx="27">
                  <c:v>59.058234377538653</c:v>
                </c:pt>
                <c:pt idx="28">
                  <c:v>58.933317059265391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622336"/>
        <c:axId val="234637184"/>
      </c:scatterChart>
      <c:valAx>
        <c:axId val="23462233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Output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37184"/>
        <c:crosses val="autoZero"/>
        <c:crossBetween val="midCat"/>
      </c:valAx>
      <c:valAx>
        <c:axId val="234637184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Efficiency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622336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23010550963087E-2"/>
          <c:y val="7.0422632073382577E-2"/>
          <c:w val="0.86346653263545869"/>
          <c:h val="0.8619730165782028"/>
        </c:manualLayout>
      </c:layout>
      <c:scatterChart>
        <c:scatterStyle val="smoothMarker"/>
        <c:varyColors val="0"/>
        <c:ser>
          <c:idx val="3"/>
          <c:order val="0"/>
          <c:tx>
            <c:v>T(s) Gain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7.6906319380138024</c:v>
                </c:pt>
                <c:pt idx="1">
                  <c:v>7.6904756587711534</c:v>
                </c:pt>
                <c:pt idx="2">
                  <c:v>7.6903043084368727</c:v>
                </c:pt>
                <c:pt idx="3">
                  <c:v>7.6901164342826327</c:v>
                </c:pt>
                <c:pt idx="4">
                  <c:v>7.6899104436875385</c:v>
                </c:pt>
                <c:pt idx="5">
                  <c:v>7.6896845906933393</c:v>
                </c:pt>
                <c:pt idx="6">
                  <c:v>7.6894369612763427</c:v>
                </c:pt>
                <c:pt idx="7">
                  <c:v>7.6891654572081158</c:v>
                </c:pt>
                <c:pt idx="8">
                  <c:v>7.6888677783775217</c:v>
                </c:pt>
                <c:pt idx="9">
                  <c:v>7.6885414034236979</c:v>
                </c:pt>
                <c:pt idx="10">
                  <c:v>7.6881835685235611</c:v>
                </c:pt>
                <c:pt idx="11">
                  <c:v>7.6877912441606409</c:v>
                </c:pt>
                <c:pt idx="12">
                  <c:v>7.6873611096836765</c:v>
                </c:pt>
                <c:pt idx="13">
                  <c:v>7.6868895254496685</c:v>
                </c:pt>
                <c:pt idx="14">
                  <c:v>7.6863725023270195</c:v>
                </c:pt>
                <c:pt idx="15">
                  <c:v>7.6858056683113807</c:v>
                </c:pt>
                <c:pt idx="16">
                  <c:v>7.685184231988452</c:v>
                </c:pt>
                <c:pt idx="17">
                  <c:v>7.6845029425518154</c:v>
                </c:pt>
                <c:pt idx="18">
                  <c:v>7.6837560460620526</c:v>
                </c:pt>
                <c:pt idx="19">
                  <c:v>7.6829372376000569</c:v>
                </c:pt>
                <c:pt idx="20">
                  <c:v>7.6820396089460097</c:v>
                </c:pt>
                <c:pt idx="21">
                  <c:v>7.6810555913767766</c:v>
                </c:pt>
                <c:pt idx="22">
                  <c:v>7.6799768931467769</c:v>
                </c:pt>
                <c:pt idx="23">
                  <c:v>7.6787944311787451</c:v>
                </c:pt>
                <c:pt idx="24">
                  <c:v>7.677498256452326</c:v>
                </c:pt>
                <c:pt idx="25">
                  <c:v>7.6760774725444323</c:v>
                </c:pt>
                <c:pt idx="26">
                  <c:v>7.6745201467242117</c:v>
                </c:pt>
                <c:pt idx="27">
                  <c:v>7.6728132129721747</c:v>
                </c:pt>
                <c:pt idx="28">
                  <c:v>7.6709423662393554</c:v>
                </c:pt>
                <c:pt idx="29">
                  <c:v>7.6688919472225887</c:v>
                </c:pt>
                <c:pt idx="30">
                  <c:v>7.6666448168804955</c:v>
                </c:pt>
                <c:pt idx="31">
                  <c:v>7.6641822198704288</c:v>
                </c:pt>
                <c:pt idx="32">
                  <c:v>7.6614836360378566</c:v>
                </c:pt>
                <c:pt idx="33">
                  <c:v>7.6585266190496295</c:v>
                </c:pt>
                <c:pt idx="34">
                  <c:v>7.6552866212123583</c:v>
                </c:pt>
                <c:pt idx="35">
                  <c:v>7.6517368034894115</c:v>
                </c:pt>
                <c:pt idx="36">
                  <c:v>7.6478478296934114</c:v>
                </c:pt>
                <c:pt idx="37">
                  <c:v>7.6435876438111947</c:v>
                </c:pt>
                <c:pt idx="38">
                  <c:v>7.6389212294070408</c:v>
                </c:pt>
                <c:pt idx="39">
                  <c:v>7.6338103500580718</c:v>
                </c:pt>
                <c:pt idx="40">
                  <c:v>7.6282132697966576</c:v>
                </c:pt>
                <c:pt idx="41">
                  <c:v>7.6220844525856544</c:v>
                </c:pt>
                <c:pt idx="42">
                  <c:v>7.6153742399288156</c:v>
                </c:pt>
                <c:pt idx="43">
                  <c:v>7.608028505836665</c:v>
                </c:pt>
                <c:pt idx="44">
                  <c:v>7.5999882885208239</c:v>
                </c:pt>
                <c:pt idx="45">
                  <c:v>7.5911893984069483</c:v>
                </c:pt>
                <c:pt idx="46">
                  <c:v>7.5815620023266339</c:v>
                </c:pt>
                <c:pt idx="47">
                  <c:v>7.5710301840923275</c:v>
                </c:pt>
                <c:pt idx="48">
                  <c:v>7.559511482095421</c:v>
                </c:pt>
                <c:pt idx="49">
                  <c:v>7.5469164050900677</c:v>
                </c:pt>
                <c:pt idx="50">
                  <c:v>7.5331479279708766</c:v>
                </c:pt>
                <c:pt idx="51">
                  <c:v>7.5181009701101518</c:v>
                </c:pt>
                <c:pt idx="52">
                  <c:v>7.5016618597267577</c:v>
                </c:pt>
                <c:pt idx="53">
                  <c:v>7.4837077888127013</c:v>
                </c:pt>
                <c:pt idx="54">
                  <c:v>7.4641062643563778</c:v>
                </c:pt>
                <c:pt idx="55">
                  <c:v>7.4427145629884208</c:v>
                </c:pt>
                <c:pt idx="56">
                  <c:v>7.4193791977328516</c:v>
                </c:pt>
                <c:pt idx="57">
                  <c:v>7.3939354072748102</c:v>
                </c:pt>
                <c:pt idx="58">
                  <c:v>7.3662066800336596</c:v>
                </c:pt>
                <c:pt idx="59">
                  <c:v>7.3360043273498121</c:v>
                </c:pt>
                <c:pt idx="60">
                  <c:v>7.3031271221959173</c:v>
                </c:pt>
                <c:pt idx="61">
                  <c:v>7.2673610219625875</c:v>
                </c:pt>
                <c:pt idx="62">
                  <c:v>7.228478995971944</c:v>
                </c:pt>
                <c:pt idx="63">
                  <c:v>7.1862409803216378</c:v>
                </c:pt>
                <c:pt idx="64">
                  <c:v>7.1403939843461934</c:v>
                </c:pt>
                <c:pt idx="65">
                  <c:v>7.0906723742451163</c:v>
                </c:pt>
                <c:pt idx="66">
                  <c:v>7.0367983600795316</c:v>
                </c:pt>
                <c:pt idx="67">
                  <c:v>6.9784827122035651</c:v>
                </c:pt>
                <c:pt idx="68">
                  <c:v>6.9154257320367378</c:v>
                </c:pt>
                <c:pt idx="69">
                  <c:v>6.8473184997098411</c:v>
                </c:pt>
                <c:pt idx="70">
                  <c:v>6.7738444173074752</c:v>
                </c:pt>
                <c:pt idx="71">
                  <c:v>6.6946810610364107</c:v>
                </c:pt>
                <c:pt idx="72">
                  <c:v>6.6095023485467994</c:v>
                </c:pt>
                <c:pt idx="73">
                  <c:v>6.5179810188169203</c:v>
                </c:pt>
                <c:pt idx="74">
                  <c:v>6.4197914115516896</c:v>
                </c:pt>
                <c:pt idx="75">
                  <c:v>6.3146125211809849</c:v>
                </c:pt>
                <c:pt idx="76">
                  <c:v>6.2021312876429153</c:v>
                </c:pt>
                <c:pt idx="77">
                  <c:v>6.0820460727525063</c:v>
                </c:pt>
                <c:pt idx="78">
                  <c:v>5.9540702577592235</c:v>
                </c:pt>
                <c:pt idx="79">
                  <c:v>5.817935885522707</c:v>
                </c:pt>
                <c:pt idx="80">
                  <c:v>5.6733972604604164</c:v>
                </c:pt>
                <c:pt idx="81">
                  <c:v>5.5202344119478592</c:v>
                </c:pt>
                <c:pt idx="82">
                  <c:v>5.3582563230141975</c:v>
                </c:pt>
                <c:pt idx="83">
                  <c:v>5.1873038266184492</c:v>
                </c:pt>
                <c:pt idx="84">
                  <c:v>5.007252076957041</c:v>
                </c:pt>
                <c:pt idx="85">
                  <c:v>4.8180125132063454</c:v>
                </c:pt>
                <c:pt idx="86">
                  <c:v>4.619534247604288</c:v>
                </c:pt>
                <c:pt idx="87">
                  <c:v>4.4118048281738655</c:v>
                </c:pt>
                <c:pt idx="88">
                  <c:v>4.1948503477131895</c:v>
                </c:pt>
                <c:pt idx="89">
                  <c:v>3.968734893702579</c:v>
                </c:pt>
                <c:pt idx="90">
                  <c:v>3.7335593571060506</c:v>
                </c:pt>
                <c:pt idx="91">
                  <c:v>3.4894596402652174</c:v>
                </c:pt>
                <c:pt idx="92">
                  <c:v>3.2366043238776192</c:v>
                </c:pt>
                <c:pt idx="93">
                  <c:v>2.9751918693293193</c:v>
                </c:pt>
                <c:pt idx="94">
                  <c:v>2.7054474446141352</c:v>
                </c:pt>
                <c:pt idx="95">
                  <c:v>2.4276194693044579</c:v>
                </c:pt>
                <c:pt idx="96">
                  <c:v>2.1419759764711799</c:v>
                </c:pt>
                <c:pt idx="97">
                  <c:v>1.8488008873747077</c:v>
                </c:pt>
                <c:pt idx="98">
                  <c:v>1.5483902887298555</c:v>
                </c:pt>
                <c:pt idx="99">
                  <c:v>1.2410487931471255</c:v>
                </c:pt>
                <c:pt idx="100">
                  <c:v>0.92708605185673032</c:v>
                </c:pt>
                <c:pt idx="101">
                  <c:v>0.60681347592639423</c:v>
                </c:pt>
                <c:pt idx="102">
                  <c:v>0.2805412087516706</c:v>
                </c:pt>
                <c:pt idx="103">
                  <c:v>-5.1424620628889271E-2</c:v>
                </c:pt>
                <c:pt idx="104">
                  <c:v>-0.38878434625065317</c:v>
                </c:pt>
                <c:pt idx="105">
                  <c:v>-0.73124690997015485</c:v>
                </c:pt>
                <c:pt idx="106">
                  <c:v>-1.0785317058283548</c:v>
                </c:pt>
                <c:pt idx="107">
                  <c:v>-1.4303701354989546</c:v>
                </c:pt>
                <c:pt idx="108">
                  <c:v>-1.7865068924446033</c:v>
                </c:pt>
                <c:pt idx="109">
                  <c:v>-2.1467009969077098</c:v>
                </c:pt>
                <c:pt idx="110">
                  <c:v>-2.5107266068506622</c:v>
                </c:pt>
                <c:pt idx="111">
                  <c:v>-2.8783736316230213</c:v>
                </c:pt>
                <c:pt idx="112">
                  <c:v>-3.2494481756743321</c:v>
                </c:pt>
                <c:pt idx="113">
                  <c:v>-3.6237728392631388</c:v>
                </c:pt>
                <c:pt idx="114">
                  <c:v>-4.0011869020338562</c:v>
                </c:pt>
                <c:pt idx="115">
                  <c:v>-4.3815464137267268</c:v>
                </c:pt>
                <c:pt idx="116">
                  <c:v>-4.7647242143079884</c:v>
                </c:pt>
                <c:pt idx="117">
                  <c:v>-5.1506099035890394</c:v>
                </c:pt>
                <c:pt idx="118">
                  <c:v>-5.5391097780469609</c:v>
                </c:pt>
                <c:pt idx="119">
                  <c:v>-5.9301467501434244</c:v>
                </c:pt>
                <c:pt idx="120">
                  <c:v>-6.323660263022032</c:v>
                </c:pt>
                <c:pt idx="121">
                  <c:v>-6.7196062110678234</c:v>
                </c:pt>
                <c:pt idx="122">
                  <c:v>-7.1179568744787751</c:v>
                </c:pt>
                <c:pt idx="123">
                  <c:v>-7.5187008736991636</c:v>
                </c:pt>
                <c:pt idx="124">
                  <c:v>-7.9218431473270847</c:v>
                </c:pt>
                <c:pt idx="125">
                  <c:v>-8.3274049548871769</c:v>
                </c:pt>
                <c:pt idx="126">
                  <c:v>-8.7354239036622694</c:v>
                </c:pt>
                <c:pt idx="127">
                  <c:v>-9.1459539965660763</c:v>
                </c:pt>
                <c:pt idx="128">
                  <c:v>-9.559065695803822</c:v>
                </c:pt>
                <c:pt idx="129">
                  <c:v>-9.9748459947899075</c:v>
                </c:pt>
                <c:pt idx="130">
                  <c:v>-10.393398488461962</c:v>
                </c:pt>
                <c:pt idx="131">
                  <c:v>-10.814843429750798</c:v>
                </c:pt>
                <c:pt idx="132">
                  <c:v>-11.239317757544555</c:v>
                </c:pt>
                <c:pt idx="133">
                  <c:v>-11.666975079065994</c:v>
                </c:pt>
                <c:pt idx="134">
                  <c:v>-12.097985587181846</c:v>
                </c:pt>
                <c:pt idx="135">
                  <c:v>-12.532535890896252</c:v>
                </c:pt>
                <c:pt idx="136">
                  <c:v>-12.970828735199159</c:v>
                </c:pt>
                <c:pt idx="137">
                  <c:v>-13.413082584694866</c:v>
                </c:pt>
                <c:pt idx="138">
                  <c:v>-13.859531044166161</c:v>
                </c:pt>
                <c:pt idx="139">
                  <c:v>-14.310422088605748</c:v>
                </c:pt>
                <c:pt idx="140">
                  <c:v>-14.766017075470341</c:v>
                </c:pt>
                <c:pt idx="141">
                  <c:v>-15.226589513192225</c:v>
                </c:pt>
                <c:pt idx="142">
                  <c:v>-15.692423562519958</c:v>
                </c:pt>
                <c:pt idx="143">
                  <c:v>-16.163812251259898</c:v>
                </c:pt>
                <c:pt idx="144">
                  <c:v>-16.641055388601107</c:v>
                </c:pt>
                <c:pt idx="145">
                  <c:v>-17.12445717252924</c:v>
                </c:pt>
                <c:pt idx="146">
                  <c:v>-17.614323492880821</c:v>
                </c:pt>
                <c:pt idx="147">
                  <c:v>-18.11095894324858</c:v>
                </c:pt>
                <c:pt idx="148">
                  <c:v>-18.614663566979157</c:v>
                </c:pt>
                <c:pt idx="149">
                  <c:v>-19.125729375505749</c:v>
                </c:pt>
                <c:pt idx="150">
                  <c:v>-19.644436690673039</c:v>
                </c:pt>
                <c:pt idx="151">
                  <c:v>-20.171050375828404</c:v>
                </c:pt>
                <c:pt idx="152">
                  <c:v>-20.705816032447117</c:v>
                </c:pt>
                <c:pt idx="153">
                  <c:v>-21.248956249031568</c:v>
                </c:pt>
                <c:pt idx="154">
                  <c:v>-21.80066699608609</c:v>
                </c:pt>
                <c:pt idx="155">
                  <c:v>-22.361114264299328</c:v>
                </c:pt>
                <c:pt idx="156">
                  <c:v>-22.930431042040503</c:v>
                </c:pt>
                <c:pt idx="157">
                  <c:v>-23.508714722500915</c:v>
                </c:pt>
                <c:pt idx="158">
                  <c:v>-24.096025020252085</c:v>
                </c:pt>
                <c:pt idx="159">
                  <c:v>-24.692382461943367</c:v>
                </c:pt>
                <c:pt idx="160">
                  <c:v>-25.297767497017993</c:v>
                </c:pt>
                <c:pt idx="161">
                  <c:v>-25.912120252690286</c:v>
                </c:pt>
                <c:pt idx="162">
                  <c:v>-26.535340934262237</c:v>
                </c:pt>
                <c:pt idx="163">
                  <c:v>-27.167290848561834</c:v>
                </c:pt>
                <c:pt idx="164">
                  <c:v>-27.807794006273173</c:v>
                </c:pt>
                <c:pt idx="165">
                  <c:v>-28.456639239496578</c:v>
                </c:pt>
                <c:pt idx="166">
                  <c:v>-29.113582755092239</c:v>
                </c:pt>
                <c:pt idx="167">
                  <c:v>-29.778351032963783</c:v>
                </c:pt>
                <c:pt idx="168">
                  <c:v>-30.450643971834378</c:v>
                </c:pt>
                <c:pt idx="169">
                  <c:v>-31.130138183251731</c:v>
                </c:pt>
                <c:pt idx="170">
                  <c:v>-31.816490337234214</c:v>
                </c:pt>
                <c:pt idx="171">
                  <c:v>-32.509340469535545</c:v>
                </c:pt>
                <c:pt idx="172">
                  <c:v>-33.20831517019294</c:v>
                </c:pt>
                <c:pt idx="173">
                  <c:v>-33.913030584945254</c:v>
                </c:pt>
                <c:pt idx="174">
                  <c:v>-34.623095174387203</c:v>
                </c:pt>
                <c:pt idx="175">
                  <c:v>-35.338112189510895</c:v>
                </c:pt>
                <c:pt idx="176">
                  <c:v>-36.057681835875464</c:v>
                </c:pt>
                <c:pt idx="177">
                  <c:v>-36.781403111448576</c:v>
                </c:pt>
                <c:pt idx="178">
                  <c:v>-37.508875314775466</c:v>
                </c:pt>
                <c:pt idx="179">
                  <c:v>-38.239699230287833</c:v>
                </c:pt>
                <c:pt idx="180">
                  <c:v>-38.973478006154856</c:v>
                </c:pt>
                <c:pt idx="181">
                  <c:v>-39.709817747106591</c:v>
                </c:pt>
                <c:pt idx="182">
                  <c:v>-40.448327850217076</c:v>
                </c:pt>
                <c:pt idx="183">
                  <c:v>-41.188621115884771</c:v>
                </c:pt>
                <c:pt idx="184">
                  <c:v>-41.930313669375423</c:v>
                </c:pt>
                <c:pt idx="185">
                  <c:v>-42.673024730520865</c:v>
                </c:pt>
                <c:pt idx="186">
                  <c:v>-43.416376270676508</c:v>
                </c:pt>
                <c:pt idx="187">
                  <c:v>-44.15999259702162</c:v>
                </c:pt>
                <c:pt idx="188">
                  <c:v>-44.903499904876</c:v>
                </c:pt>
                <c:pt idx="189">
                  <c:v>-45.646525839011062</c:v>
                </c:pt>
                <c:pt idx="190">
                  <c:v>-46.38869910499632</c:v>
                </c:pt>
                <c:pt idx="191">
                  <c:v>-47.129649171460187</c:v>
                </c:pt>
                <c:pt idx="192">
                  <c:v>-47.869006103699299</c:v>
                </c:pt>
                <c:pt idx="193">
                  <c:v>-48.606400568256703</c:v>
                </c:pt>
                <c:pt idx="194">
                  <c:v>-49.341464046761075</c:v>
                </c:pt>
                <c:pt idx="195">
                  <c:v>-50.073829295306815</c:v>
                </c:pt>
                <c:pt idx="196">
                  <c:v>-50.803131082758064</c:v>
                </c:pt>
                <c:pt idx="197">
                  <c:v>-51.52900723735808</c:v>
                </c:pt>
                <c:pt idx="198">
                  <c:v>-52.251100025728718</c:v>
                </c:pt>
                <c:pt idx="199">
                  <c:v>-52.969057881562506</c:v>
                </c:pt>
                <c:pt idx="200">
                  <c:v>-53.682537492934792</c:v>
                </c:pt>
              </c:numCache>
            </c:numRef>
          </c:yVal>
          <c:smooth val="1"/>
        </c:ser>
        <c:ser>
          <c:idx val="0"/>
          <c:order val="1"/>
          <c:tx>
            <c:v>Ti(s) Gain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Compensation!$Y$64:$Y$264</c:f>
              <c:numCache>
                <c:formatCode>General</c:formatCode>
                <c:ptCount val="201"/>
                <c:pt idx="0">
                  <c:v>9.4320998088082675</c:v>
                </c:pt>
                <c:pt idx="1">
                  <c:v>9.4324248230900825</c:v>
                </c:pt>
                <c:pt idx="2">
                  <c:v>9.4327811741992651</c:v>
                </c:pt>
                <c:pt idx="3">
                  <c:v>9.4331718814218206</c:v>
                </c:pt>
                <c:pt idx="4">
                  <c:v>9.4336002545238031</c:v>
                </c:pt>
                <c:pt idx="5">
                  <c:v>9.434069921612295</c:v>
                </c:pt>
                <c:pt idx="6">
                  <c:v>9.4345848596503092</c:v>
                </c:pt>
                <c:pt idx="7">
                  <c:v>9.4351494278764712</c:v>
                </c:pt>
                <c:pt idx="8">
                  <c:v>9.4357684044008678</c:v>
                </c:pt>
                <c:pt idx="9">
                  <c:v>9.4364470262743545</c:v>
                </c:pt>
                <c:pt idx="10">
                  <c:v>9.4371910333541145</c:v>
                </c:pt>
                <c:pt idx="11">
                  <c:v>9.4380067163192312</c:v>
                </c:pt>
                <c:pt idx="12">
                  <c:v>9.4389009692187837</c:v>
                </c:pt>
                <c:pt idx="13">
                  <c:v>9.439881346969992</c:v>
                </c:pt>
                <c:pt idx="14">
                  <c:v>9.4409561282609644</c:v>
                </c:pt>
                <c:pt idx="15">
                  <c:v>9.4421343843495293</c:v>
                </c:pt>
                <c:pt idx="16">
                  <c:v>9.4434260542935942</c:v>
                </c:pt>
                <c:pt idx="17">
                  <c:v>9.4448420271925073</c:v>
                </c:pt>
                <c:pt idx="18">
                  <c:v>9.4463942320641596</c:v>
                </c:pt>
                <c:pt idx="19">
                  <c:v>9.4480957360396385</c:v>
                </c:pt>
                <c:pt idx="20">
                  <c:v>9.4499608516021532</c:v>
                </c:pt>
                <c:pt idx="21">
                  <c:v>9.452005253662314</c:v>
                </c:pt>
                <c:pt idx="22">
                  <c:v>9.4542461073149298</c:v>
                </c:pt>
                <c:pt idx="23">
                  <c:v>9.4567022071868312</c:v>
                </c:pt>
                <c:pt idx="24">
                  <c:v>9.459394129350958</c:v>
                </c:pt>
                <c:pt idx="25">
                  <c:v>9.4623443968435179</c:v>
                </c:pt>
                <c:pt idx="26">
                  <c:v>9.4655776598921406</c:v>
                </c:pt>
                <c:pt idx="27">
                  <c:v>9.4691208920277994</c:v>
                </c:pt>
                <c:pt idx="28">
                  <c:v>9.4730036033177925</c:v>
                </c:pt>
                <c:pt idx="29">
                  <c:v>9.4772580720255224</c:v>
                </c:pt>
                <c:pt idx="30">
                  <c:v>9.4819195960548477</c:v>
                </c:pt>
                <c:pt idx="31">
                  <c:v>9.4870267655981504</c:v>
                </c:pt>
                <c:pt idx="32">
                  <c:v>9.4926217584441712</c:v>
                </c:pt>
                <c:pt idx="33">
                  <c:v>9.4987506594383575</c:v>
                </c:pt>
                <c:pt idx="34">
                  <c:v>9.5054638056032115</c:v>
                </c:pt>
                <c:pt idx="35">
                  <c:v>9.512816158420085</c:v>
                </c:pt>
                <c:pt idx="36">
                  <c:v>9.5208677047471628</c:v>
                </c:pt>
                <c:pt idx="37">
                  <c:v>9.5296838877830883</c:v>
                </c:pt>
                <c:pt idx="38">
                  <c:v>9.5393360693877032</c:v>
                </c:pt>
                <c:pt idx="39">
                  <c:v>9.5499020249211402</c:v>
                </c:pt>
                <c:pt idx="40">
                  <c:v>9.5614664715606441</c:v>
                </c:pt>
                <c:pt idx="41">
                  <c:v>9.5741216307832602</c:v>
                </c:pt>
                <c:pt idx="42">
                  <c:v>9.5879678253578842</c:v>
                </c:pt>
                <c:pt idx="43">
                  <c:v>9.6031141107517257</c:v>
                </c:pt>
                <c:pt idx="44">
                  <c:v>9.6196789403245582</c:v>
                </c:pt>
                <c:pt idx="45">
                  <c:v>9.6377908630324516</c:v>
                </c:pt>
                <c:pt idx="46">
                  <c:v>9.6575892515914301</c:v>
                </c:pt>
                <c:pt idx="47">
                  <c:v>9.6792250581453221</c:v>
                </c:pt>
                <c:pt idx="48">
                  <c:v>9.7028615934318712</c:v>
                </c:pt>
                <c:pt idx="49">
                  <c:v>9.7286753242475434</c:v>
                </c:pt>
                <c:pt idx="50">
                  <c:v>9.7568566826716214</c:v>
                </c:pt>
                <c:pt idx="51">
                  <c:v>9.7876108790391942</c:v>
                </c:pt>
                <c:pt idx="52">
                  <c:v>9.8211587090632335</c:v>
                </c:pt>
                <c:pt idx="53">
                  <c:v>9.8577373438374831</c:v>
                </c:pt>
                <c:pt idx="54">
                  <c:v>9.8976010897494913</c:v>
                </c:pt>
                <c:pt idx="55">
                  <c:v>9.9410221036699031</c:v>
                </c:pt>
                <c:pt idx="56">
                  <c:v>9.9882910472424857</c:v>
                </c:pt>
                <c:pt idx="57">
                  <c:v>10.039717662810475</c:v>
                </c:pt>
                <c:pt idx="58">
                  <c:v>10.095631252610062</c:v>
                </c:pt>
                <c:pt idx="59">
                  <c:v>10.156381042521776</c:v>
                </c:pt>
                <c:pt idx="60">
                  <c:v>10.222336412094432</c:v>
                </c:pt>
                <c:pt idx="61">
                  <c:v>10.293886973965389</c:v>
                </c:pt>
                <c:pt idx="62">
                  <c:v>10.371442488434564</c:v>
                </c:pt>
                <c:pt idx="63">
                  <c:v>10.455432603051886</c:v>
                </c:pt>
                <c:pt idx="64">
                  <c:v>10.546306412877177</c:v>
                </c:pt>
                <c:pt idx="65">
                  <c:v>10.644531844768663</c:v>
                </c:pt>
                <c:pt idx="66">
                  <c:v>10.75059487879577</c:v>
                </c:pt>
                <c:pt idx="67">
                  <c:v>10.864998631714107</c:v>
                </c:pt>
                <c:pt idx="68">
                  <c:v>10.988262341348143</c:v>
                </c:pt>
                <c:pt idx="69">
                  <c:v>11.120920306523473</c:v>
                </c:pt>
                <c:pt idx="70">
                  <c:v>11.263520854571944</c:v>
                </c:pt>
                <c:pt idx="71">
                  <c:v>11.416625426940447</c:v>
                </c:pt>
                <c:pt idx="72">
                  <c:v>11.580807892491375</c:v>
                </c:pt>
                <c:pt idx="73">
                  <c:v>11.756654217001445</c:v>
                </c:pt>
                <c:pt idx="74">
                  <c:v>11.944762635436161</c:v>
                </c:pt>
                <c:pt idx="75">
                  <c:v>12.145744490073252</c:v>
                </c:pt>
                <c:pt idx="76">
                  <c:v>12.36022591187195</c:v>
                </c:pt>
                <c:pt idx="77">
                  <c:v>12.588850534154648</c:v>
                </c:pt>
                <c:pt idx="78">
                  <c:v>12.832283436418564</c:v>
                </c:pt>
                <c:pt idx="79">
                  <c:v>13.091216521806469</c:v>
                </c:pt>
                <c:pt idx="80">
                  <c:v>13.366375534379067</c:v>
                </c:pt>
                <c:pt idx="81">
                  <c:v>13.658528921561068</c:v>
                </c:pt>
                <c:pt idx="82">
                  <c:v>13.968498741959902</c:v>
                </c:pt>
                <c:pt idx="83">
                  <c:v>14.297173806560995</c:v>
                </c:pt>
                <c:pt idx="84">
                  <c:v>14.645525216313729</c:v>
                </c:pt>
                <c:pt idx="85">
                  <c:v>15.014624409909221</c:v>
                </c:pt>
                <c:pt idx="86">
                  <c:v>15.405663740554402</c:v>
                </c:pt>
                <c:pt idx="87">
                  <c:v>15.819979420454031</c:v>
                </c:pt>
                <c:pt idx="88">
                  <c:v>16.259076335844348</c:v>
                </c:pt>
                <c:pt idx="89">
                  <c:v>16.724653617391308</c:v>
                </c:pt>
                <c:pt idx="90">
                  <c:v>17.218628724327004</c:v>
                </c:pt>
                <c:pt idx="91">
                  <c:v>17.743155758957801</c:v>
                </c:pt>
                <c:pt idx="92">
                  <c:v>18.300630035074086</c:v>
                </c:pt>
                <c:pt idx="93">
                  <c:v>18.893664241292431</c:v>
                </c:pt>
                <c:pt idx="94">
                  <c:v>19.525009433637369</c:v>
                </c:pt>
                <c:pt idx="95">
                  <c:v>20.197372162667627</c:v>
                </c:pt>
                <c:pt idx="96">
                  <c:v>20.913039539370931</c:v>
                </c:pt>
                <c:pt idx="97">
                  <c:v>21.673154149638659</c:v>
                </c:pt>
                <c:pt idx="98">
                  <c:v>22.476362486271913</c:v>
                </c:pt>
                <c:pt idx="99">
                  <c:v>23.31638141842614</c:v>
                </c:pt>
                <c:pt idx="100">
                  <c:v>24.177831856983332</c:v>
                </c:pt>
                <c:pt idx="101">
                  <c:v>25.029753124835157</c:v>
                </c:pt>
                <c:pt idx="102">
                  <c:v>25.81744089019363</c:v>
                </c:pt>
                <c:pt idx="103">
                  <c:v>26.457403644050231</c:v>
                </c:pt>
                <c:pt idx="104">
                  <c:v>26.847295727370444</c:v>
                </c:pt>
                <c:pt idx="105">
                  <c:v>26.902066453722398</c:v>
                </c:pt>
                <c:pt idx="106">
                  <c:v>26.60108322284794</c:v>
                </c:pt>
                <c:pt idx="107">
                  <c:v>26.00154587462335</c:v>
                </c:pt>
                <c:pt idx="108">
                  <c:v>25.202745758945248</c:v>
                </c:pt>
                <c:pt idx="109">
                  <c:v>24.299939612652697</c:v>
                </c:pt>
                <c:pt idx="110">
                  <c:v>23.361744571888153</c:v>
                </c:pt>
                <c:pt idx="111">
                  <c:v>22.42954580448518</c:v>
                </c:pt>
                <c:pt idx="112">
                  <c:v>21.525114334649942</c:v>
                </c:pt>
                <c:pt idx="113">
                  <c:v>20.658181252715369</c:v>
                </c:pt>
                <c:pt idx="114">
                  <c:v>19.831725522716752</c:v>
                </c:pt>
                <c:pt idx="115">
                  <c:v>19.045186908780021</c:v>
                </c:pt>
                <c:pt idx="116">
                  <c:v>18.296290773627049</c:v>
                </c:pt>
                <c:pt idx="117">
                  <c:v>17.582044450275799</c:v>
                </c:pt>
                <c:pt idx="118">
                  <c:v>16.89926392227887</c:v>
                </c:pt>
                <c:pt idx="119">
                  <c:v>16.244840867629748</c:v>
                </c:pt>
                <c:pt idx="120">
                  <c:v>15.61586840199424</c:v>
                </c:pt>
                <c:pt idx="121">
                  <c:v>15.009691093213162</c:v>
                </c:pt>
                <c:pt idx="122">
                  <c:v>14.423915322646064</c:v>
                </c:pt>
                <c:pt idx="123">
                  <c:v>13.856399750062794</c:v>
                </c:pt>
                <c:pt idx="124">
                  <c:v>13.305236629591704</c:v>
                </c:pt>
                <c:pt idx="125">
                  <c:v>12.768729745989733</c:v>
                </c:pt>
                <c:pt idx="126">
                  <c:v>12.245371987745424</c:v>
                </c:pt>
                <c:pt idx="127">
                  <c:v>11.733824054527908</c:v>
                </c:pt>
                <c:pt idx="128">
                  <c:v>11.232894964590736</c:v>
                </c:pt>
                <c:pt idx="129">
                  <c:v>10.741524579781498</c:v>
                </c:pt>
                <c:pt idx="130">
                  <c:v>10.258768132491378</c:v>
                </c:pt>
                <c:pt idx="131">
                  <c:v>9.783782625107202</c:v>
                </c:pt>
                <c:pt idx="132">
                  <c:v>9.3158149245869595</c:v>
                </c:pt>
                <c:pt idx="133">
                  <c:v>8.8541913623006234</c:v>
                </c:pt>
                <c:pt idx="134">
                  <c:v>8.3983086551049873</c:v>
                </c:pt>
                <c:pt idx="135">
                  <c:v>7.9476259781324803</c:v>
                </c:pt>
                <c:pt idx="136">
                  <c:v>7.5016580376555773</c:v>
                </c:pt>
                <c:pt idx="137">
                  <c:v>7.0599690107973085</c:v>
                </c:pt>
                <c:pt idx="138">
                  <c:v>6.6221672363421362</c:v>
                </c:pt>
                <c:pt idx="139">
                  <c:v>6.1879005568028997</c:v>
                </c:pt>
                <c:pt idx="140">
                  <c:v>5.7568522259970294</c:v>
                </c:pt>
                <c:pt idx="141">
                  <c:v>5.3287373086911156</c:v>
                </c:pt>
                <c:pt idx="142">
                  <c:v>4.9032995095024763</c:v>
                </c:pt>
                <c:pt idx="143">
                  <c:v>4.4803083773876917</c:v>
                </c:pt>
                <c:pt idx="144">
                  <c:v>4.0595568398753574</c:v>
                </c:pt>
                <c:pt idx="145">
                  <c:v>3.6408590279060293</c:v>
                </c:pt>
                <c:pt idx="146">
                  <c:v>3.2240483578863657</c:v>
                </c:pt>
                <c:pt idx="147">
                  <c:v>2.8089758425069782</c:v>
                </c:pt>
                <c:pt idx="148">
                  <c:v>2.3955086061314201</c:v>
                </c:pt>
                <c:pt idx="149">
                  <c:v>1.9835285842699544</c:v>
                </c:pt>
                <c:pt idx="150">
                  <c:v>1.572931389886794</c:v>
                </c:pt>
                <c:pt idx="151">
                  <c:v>1.1636253321552799</c:v>
                </c:pt>
                <c:pt idx="152">
                  <c:v>0.75553057583371608</c:v>
                </c:pt>
                <c:pt idx="153">
                  <c:v>0.34857843175996162</c:v>
                </c:pt>
                <c:pt idx="154">
                  <c:v>-5.7289228890045674E-2</c:v>
                </c:pt>
                <c:pt idx="155">
                  <c:v>-0.46212044191833412</c:v>
                </c:pt>
                <c:pt idx="156">
                  <c:v>-0.86595350238771784</c:v>
                </c:pt>
                <c:pt idx="157">
                  <c:v>-1.2688172033621836</c:v>
                </c:pt>
                <c:pt idx="158">
                  <c:v>-1.6707309606759528</c:v>
                </c:pt>
                <c:pt idx="159">
                  <c:v>-2.0717048213427049</c:v>
                </c:pt>
                <c:pt idx="160">
                  <c:v>-2.4717393511640147</c:v>
                </c:pt>
                <c:pt idx="161">
                  <c:v>-2.8708253949224187</c:v>
                </c:pt>
                <c:pt idx="162">
                  <c:v>-3.2689437002073074</c:v>
                </c:pt>
                <c:pt idx="163">
                  <c:v>-3.6660643933895787</c:v>
                </c:pt>
                <c:pt idx="164">
                  <c:v>-4.0621462935049628</c:v>
                </c:pt>
                <c:pt idx="165">
                  <c:v>-4.4571360467922592</c:v>
                </c:pt>
                <c:pt idx="166">
                  <c:v>-4.8509670613734741</c:v>
                </c:pt>
                <c:pt idx="167">
                  <c:v>-5.2435582180162852</c:v>
                </c:pt>
                <c:pt idx="168">
                  <c:v>-5.6348123291689998</c:v>
                </c:pt>
                <c:pt idx="169">
                  <c:v>-6.0246143145085913</c:v>
                </c:pt>
                <c:pt idx="170">
                  <c:v>-6.4128290572523312</c:v>
                </c:pt>
                <c:pt idx="171">
                  <c:v>-6.7992989016041054</c:v>
                </c:pt>
                <c:pt idx="172">
                  <c:v>-7.1838407482359292</c:v>
                </c:pt>
                <c:pt idx="173">
                  <c:v>-7.5662427020481582</c:v>
                </c:pt>
                <c:pt idx="174">
                  <c:v>-7.946260225191196</c:v>
                </c:pt>
                <c:pt idx="175">
                  <c:v>-8.3236117492865453</c:v>
                </c:pt>
                <c:pt idx="176">
                  <c:v>-8.6979737050417398</c:v>
                </c:pt>
                <c:pt idx="177">
                  <c:v>-9.0689749364639169</c:v>
                </c:pt>
                <c:pt idx="178">
                  <c:v>-9.436190482494256</c:v>
                </c:pt>
                <c:pt idx="179">
                  <c:v>-9.7991347334205141</c:v>
                </c:pt>
                <c:pt idx="180">
                  <c:v>-10.15725400565908</c:v>
                </c:pt>
                <c:pt idx="181">
                  <c:v>-10.50991862959664</c:v>
                </c:pt>
                <c:pt idx="182">
                  <c:v>-10.85641471452883</c:v>
                </c:pt>
                <c:pt idx="183">
                  <c:v>-11.195935845509107</c:v>
                </c:pt>
                <c:pt idx="184">
                  <c:v>-11.527575081456449</c:v>
                </c:pt>
                <c:pt idx="185">
                  <c:v>-11.850317762589011</c:v>
                </c:pt>
                <c:pt idx="186">
                  <c:v>-12.163035795183566</c:v>
                </c:pt>
                <c:pt idx="187">
                  <c:v>-12.464484254530259</c:v>
                </c:pt>
                <c:pt idx="188">
                  <c:v>-12.753301316982743</c:v>
                </c:pt>
                <c:pt idx="189">
                  <c:v>-13.028012673858749</c:v>
                </c:pt>
                <c:pt idx="190">
                  <c:v>-13.287041657567023</c:v>
                </c:pt>
                <c:pt idx="191">
                  <c:v>-13.528726277884166</c:v>
                </c:pt>
                <c:pt idx="192">
                  <c:v>-13.751344172584592</c:v>
                </c:pt>
                <c:pt idx="193">
                  <c:v>-13.953146074381518</c:v>
                </c:pt>
                <c:pt idx="194">
                  <c:v>-14.132397756626776</c:v>
                </c:pt>
                <c:pt idx="195">
                  <c:v>-14.287429551562434</c:v>
                </c:pt>
                <c:pt idx="196">
                  <c:v>-14.416691499813844</c:v>
                </c:pt>
                <c:pt idx="197">
                  <c:v>-14.51881111530632</c:v>
                </c:pt>
                <c:pt idx="198">
                  <c:v>-14.59264982046162</c:v>
                </c:pt>
                <c:pt idx="199">
                  <c:v>-14.637353534997795</c:v>
                </c:pt>
                <c:pt idx="200">
                  <c:v>-14.652392877671259</c:v>
                </c:pt>
              </c:numCache>
            </c:numRef>
          </c:yVal>
          <c:smooth val="1"/>
        </c:ser>
        <c:ser>
          <c:idx val="4"/>
          <c:order val="2"/>
          <c:tx>
            <c:v>Tv(s) Gain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Compensation!$AC$64:$AC$264</c:f>
              <c:numCache>
                <c:formatCode>General</c:formatCode>
                <c:ptCount val="201"/>
                <c:pt idx="0">
                  <c:v>19.648825213022221</c:v>
                </c:pt>
                <c:pt idx="1">
                  <c:v>19.648873913801367</c:v>
                </c:pt>
                <c:pt idx="2">
                  <c:v>19.648927313384046</c:v>
                </c:pt>
                <c:pt idx="3">
                  <c:v>19.648985865150923</c:v>
                </c:pt>
                <c:pt idx="4">
                  <c:v>19.649050066234128</c:v>
                </c:pt>
                <c:pt idx="5">
                  <c:v>19.649120461739425</c:v>
                </c:pt>
                <c:pt idx="6">
                  <c:v>19.649197649378262</c:v>
                </c:pt>
                <c:pt idx="7">
                  <c:v>19.649282284544618</c:v>
                </c:pt>
                <c:pt idx="8">
                  <c:v>19.649375085884831</c:v>
                </c:pt>
                <c:pt idx="9">
                  <c:v>19.649476841403491</c:v>
                </c:pt>
                <c:pt idx="10">
                  <c:v>19.64958841515973</c:v>
                </c:pt>
                <c:pt idx="11">
                  <c:v>19.649710754611725</c:v>
                </c:pt>
                <c:pt idx="12">
                  <c:v>19.649844898669635</c:v>
                </c:pt>
                <c:pt idx="13">
                  <c:v>19.649991986526999</c:v>
                </c:pt>
                <c:pt idx="14">
                  <c:v>19.650153267346987</c:v>
                </c:pt>
                <c:pt idx="15">
                  <c:v>19.650330110884376</c:v>
                </c:pt>
                <c:pt idx="16">
                  <c:v>19.650524019135048</c:v>
                </c:pt>
                <c:pt idx="17">
                  <c:v>19.65073663911248</c:v>
                </c:pt>
                <c:pt idx="18">
                  <c:v>19.650969776860801</c:v>
                </c:pt>
                <c:pt idx="19">
                  <c:v>19.651225412823841</c:v>
                </c:pt>
                <c:pt idx="20">
                  <c:v>19.651505718702456</c:v>
                </c:pt>
                <c:pt idx="21">
                  <c:v>19.651813075944485</c:v>
                </c:pt>
                <c:pt idx="22">
                  <c:v>19.652150096026542</c:v>
                </c:pt>
                <c:pt idx="23">
                  <c:v>19.652519642701737</c:v>
                </c:pt>
                <c:pt idx="24">
                  <c:v>19.652924856403896</c:v>
                </c:pt>
                <c:pt idx="25">
                  <c:v>19.653369181021858</c:v>
                </c:pt>
                <c:pt idx="26">
                  <c:v>19.65385639327004</c:v>
                </c:pt>
                <c:pt idx="27">
                  <c:v>19.654390634914847</c:v>
                </c:pt>
                <c:pt idx="28">
                  <c:v>19.654976448130629</c:v>
                </c:pt>
                <c:pt idx="29">
                  <c:v>19.655618814297249</c:v>
                </c:pt>
                <c:pt idx="30">
                  <c:v>19.656323196571968</c:v>
                </c:pt>
                <c:pt idx="31">
                  <c:v>19.657095586610904</c:v>
                </c:pt>
                <c:pt idx="32">
                  <c:v>19.657942555844492</c:v>
                </c:pt>
                <c:pt idx="33">
                  <c:v>19.658871311760841</c:v>
                </c:pt>
                <c:pt idx="34">
                  <c:v>19.659889759687104</c:v>
                </c:pt>
                <c:pt idx="35">
                  <c:v>19.661006570616507</c:v>
                </c:pt>
                <c:pt idx="36">
                  <c:v>19.662231255681309</c:v>
                </c:pt>
                <c:pt idx="37">
                  <c:v>19.663574247932331</c:v>
                </c:pt>
                <c:pt idx="38">
                  <c:v>19.665046992154849</c:v>
                </c:pt>
                <c:pt idx="39">
                  <c:v>19.666662043527353</c:v>
                </c:pt>
                <c:pt idx="40">
                  <c:v>19.668433176010431</c:v>
                </c:pt>
                <c:pt idx="41">
                  <c:v>19.670375501448902</c:v>
                </c:pt>
                <c:pt idx="42">
                  <c:v>19.672505600471716</c:v>
                </c:pt>
                <c:pt idx="43">
                  <c:v>19.674841666392044</c:v>
                </c:pt>
                <c:pt idx="44">
                  <c:v>19.677403663434351</c:v>
                </c:pt>
                <c:pt idx="45">
                  <c:v>19.680213500763685</c:v>
                </c:pt>
                <c:pt idx="46">
                  <c:v>19.683295223950246</c:v>
                </c:pt>
                <c:pt idx="47">
                  <c:v>19.686675225681089</c:v>
                </c:pt>
                <c:pt idx="48">
                  <c:v>19.690382477736474</c:v>
                </c:pt>
                <c:pt idx="49">
                  <c:v>19.694448786470502</c:v>
                </c:pt>
                <c:pt idx="50">
                  <c:v>19.698909074295301</c:v>
                </c:pt>
                <c:pt idx="51">
                  <c:v>19.70380168995267</c:v>
                </c:pt>
                <c:pt idx="52">
                  <c:v>19.709168750683052</c:v>
                </c:pt>
                <c:pt idx="53">
                  <c:v>19.715056519773331</c:v>
                </c:pt>
                <c:pt idx="54">
                  <c:v>19.721515823377871</c:v>
                </c:pt>
                <c:pt idx="55">
                  <c:v>19.728602510988331</c:v>
                </c:pt>
                <c:pt idx="56">
                  <c:v>19.736377964465152</c:v>
                </c:pt>
                <c:pt idx="57">
                  <c:v>19.74490966116797</c:v>
                </c:pt>
                <c:pt idx="58">
                  <c:v>19.754271797427059</c:v>
                </c:pt>
                <c:pt idx="59">
                  <c:v>19.764545979416798</c:v>
                </c:pt>
                <c:pt idx="60">
                  <c:v>19.775821989428419</c:v>
                </c:pt>
                <c:pt idx="61">
                  <c:v>19.788198636618986</c:v>
                </c:pt>
                <c:pt idx="62">
                  <c:v>19.801784702569787</c:v>
                </c:pt>
                <c:pt idx="63">
                  <c:v>19.816699993434234</c:v>
                </c:pt>
                <c:pt idx="64">
                  <c:v>19.833076512142398</c:v>
                </c:pt>
                <c:pt idx="65">
                  <c:v>19.851059766096572</c:v>
                </c:pt>
                <c:pt idx="66">
                  <c:v>19.870810228080909</c:v>
                </c:pt>
                <c:pt idx="67">
                  <c:v>19.892504970796459</c:v>
                </c:pt>
                <c:pt idx="68">
                  <c:v>19.916339498573063</c:v>
                </c:pt>
                <c:pt idx="69">
                  <c:v>19.942529803506368</c:v>
                </c:pt>
                <c:pt idx="70">
                  <c:v>19.971314677604603</c:v>
                </c:pt>
                <c:pt idx="71">
                  <c:v>20.002958317640434</c:v>
                </c:pt>
                <c:pt idx="72">
                  <c:v>20.03775326540914</c:v>
                </c:pt>
                <c:pt idx="73">
                  <c:v>20.07602373316648</c:v>
                </c:pt>
                <c:pt idx="74">
                  <c:v>20.118129372319402</c:v>
                </c:pt>
                <c:pt idx="75">
                  <c:v>20.164469553160458</c:v>
                </c:pt>
                <c:pt idx="76">
                  <c:v>20.215488234754211</c:v>
                </c:pt>
                <c:pt idx="77">
                  <c:v>20.271679517157875</c:v>
                </c:pt>
                <c:pt idx="78">
                  <c:v>20.333593983058318</c:v>
                </c:pt>
                <c:pt idx="79">
                  <c:v>20.401845952559327</c:v>
                </c:pt>
                <c:pt idx="80">
                  <c:v>20.47712179283576</c:v>
                </c:pt>
                <c:pt idx="81">
                  <c:v>20.560189442703884</c:v>
                </c:pt>
                <c:pt idx="82">
                  <c:v>20.651909328786058</c:v>
                </c:pt>
                <c:pt idx="83">
                  <c:v>20.75324686096879</c:v>
                </c:pt>
                <c:pt idx="84">
                  <c:v>20.865286693110686</c:v>
                </c:pt>
                <c:pt idx="85">
                  <c:v>20.989248907591019</c:v>
                </c:pt>
                <c:pt idx="86">
                  <c:v>21.126507206479182</c:v>
                </c:pt>
                <c:pt idx="87">
                  <c:v>21.278609027494987</c:v>
                </c:pt>
                <c:pt idx="88">
                  <c:v>21.447297178110254</c:v>
                </c:pt>
                <c:pt idx="89">
                  <c:v>21.634531969394772</c:v>
                </c:pt>
                <c:pt idx="90">
                  <c:v>21.842511706285741</c:v>
                </c:pt>
                <c:pt idx="91">
                  <c:v>22.073687346323858</c:v>
                </c:pt>
                <c:pt idx="92">
                  <c:v>22.330763439099663</c:v>
                </c:pt>
                <c:pt idx="93">
                  <c:v>22.616670766457084</c:v>
                </c:pt>
                <c:pt idx="94">
                  <c:v>22.934483984963482</c:v>
                </c:pt>
                <c:pt idx="95">
                  <c:v>23.287235630129622</c:v>
                </c:pt>
                <c:pt idx="96">
                  <c:v>23.677538327379043</c:v>
                </c:pt>
                <c:pt idx="97">
                  <c:v>24.106857147295095</c:v>
                </c:pt>
                <c:pt idx="98">
                  <c:v>24.574155789681171</c:v>
                </c:pt>
                <c:pt idx="99">
                  <c:v>25.07346112112366</c:v>
                </c:pt>
                <c:pt idx="100">
                  <c:v>25.589695220126121</c:v>
                </c:pt>
                <c:pt idx="101">
                  <c:v>26.092188426886999</c:v>
                </c:pt>
                <c:pt idx="102">
                  <c:v>26.526516238151942</c:v>
                </c:pt>
                <c:pt idx="103">
                  <c:v>26.809455006419739</c:v>
                </c:pt>
                <c:pt idx="104">
                  <c:v>26.838914424562862</c:v>
                </c:pt>
                <c:pt idx="105">
                  <c:v>26.530086315621691</c:v>
                </c:pt>
                <c:pt idx="106">
                  <c:v>25.862567596989091</c:v>
                </c:pt>
                <c:pt idx="107">
                  <c:v>24.893774642634416</c:v>
                </c:pt>
                <c:pt idx="108">
                  <c:v>23.723202494247101</c:v>
                </c:pt>
                <c:pt idx="109">
                  <c:v>22.446298989355146</c:v>
                </c:pt>
                <c:pt idx="110">
                  <c:v>21.131860113672225</c:v>
                </c:pt>
                <c:pt idx="111">
                  <c:v>19.821438043188113</c:v>
                </c:pt>
                <c:pt idx="112">
                  <c:v>18.536959431335983</c:v>
                </c:pt>
                <c:pt idx="113">
                  <c:v>17.288300119202084</c:v>
                </c:pt>
                <c:pt idx="114">
                  <c:v>16.078573468752506</c:v>
                </c:pt>
                <c:pt idx="115">
                  <c:v>14.907343829208603</c:v>
                </c:pt>
                <c:pt idx="116">
                  <c:v>13.772451880780093</c:v>
                </c:pt>
                <c:pt idx="117">
                  <c:v>12.671011549333294</c:v>
                </c:pt>
                <c:pt idx="118">
                  <c:v>11.599937221262886</c:v>
                </c:pt>
                <c:pt idx="119">
                  <c:v>10.556211308873262</c:v>
                </c:pt>
                <c:pt idx="120">
                  <c:v>9.5370104981891668</c:v>
                </c:pt>
                <c:pt idx="121">
                  <c:v>8.5397562483437763</c:v>
                </c:pt>
                <c:pt idx="122">
                  <c:v>7.5621256160995358</c:v>
                </c:pt>
                <c:pt idx="123">
                  <c:v>6.6020421608661302</c:v>
                </c:pt>
                <c:pt idx="124">
                  <c:v>5.6576576769222306</c:v>
                </c:pt>
                <c:pt idx="125">
                  <c:v>4.7273305217580397</c:v>
                </c:pt>
                <c:pt idx="126">
                  <c:v>3.809603557055298</c:v>
                </c:pt>
                <c:pt idx="127">
                  <c:v>2.9031832001084363</c:v>
                </c:pt>
                <c:pt idx="128">
                  <c:v>2.0069202518017888</c:v>
                </c:pt>
                <c:pt idx="129">
                  <c:v>1.1197927194606674</c:v>
                </c:pt>
                <c:pt idx="130">
                  <c:v>0.24089061969048223</c:v>
                </c:pt>
                <c:pt idx="131">
                  <c:v>-0.63059736737946004</c:v>
                </c:pt>
                <c:pt idx="132">
                  <c:v>-1.4953955689300407</c:v>
                </c:pt>
                <c:pt idx="133">
                  <c:v>-2.3541515043198826</c:v>
                </c:pt>
                <c:pt idx="134">
                  <c:v>-3.2074447671145294</c:v>
                </c:pt>
                <c:pt idx="135">
                  <c:v>-4.0557947729352399</c:v>
                </c:pt>
                <c:pt idx="136">
                  <c:v>-4.8996675239421563</c:v>
                </c:pt>
                <c:pt idx="137">
                  <c:v>-5.7394815224210323</c:v>
                </c:pt>
                <c:pt idx="138">
                  <c:v>-6.5756129485317256</c:v>
                </c:pt>
                <c:pt idx="139">
                  <c:v>-7.4084002014589601</c:v>
                </c:pt>
                <c:pt idx="140">
                  <c:v>-8.2381478892023861</c:v>
                </c:pt>
                <c:pt idx="141">
                  <c:v>-9.065130340045684</c:v>
                </c:pt>
                <c:pt idx="142">
                  <c:v>-9.8895946982291942</c:v>
                </c:pt>
                <c:pt idx="143">
                  <c:v>-10.71176365734204</c:v>
                </c:pt>
                <c:pt idx="144">
                  <c:v>-11.531837877265422</c:v>
                </c:pt>
                <c:pt idx="145">
                  <c:v>-12.349998123954025</c:v>
                </c:pt>
                <c:pt idx="146">
                  <c:v>-13.166407165778287</c:v>
                </c:pt>
                <c:pt idx="147">
                  <c:v>-13.981211455412639</c:v>
                </c:pt>
                <c:pt idx="148">
                  <c:v>-14.79454262222405</c:v>
                </c:pt>
                <c:pt idx="149">
                  <c:v>-15.606518796673727</c:v>
                </c:pt>
                <c:pt idx="150">
                  <c:v>-16.417245785310378</c:v>
                </c:pt>
                <c:pt idx="151">
                  <c:v>-17.226818112412815</c:v>
                </c:pt>
                <c:pt idx="152">
                  <c:v>-18.035319942184621</c:v>
                </c:pt>
                <c:pt idx="153">
                  <c:v>-18.842825893539377</c:v>
                </c:pt>
                <c:pt idx="154">
                  <c:v>-19.649401757912671</c:v>
                </c:pt>
                <c:pt idx="155">
                  <c:v>-20.4551051291443</c:v>
                </c:pt>
                <c:pt idx="156">
                  <c:v>-21.259985953266987</c:v>
                </c:pt>
                <c:pt idx="157">
                  <c:v>-22.064087004982614</c:v>
                </c:pt>
                <c:pt idx="158">
                  <c:v>-22.867444296688543</c:v>
                </c:pt>
                <c:pt idx="159">
                  <c:v>-23.670087425107752</c:v>
                </c:pt>
                <c:pt idx="160">
                  <c:v>-24.472039859867767</c:v>
                </c:pt>
                <c:pt idx="161">
                  <c:v>-25.273319177749084</c:v>
                </c:pt>
                <c:pt idx="162">
                  <c:v>-26.073937245775944</c:v>
                </c:pt>
                <c:pt idx="163">
                  <c:v>-26.873900355838778</c:v>
                </c:pt>
                <c:pt idx="164">
                  <c:v>-27.673209313116274</c:v>
                </c:pt>
                <c:pt idx="165">
                  <c:v>-28.47185948019559</c:v>
                </c:pt>
                <c:pt idx="166">
                  <c:v>-29.269840778481793</c:v>
                </c:pt>
                <c:pt idx="167">
                  <c:v>-30.067137648212178</c:v>
                </c:pt>
                <c:pt idx="168">
                  <c:v>-30.863728968190067</c:v>
                </c:pt>
                <c:pt idx="169">
                  <c:v>-31.659587936180287</c:v>
                </c:pt>
                <c:pt idx="170">
                  <c:v>-32.454681910806194</c:v>
                </c:pt>
                <c:pt idx="171">
                  <c:v>-33.248972215732906</c:v>
                </c:pt>
                <c:pt idx="172">
                  <c:v>-34.042413906937114</c:v>
                </c:pt>
                <c:pt idx="173">
                  <c:v>-34.834955503940542</c:v>
                </c:pt>
                <c:pt idx="174">
                  <c:v>-35.626538686047219</c:v>
                </c:pt>
                <c:pt idx="175">
                  <c:v>-36.417097954864971</c:v>
                </c:pt>
                <c:pt idx="176">
                  <c:v>-37.206560264737483</c:v>
                </c:pt>
                <c:pt idx="177">
                  <c:v>-37.994844623160994</c:v>
                </c:pt>
                <c:pt idx="178">
                  <c:v>-38.781861663834469</c:v>
                </c:pt>
                <c:pt idx="179">
                  <c:v>-39.56751319569635</c:v>
                </c:pt>
                <c:pt idx="180">
                  <c:v>-40.351691732152901</c:v>
                </c:pt>
                <c:pt idx="181">
                  <c:v>-41.134280005717024</c:v>
                </c:pt>
                <c:pt idx="182">
                  <c:v>-41.915150474454293</c:v>
                </c:pt>
                <c:pt idx="183">
                  <c:v>-42.694164827990221</c:v>
                </c:pt>
                <c:pt idx="184">
                  <c:v>-43.471173502361381</c:v>
                </c:pt>
                <c:pt idx="185">
                  <c:v>-44.246015214702098</c:v>
                </c:pt>
                <c:pt idx="186">
                  <c:v>-45.018516530617788</c:v>
                </c:pt>
                <c:pt idx="187">
                  <c:v>-45.7884914790911</c:v>
                </c:pt>
                <c:pt idx="188">
                  <c:v>-46.555741231850376</c:v>
                </c:pt>
                <c:pt idx="189">
                  <c:v>-47.320053866248927</c:v>
                </c:pt>
                <c:pt idx="190">
                  <c:v>-48.081204232766709</c:v>
                </c:pt>
                <c:pt idx="191">
                  <c:v>-48.838953950164125</c:v>
                </c:pt>
                <c:pt idx="192">
                  <c:v>-49.59305155294706</c:v>
                </c:pt>
                <c:pt idx="193">
                  <c:v>-50.343232816998373</c:v>
                </c:pt>
                <c:pt idx="194">
                  <c:v>-51.089221289806275</c:v>
                </c:pt>
                <c:pt idx="195">
                  <c:v>-51.830729051477455</c:v>
                </c:pt>
                <c:pt idx="196">
                  <c:v>-52.567457731453246</c:v>
                </c:pt>
                <c:pt idx="197">
                  <c:v>-53.299099803325603</c:v>
                </c:pt>
                <c:pt idx="198">
                  <c:v>-54.025340176194696</c:v>
                </c:pt>
                <c:pt idx="199">
                  <c:v>-54.745858095442863</c:v>
                </c:pt>
                <c:pt idx="200">
                  <c:v>-55.460329358533031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57056"/>
        <c:axId val="358446208"/>
      </c:scatterChart>
      <c:valAx>
        <c:axId val="32815705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46208"/>
        <c:crosses val="autoZero"/>
        <c:crossBetween val="midCat"/>
      </c:valAx>
      <c:valAx>
        <c:axId val="3584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157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5345228311108"/>
          <c:y val="2.5352180375043481E-2"/>
          <c:w val="0.20258154599361949"/>
          <c:h val="0.16338057742782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53078820347722E-2"/>
          <c:y val="7.02247191011236E-2"/>
          <c:w val="0.86765409410511352"/>
          <c:h val="0.86235955056179781"/>
        </c:manualLayout>
      </c:layout>
      <c:scatterChart>
        <c:scatterStyle val="smoothMarker"/>
        <c:varyColors val="0"/>
        <c:ser>
          <c:idx val="3"/>
          <c:order val="0"/>
          <c:tx>
            <c:v> T(s)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7.6906319380138024</c:v>
                </c:pt>
                <c:pt idx="1">
                  <c:v>7.6904756587711534</c:v>
                </c:pt>
                <c:pt idx="2">
                  <c:v>7.6903043084368727</c:v>
                </c:pt>
                <c:pt idx="3">
                  <c:v>7.6901164342826327</c:v>
                </c:pt>
                <c:pt idx="4">
                  <c:v>7.6899104436875385</c:v>
                </c:pt>
                <c:pt idx="5">
                  <c:v>7.6896845906933393</c:v>
                </c:pt>
                <c:pt idx="6">
                  <c:v>7.6894369612763427</c:v>
                </c:pt>
                <c:pt idx="7">
                  <c:v>7.6891654572081158</c:v>
                </c:pt>
                <c:pt idx="8">
                  <c:v>7.6888677783775217</c:v>
                </c:pt>
                <c:pt idx="9">
                  <c:v>7.6885414034236979</c:v>
                </c:pt>
                <c:pt idx="10">
                  <c:v>7.6881835685235611</c:v>
                </c:pt>
                <c:pt idx="11">
                  <c:v>7.6877912441606409</c:v>
                </c:pt>
                <c:pt idx="12">
                  <c:v>7.6873611096836765</c:v>
                </c:pt>
                <c:pt idx="13">
                  <c:v>7.6868895254496685</c:v>
                </c:pt>
                <c:pt idx="14">
                  <c:v>7.6863725023270195</c:v>
                </c:pt>
                <c:pt idx="15">
                  <c:v>7.6858056683113807</c:v>
                </c:pt>
                <c:pt idx="16">
                  <c:v>7.685184231988452</c:v>
                </c:pt>
                <c:pt idx="17">
                  <c:v>7.6845029425518154</c:v>
                </c:pt>
                <c:pt idx="18">
                  <c:v>7.6837560460620526</c:v>
                </c:pt>
                <c:pt idx="19">
                  <c:v>7.6829372376000569</c:v>
                </c:pt>
                <c:pt idx="20">
                  <c:v>7.6820396089460097</c:v>
                </c:pt>
                <c:pt idx="21">
                  <c:v>7.6810555913767766</c:v>
                </c:pt>
                <c:pt idx="22">
                  <c:v>7.6799768931467769</c:v>
                </c:pt>
                <c:pt idx="23">
                  <c:v>7.6787944311787451</c:v>
                </c:pt>
                <c:pt idx="24">
                  <c:v>7.677498256452326</c:v>
                </c:pt>
                <c:pt idx="25">
                  <c:v>7.6760774725444323</c:v>
                </c:pt>
                <c:pt idx="26">
                  <c:v>7.6745201467242117</c:v>
                </c:pt>
                <c:pt idx="27">
                  <c:v>7.6728132129721747</c:v>
                </c:pt>
                <c:pt idx="28">
                  <c:v>7.6709423662393554</c:v>
                </c:pt>
                <c:pt idx="29">
                  <c:v>7.6688919472225887</c:v>
                </c:pt>
                <c:pt idx="30">
                  <c:v>7.6666448168804955</c:v>
                </c:pt>
                <c:pt idx="31">
                  <c:v>7.6641822198704288</c:v>
                </c:pt>
                <c:pt idx="32">
                  <c:v>7.6614836360378566</c:v>
                </c:pt>
                <c:pt idx="33">
                  <c:v>7.6585266190496295</c:v>
                </c:pt>
                <c:pt idx="34">
                  <c:v>7.6552866212123583</c:v>
                </c:pt>
                <c:pt idx="35">
                  <c:v>7.6517368034894115</c:v>
                </c:pt>
                <c:pt idx="36">
                  <c:v>7.6478478296934114</c:v>
                </c:pt>
                <c:pt idx="37">
                  <c:v>7.6435876438111947</c:v>
                </c:pt>
                <c:pt idx="38">
                  <c:v>7.6389212294070408</c:v>
                </c:pt>
                <c:pt idx="39">
                  <c:v>7.6338103500580718</c:v>
                </c:pt>
                <c:pt idx="40">
                  <c:v>7.6282132697966576</c:v>
                </c:pt>
                <c:pt idx="41">
                  <c:v>7.6220844525856544</c:v>
                </c:pt>
                <c:pt idx="42">
                  <c:v>7.6153742399288156</c:v>
                </c:pt>
                <c:pt idx="43">
                  <c:v>7.608028505836665</c:v>
                </c:pt>
                <c:pt idx="44">
                  <c:v>7.5999882885208239</c:v>
                </c:pt>
                <c:pt idx="45">
                  <c:v>7.5911893984069483</c:v>
                </c:pt>
                <c:pt idx="46">
                  <c:v>7.5815620023266339</c:v>
                </c:pt>
                <c:pt idx="47">
                  <c:v>7.5710301840923275</c:v>
                </c:pt>
                <c:pt idx="48">
                  <c:v>7.559511482095421</c:v>
                </c:pt>
                <c:pt idx="49">
                  <c:v>7.5469164050900677</c:v>
                </c:pt>
                <c:pt idx="50">
                  <c:v>7.5331479279708766</c:v>
                </c:pt>
                <c:pt idx="51">
                  <c:v>7.5181009701101518</c:v>
                </c:pt>
                <c:pt idx="52">
                  <c:v>7.5016618597267577</c:v>
                </c:pt>
                <c:pt idx="53">
                  <c:v>7.4837077888127013</c:v>
                </c:pt>
                <c:pt idx="54">
                  <c:v>7.4641062643563778</c:v>
                </c:pt>
                <c:pt idx="55">
                  <c:v>7.4427145629884208</c:v>
                </c:pt>
                <c:pt idx="56">
                  <c:v>7.4193791977328516</c:v>
                </c:pt>
                <c:pt idx="57">
                  <c:v>7.3939354072748102</c:v>
                </c:pt>
                <c:pt idx="58">
                  <c:v>7.3662066800336596</c:v>
                </c:pt>
                <c:pt idx="59">
                  <c:v>7.3360043273498121</c:v>
                </c:pt>
                <c:pt idx="60">
                  <c:v>7.3031271221959173</c:v>
                </c:pt>
                <c:pt idx="61">
                  <c:v>7.2673610219625875</c:v>
                </c:pt>
                <c:pt idx="62">
                  <c:v>7.228478995971944</c:v>
                </c:pt>
                <c:pt idx="63">
                  <c:v>7.1862409803216378</c:v>
                </c:pt>
                <c:pt idx="64">
                  <c:v>7.1403939843461934</c:v>
                </c:pt>
                <c:pt idx="65">
                  <c:v>7.0906723742451163</c:v>
                </c:pt>
                <c:pt idx="66">
                  <c:v>7.0367983600795316</c:v>
                </c:pt>
                <c:pt idx="67">
                  <c:v>6.9784827122035651</c:v>
                </c:pt>
                <c:pt idx="68">
                  <c:v>6.9154257320367378</c:v>
                </c:pt>
                <c:pt idx="69">
                  <c:v>6.8473184997098411</c:v>
                </c:pt>
                <c:pt idx="70">
                  <c:v>6.7738444173074752</c:v>
                </c:pt>
                <c:pt idx="71">
                  <c:v>6.6946810610364107</c:v>
                </c:pt>
                <c:pt idx="72">
                  <c:v>6.6095023485467994</c:v>
                </c:pt>
                <c:pt idx="73">
                  <c:v>6.5179810188169203</c:v>
                </c:pt>
                <c:pt idx="74">
                  <c:v>6.4197914115516896</c:v>
                </c:pt>
                <c:pt idx="75">
                  <c:v>6.3146125211809849</c:v>
                </c:pt>
                <c:pt idx="76">
                  <c:v>6.2021312876429153</c:v>
                </c:pt>
                <c:pt idx="77">
                  <c:v>6.0820460727525063</c:v>
                </c:pt>
                <c:pt idx="78">
                  <c:v>5.9540702577592235</c:v>
                </c:pt>
                <c:pt idx="79">
                  <c:v>5.817935885522707</c:v>
                </c:pt>
                <c:pt idx="80">
                  <c:v>5.6733972604604164</c:v>
                </c:pt>
                <c:pt idx="81">
                  <c:v>5.5202344119478592</c:v>
                </c:pt>
                <c:pt idx="82">
                  <c:v>5.3582563230141975</c:v>
                </c:pt>
                <c:pt idx="83">
                  <c:v>5.1873038266184492</c:v>
                </c:pt>
                <c:pt idx="84">
                  <c:v>5.007252076957041</c:v>
                </c:pt>
                <c:pt idx="85">
                  <c:v>4.8180125132063454</c:v>
                </c:pt>
                <c:pt idx="86">
                  <c:v>4.619534247604288</c:v>
                </c:pt>
                <c:pt idx="87">
                  <c:v>4.4118048281738655</c:v>
                </c:pt>
                <c:pt idx="88">
                  <c:v>4.1948503477131895</c:v>
                </c:pt>
                <c:pt idx="89">
                  <c:v>3.968734893702579</c:v>
                </c:pt>
                <c:pt idx="90">
                  <c:v>3.7335593571060506</c:v>
                </c:pt>
                <c:pt idx="91">
                  <c:v>3.4894596402652174</c:v>
                </c:pt>
                <c:pt idx="92">
                  <c:v>3.2366043238776192</c:v>
                </c:pt>
                <c:pt idx="93">
                  <c:v>2.9751918693293193</c:v>
                </c:pt>
                <c:pt idx="94">
                  <c:v>2.7054474446141352</c:v>
                </c:pt>
                <c:pt idx="95">
                  <c:v>2.4276194693044579</c:v>
                </c:pt>
                <c:pt idx="96">
                  <c:v>2.1419759764711799</c:v>
                </c:pt>
                <c:pt idx="97">
                  <c:v>1.8488008873747077</c:v>
                </c:pt>
                <c:pt idx="98">
                  <c:v>1.5483902887298555</c:v>
                </c:pt>
                <c:pt idx="99">
                  <c:v>1.2410487931471255</c:v>
                </c:pt>
                <c:pt idx="100">
                  <c:v>0.92708605185673032</c:v>
                </c:pt>
                <c:pt idx="101">
                  <c:v>0.60681347592639423</c:v>
                </c:pt>
                <c:pt idx="102">
                  <c:v>0.2805412087516706</c:v>
                </c:pt>
                <c:pt idx="103">
                  <c:v>-5.1424620628889271E-2</c:v>
                </c:pt>
                <c:pt idx="104">
                  <c:v>-0.38878434625065317</c:v>
                </c:pt>
                <c:pt idx="105">
                  <c:v>-0.73124690997015485</c:v>
                </c:pt>
                <c:pt idx="106">
                  <c:v>-1.0785317058283548</c:v>
                </c:pt>
                <c:pt idx="107">
                  <c:v>-1.4303701354989546</c:v>
                </c:pt>
                <c:pt idx="108">
                  <c:v>-1.7865068924446033</c:v>
                </c:pt>
                <c:pt idx="109">
                  <c:v>-2.1467009969077098</c:v>
                </c:pt>
                <c:pt idx="110">
                  <c:v>-2.5107266068506622</c:v>
                </c:pt>
                <c:pt idx="111">
                  <c:v>-2.8783736316230213</c:v>
                </c:pt>
                <c:pt idx="112">
                  <c:v>-3.2494481756743321</c:v>
                </c:pt>
                <c:pt idx="113">
                  <c:v>-3.6237728392631388</c:v>
                </c:pt>
                <c:pt idx="114">
                  <c:v>-4.0011869020338562</c:v>
                </c:pt>
                <c:pt idx="115">
                  <c:v>-4.3815464137267268</c:v>
                </c:pt>
                <c:pt idx="116">
                  <c:v>-4.7647242143079884</c:v>
                </c:pt>
                <c:pt idx="117">
                  <c:v>-5.1506099035890394</c:v>
                </c:pt>
                <c:pt idx="118">
                  <c:v>-5.5391097780469609</c:v>
                </c:pt>
                <c:pt idx="119">
                  <c:v>-5.9301467501434244</c:v>
                </c:pt>
                <c:pt idx="120">
                  <c:v>-6.323660263022032</c:v>
                </c:pt>
                <c:pt idx="121">
                  <c:v>-6.7196062110678234</c:v>
                </c:pt>
                <c:pt idx="122">
                  <c:v>-7.1179568744787751</c:v>
                </c:pt>
                <c:pt idx="123">
                  <c:v>-7.5187008736991636</c:v>
                </c:pt>
                <c:pt idx="124">
                  <c:v>-7.9218431473270847</c:v>
                </c:pt>
                <c:pt idx="125">
                  <c:v>-8.3274049548871769</c:v>
                </c:pt>
                <c:pt idx="126">
                  <c:v>-8.7354239036622694</c:v>
                </c:pt>
                <c:pt idx="127">
                  <c:v>-9.1459539965660763</c:v>
                </c:pt>
                <c:pt idx="128">
                  <c:v>-9.559065695803822</c:v>
                </c:pt>
                <c:pt idx="129">
                  <c:v>-9.9748459947899075</c:v>
                </c:pt>
                <c:pt idx="130">
                  <c:v>-10.393398488461962</c:v>
                </c:pt>
                <c:pt idx="131">
                  <c:v>-10.814843429750798</c:v>
                </c:pt>
                <c:pt idx="132">
                  <c:v>-11.239317757544555</c:v>
                </c:pt>
                <c:pt idx="133">
                  <c:v>-11.666975079065994</c:v>
                </c:pt>
                <c:pt idx="134">
                  <c:v>-12.097985587181846</c:v>
                </c:pt>
                <c:pt idx="135">
                  <c:v>-12.532535890896252</c:v>
                </c:pt>
                <c:pt idx="136">
                  <c:v>-12.970828735199159</c:v>
                </c:pt>
                <c:pt idx="137">
                  <c:v>-13.413082584694866</c:v>
                </c:pt>
                <c:pt idx="138">
                  <c:v>-13.859531044166161</c:v>
                </c:pt>
                <c:pt idx="139">
                  <c:v>-14.310422088605748</c:v>
                </c:pt>
                <c:pt idx="140">
                  <c:v>-14.766017075470341</c:v>
                </c:pt>
                <c:pt idx="141">
                  <c:v>-15.226589513192225</c:v>
                </c:pt>
                <c:pt idx="142">
                  <c:v>-15.692423562519958</c:v>
                </c:pt>
                <c:pt idx="143">
                  <c:v>-16.163812251259898</c:v>
                </c:pt>
                <c:pt idx="144">
                  <c:v>-16.641055388601107</c:v>
                </c:pt>
                <c:pt idx="145">
                  <c:v>-17.12445717252924</c:v>
                </c:pt>
                <c:pt idx="146">
                  <c:v>-17.614323492880821</c:v>
                </c:pt>
                <c:pt idx="147">
                  <c:v>-18.11095894324858</c:v>
                </c:pt>
                <c:pt idx="148">
                  <c:v>-18.614663566979157</c:v>
                </c:pt>
                <c:pt idx="149">
                  <c:v>-19.125729375505749</c:v>
                </c:pt>
                <c:pt idx="150">
                  <c:v>-19.644436690673039</c:v>
                </c:pt>
                <c:pt idx="151">
                  <c:v>-20.171050375828404</c:v>
                </c:pt>
                <c:pt idx="152">
                  <c:v>-20.705816032447117</c:v>
                </c:pt>
                <c:pt idx="153">
                  <c:v>-21.248956249031568</c:v>
                </c:pt>
                <c:pt idx="154">
                  <c:v>-21.80066699608609</c:v>
                </c:pt>
                <c:pt idx="155">
                  <c:v>-22.361114264299328</c:v>
                </c:pt>
                <c:pt idx="156">
                  <c:v>-22.930431042040503</c:v>
                </c:pt>
                <c:pt idx="157">
                  <c:v>-23.508714722500915</c:v>
                </c:pt>
                <c:pt idx="158">
                  <c:v>-24.096025020252085</c:v>
                </c:pt>
                <c:pt idx="159">
                  <c:v>-24.692382461943367</c:v>
                </c:pt>
                <c:pt idx="160">
                  <c:v>-25.297767497017993</c:v>
                </c:pt>
                <c:pt idx="161">
                  <c:v>-25.912120252690286</c:v>
                </c:pt>
                <c:pt idx="162">
                  <c:v>-26.535340934262237</c:v>
                </c:pt>
                <c:pt idx="163">
                  <c:v>-27.167290848561834</c:v>
                </c:pt>
                <c:pt idx="164">
                  <c:v>-27.807794006273173</c:v>
                </c:pt>
                <c:pt idx="165">
                  <c:v>-28.456639239496578</c:v>
                </c:pt>
                <c:pt idx="166">
                  <c:v>-29.113582755092239</c:v>
                </c:pt>
                <c:pt idx="167">
                  <c:v>-29.778351032963783</c:v>
                </c:pt>
                <c:pt idx="168">
                  <c:v>-30.450643971834378</c:v>
                </c:pt>
                <c:pt idx="169">
                  <c:v>-31.130138183251731</c:v>
                </c:pt>
                <c:pt idx="170">
                  <c:v>-31.816490337234214</c:v>
                </c:pt>
                <c:pt idx="171">
                  <c:v>-32.509340469535545</c:v>
                </c:pt>
                <c:pt idx="172">
                  <c:v>-33.20831517019294</c:v>
                </c:pt>
                <c:pt idx="173">
                  <c:v>-33.913030584945254</c:v>
                </c:pt>
                <c:pt idx="174">
                  <c:v>-34.623095174387203</c:v>
                </c:pt>
                <c:pt idx="175">
                  <c:v>-35.338112189510895</c:v>
                </c:pt>
                <c:pt idx="176">
                  <c:v>-36.057681835875464</c:v>
                </c:pt>
                <c:pt idx="177">
                  <c:v>-36.781403111448576</c:v>
                </c:pt>
                <c:pt idx="178">
                  <c:v>-37.508875314775466</c:v>
                </c:pt>
                <c:pt idx="179">
                  <c:v>-38.239699230287833</c:v>
                </c:pt>
                <c:pt idx="180">
                  <c:v>-38.973478006154856</c:v>
                </c:pt>
                <c:pt idx="181">
                  <c:v>-39.709817747106591</c:v>
                </c:pt>
                <c:pt idx="182">
                  <c:v>-40.448327850217076</c:v>
                </c:pt>
                <c:pt idx="183">
                  <c:v>-41.188621115884771</c:v>
                </c:pt>
                <c:pt idx="184">
                  <c:v>-41.930313669375423</c:v>
                </c:pt>
                <c:pt idx="185">
                  <c:v>-42.673024730520865</c:v>
                </c:pt>
                <c:pt idx="186">
                  <c:v>-43.416376270676508</c:v>
                </c:pt>
                <c:pt idx="187">
                  <c:v>-44.15999259702162</c:v>
                </c:pt>
                <c:pt idx="188">
                  <c:v>-44.903499904876</c:v>
                </c:pt>
                <c:pt idx="189">
                  <c:v>-45.646525839011062</c:v>
                </c:pt>
                <c:pt idx="190">
                  <c:v>-46.38869910499632</c:v>
                </c:pt>
                <c:pt idx="191">
                  <c:v>-47.129649171460187</c:v>
                </c:pt>
                <c:pt idx="192">
                  <c:v>-47.869006103699299</c:v>
                </c:pt>
                <c:pt idx="193">
                  <c:v>-48.606400568256703</c:v>
                </c:pt>
                <c:pt idx="194">
                  <c:v>-49.341464046761075</c:v>
                </c:pt>
                <c:pt idx="195">
                  <c:v>-50.073829295306815</c:v>
                </c:pt>
                <c:pt idx="196">
                  <c:v>-50.803131082758064</c:v>
                </c:pt>
                <c:pt idx="197">
                  <c:v>-51.52900723735808</c:v>
                </c:pt>
                <c:pt idx="198">
                  <c:v>-52.251100025728718</c:v>
                </c:pt>
                <c:pt idx="199">
                  <c:v>-52.969057881562506</c:v>
                </c:pt>
                <c:pt idx="200">
                  <c:v>-53.682537492934792</c:v>
                </c:pt>
              </c:numCache>
            </c:numRef>
          </c:yVal>
          <c:smooth val="1"/>
        </c:ser>
        <c:ser>
          <c:idx val="0"/>
          <c:order val="1"/>
          <c:tx>
            <c:v>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Compensation!$AX$64:$AX$264</c:f>
              <c:numCache>
                <c:formatCode>General</c:formatCode>
                <c:ptCount val="201"/>
                <c:pt idx="0">
                  <c:v>50.023840755723086</c:v>
                </c:pt>
                <c:pt idx="1">
                  <c:v>49.711572909965639</c:v>
                </c:pt>
                <c:pt idx="2">
                  <c:v>49.393237223456488</c:v>
                </c:pt>
                <c:pt idx="3">
                  <c:v>49.069164222030714</c:v>
                </c:pt>
                <c:pt idx="4">
                  <c:v>48.739682151702993</c:v>
                </c:pt>
                <c:pt idx="5">
                  <c:v>48.405114737231649</c:v>
                </c:pt>
                <c:pt idx="6">
                  <c:v>48.065779260819724</c:v>
                </c:pt>
                <c:pt idx="7">
                  <c:v>47.721984957912944</c:v>
                </c:pt>
                <c:pt idx="8">
                  <c:v>47.374031719390217</c:v>
                </c:pt>
                <c:pt idx="9">
                  <c:v>47.022209083499369</c:v>
                </c:pt>
                <c:pt idx="10">
                  <c:v>46.666795496587795</c:v>
                </c:pt>
                <c:pt idx="11">
                  <c:v>46.308057818862508</c:v>
                </c:pt>
                <c:pt idx="12">
                  <c:v>45.946251049904362</c:v>
                </c:pt>
                <c:pt idx="13">
                  <c:v>45.58161824823258</c:v>
                </c:pt>
                <c:pt idx="14">
                  <c:v>45.214390619666496</c:v>
                </c:pt>
                <c:pt idx="15">
                  <c:v>44.84478775035182</c:v>
                </c:pt>
                <c:pt idx="16">
                  <c:v>44.473017961918295</c:v>
                </c:pt>
                <c:pt idx="17">
                  <c:v>44.099278768163472</c:v>
                </c:pt>
                <c:pt idx="18">
                  <c:v>43.723757414764904</c:v>
                </c:pt>
                <c:pt idx="19">
                  <c:v>43.34663148570953</c:v>
                </c:pt>
                <c:pt idx="20">
                  <c:v>42.968069562297899</c:v>
                </c:pt>
                <c:pt idx="21">
                  <c:v>42.588231922678929</c:v>
                </c:pt>
                <c:pt idx="22">
                  <c:v>42.207271271836674</c:v>
                </c:pt>
                <c:pt idx="23">
                  <c:v>41.825333493769953</c:v>
                </c:pt>
                <c:pt idx="24">
                  <c:v>41.442558419241507</c:v>
                </c:pt>
                <c:pt idx="25">
                  <c:v>41.059080603932841</c:v>
                </c:pt>
                <c:pt idx="26">
                  <c:v>40.675030113108008</c:v>
                </c:pt>
                <c:pt idx="27">
                  <c:v>40.290533309979011</c:v>
                </c:pt>
                <c:pt idx="28">
                  <c:v>39.905713645865617</c:v>
                </c:pt>
                <c:pt idx="29">
                  <c:v>39.520692450982182</c:v>
                </c:pt>
                <c:pt idx="30">
                  <c:v>39.135589725245929</c:v>
                </c:pt>
                <c:pt idx="31">
                  <c:v>38.750524928913201</c:v>
                </c:pt>
                <c:pt idx="32">
                  <c:v>38.365617773100105</c:v>
                </c:pt>
                <c:pt idx="33">
                  <c:v>37.980989010349155</c:v>
                </c:pt>
                <c:pt idx="34">
                  <c:v>37.596761225352381</c:v>
                </c:pt>
                <c:pt idx="35">
                  <c:v>37.213059625746901</c:v>
                </c:pt>
                <c:pt idx="36">
                  <c:v>36.830012832543744</c:v>
                </c:pt>
                <c:pt idx="37">
                  <c:v>36.44775366924506</c:v>
                </c:pt>
                <c:pt idx="38">
                  <c:v>36.0664199480306</c:v>
                </c:pt>
                <c:pt idx="39">
                  <c:v>35.686155250551778</c:v>
                </c:pt>
                <c:pt idx="40">
                  <c:v>35.307109699852489</c:v>
                </c:pt>
                <c:pt idx="41">
                  <c:v>34.929440718732756</c:v>
                </c:pt>
                <c:pt idx="42">
                  <c:v>34.553313768483143</c:v>
                </c:pt>
                <c:pt idx="43">
                  <c:v>34.178903060342172</c:v>
                </c:pt>
                <c:pt idx="44">
                  <c:v>33.806392230278028</c:v>
                </c:pt>
                <c:pt idx="45">
                  <c:v>33.435974965776794</c:v>
                </c:pt>
                <c:pt idx="46">
                  <c:v>33.06785557126706</c:v>
                </c:pt>
                <c:pt idx="47">
                  <c:v>32.702249456659381</c:v>
                </c:pt>
                <c:pt idx="48">
                  <c:v>32.339383531290608</c:v>
                </c:pt>
                <c:pt idx="49">
                  <c:v>31.979496483415456</c:v>
                </c:pt>
                <c:pt idx="50">
                  <c:v>31.622838923377991</c:v>
                </c:pt>
                <c:pt idx="51">
                  <c:v>31.269673366862474</c:v>
                </c:pt>
                <c:pt idx="52">
                  <c:v>30.920274033303848</c:v>
                </c:pt>
                <c:pt idx="53">
                  <c:v>30.574926433825173</c:v>
                </c:pt>
                <c:pt idx="54">
                  <c:v>30.233926723150933</c:v>
                </c:pt>
                <c:pt idx="55">
                  <c:v>29.897580791038351</c:v>
                </c:pt>
                <c:pt idx="56">
                  <c:v>29.566203071085514</c:v>
                </c:pt>
                <c:pt idx="57">
                  <c:v>29.240115048518017</c:v>
                </c:pt>
                <c:pt idx="58">
                  <c:v>28.919643453888728</c:v>
                </c:pt>
                <c:pt idx="59">
                  <c:v>28.605118136660515</c:v>
                </c:pt>
                <c:pt idx="60">
                  <c:v>28.296869621401925</c:v>
                </c:pt>
                <c:pt idx="61">
                  <c:v>27.99522635972524</c:v>
                </c:pt>
                <c:pt idx="62">
                  <c:v>27.700511702909665</c:v>
                </c:pt>
                <c:pt idx="63">
                  <c:v>27.413040633008379</c:v>
                </c:pt>
                <c:pt idx="64">
                  <c:v>27.133116303591898</c:v>
                </c:pt>
                <c:pt idx="65">
                  <c:v>26.861026454451206</c:v>
                </c:pt>
                <c:pt idx="66">
                  <c:v>26.597039776751664</c:v>
                </c:pt>
                <c:pt idx="67">
                  <c:v>26.341402315409027</c:v>
                </c:pt>
                <c:pt idx="68">
                  <c:v>26.094334002947974</c:v>
                </c:pt>
                <c:pt idx="69">
                  <c:v>25.856025422975378</c:v>
                </c:pt>
                <c:pt idx="70">
                  <c:v>25.626634900988211</c:v>
                </c:pt>
                <c:pt idx="71">
                  <c:v>25.406286015120031</c:v>
                </c:pt>
                <c:pt idx="72">
                  <c:v>25.195065609508273</c:v>
                </c:pt>
                <c:pt idx="73">
                  <c:v>24.993022378501799</c:v>
                </c:pt>
                <c:pt idx="74">
                  <c:v>24.800166071548023</c:v>
                </c:pt>
                <c:pt idx="75">
                  <c:v>24.616467347277712</c:v>
                </c:pt>
                <c:pt idx="76">
                  <c:v>24.44185828226242</c:v>
                </c:pt>
                <c:pt idx="77">
                  <c:v>24.276233516553361</c:v>
                </c:pt>
                <c:pt idx="78">
                  <c:v>24.119451995826427</c:v>
                </c:pt>
                <c:pt idx="79">
                  <c:v>23.97133925008179</c:v>
                </c:pt>
                <c:pt idx="80">
                  <c:v>23.831690132473771</c:v>
                </c:pt>
                <c:pt idx="81">
                  <c:v>23.700271929771631</c:v>
                </c:pt>
                <c:pt idx="82">
                  <c:v>23.576827748609688</c:v>
                </c:pt>
                <c:pt idx="83">
                  <c:v>23.461080079134909</c:v>
                </c:pt>
                <c:pt idx="84">
                  <c:v>23.352734439624211</c:v>
                </c:pt>
                <c:pt idx="85">
                  <c:v>23.251483011565934</c:v>
                </c:pt>
                <c:pt idx="86">
                  <c:v>23.157008183797622</c:v>
                </c:pt>
                <c:pt idx="87">
                  <c:v>23.068985935717507</c:v>
                </c:pt>
                <c:pt idx="88">
                  <c:v>22.987089002401934</c:v>
                </c:pt>
                <c:pt idx="89">
                  <c:v>22.91098977783847</c:v>
                </c:pt>
                <c:pt idx="90">
                  <c:v>22.840362925657196</c:v>
                </c:pt>
                <c:pt idx="91">
                  <c:v>22.774887679105035</c:v>
                </c:pt>
                <c:pt idx="92">
                  <c:v>22.714249823113228</c:v>
                </c:pt>
                <c:pt idx="93">
                  <c:v>22.658143360856386</c:v>
                </c:pt>
                <c:pt idx="94">
                  <c:v>22.606271875053462</c:v>
                </c:pt>
                <c:pt idx="95">
                  <c:v>22.558349600387881</c:v>
                </c:pt>
                <c:pt idx="96">
                  <c:v>22.514102227899183</c:v>
                </c:pt>
                <c:pt idx="97">
                  <c:v>22.473267465169819</c:v>
                </c:pt>
                <c:pt idx="98">
                  <c:v>22.435595377778498</c:v>
                </c:pt>
                <c:pt idx="99">
                  <c:v>22.400848538035252</c:v>
                </c:pt>
                <c:pt idx="100">
                  <c:v>22.36880200665486</c:v>
                </c:pt>
                <c:pt idx="101">
                  <c:v>22.339243171984275</c:v>
                </c:pt>
                <c:pt idx="102">
                  <c:v>22.311971469849567</c:v>
                </c:pt>
                <c:pt idx="103">
                  <c:v>22.286798005207636</c:v>
                </c:pt>
                <c:pt idx="104">
                  <c:v>22.263545094698046</c:v>
                </c:pt>
                <c:pt idx="105">
                  <c:v>22.242045747022992</c:v>
                </c:pt>
                <c:pt idx="106">
                  <c:v>22.222143095908823</c:v>
                </c:pt>
                <c:pt idx="107">
                  <c:v>22.203689798302282</c:v>
                </c:pt>
                <c:pt idx="108">
                  <c:v>22.186547408459422</c:v>
                </c:pt>
                <c:pt idx="109">
                  <c:v>22.170585736741156</c:v>
                </c:pt>
                <c:pt idx="110">
                  <c:v>22.155682200245266</c:v>
                </c:pt>
                <c:pt idx="111">
                  <c:v>22.141721170887742</c:v>
                </c:pt>
                <c:pt idx="112">
                  <c:v>22.128593325204044</c:v>
                </c:pt>
                <c:pt idx="113">
                  <c:v>22.116194998959919</c:v>
                </c:pt>
                <c:pt idx="114">
                  <c:v>22.104427548634202</c:v>
                </c:pt>
                <c:pt idx="115">
                  <c:v>22.093196720961359</c:v>
                </c:pt>
                <c:pt idx="116">
                  <c:v>22.082412030965735</c:v>
                </c:pt>
                <c:pt idx="117">
                  <c:v>22.071986148296133</c:v>
                </c:pt>
                <c:pt idx="118">
                  <c:v>22.061834291141523</c:v>
                </c:pt>
                <c:pt idx="119">
                  <c:v>22.051873626585635</c:v>
                </c:pt>
                <c:pt idx="120">
                  <c:v>22.042022675914374</c:v>
                </c:pt>
                <c:pt idx="121">
                  <c:v>22.03220072312628</c:v>
                </c:pt>
                <c:pt idx="122">
                  <c:v>22.022327224700724</c:v>
                </c:pt>
                <c:pt idx="123">
                  <c:v>22.012321218550884</c:v>
                </c:pt>
                <c:pt idx="124">
                  <c:v>22.00210073001778</c:v>
                </c:pt>
                <c:pt idx="125">
                  <c:v>21.991582172754939</c:v>
                </c:pt>
                <c:pt idx="126">
                  <c:v>21.980679742402739</c:v>
                </c:pt>
                <c:pt idx="127">
                  <c:v>21.969304801067622</c:v>
                </c:pt>
                <c:pt idx="128">
                  <c:v>21.957365250798876</c:v>
                </c:pt>
                <c:pt idx="129">
                  <c:v>21.944764894506594</c:v>
                </c:pt>
                <c:pt idx="130">
                  <c:v>21.931402783097731</c:v>
                </c:pt>
                <c:pt idx="131">
                  <c:v>21.917172548020716</c:v>
                </c:pt>
                <c:pt idx="132">
                  <c:v>21.901961718931958</c:v>
                </c:pt>
                <c:pt idx="133">
                  <c:v>21.885651026818405</c:v>
                </c:pt>
                <c:pt idx="134">
                  <c:v>21.868113693663815</c:v>
                </c:pt>
                <c:pt idx="135">
                  <c:v>21.849214710630722</c:v>
                </c:pt>
                <c:pt idx="136">
                  <c:v>21.828810107757604</c:v>
                </c:pt>
                <c:pt idx="137">
                  <c:v>21.806746219365802</c:v>
                </c:pt>
                <c:pt idx="138">
                  <c:v>21.782858950720861</c:v>
                </c:pt>
                <c:pt idx="139">
                  <c:v>21.756973053021333</c:v>
                </c:pt>
                <c:pt idx="140">
                  <c:v>21.728901415476344</c:v>
                </c:pt>
                <c:pt idx="141">
                  <c:v>21.698444385087797</c:v>
                </c:pt>
                <c:pt idx="142">
                  <c:v>21.665389126728055</c:v>
                </c:pt>
                <c:pt idx="143">
                  <c:v>21.629509038195319</c:v>
                </c:pt>
                <c:pt idx="144">
                  <c:v>21.590563237054145</c:v>
                </c:pt>
                <c:pt idx="145">
                  <c:v>21.548296138172663</c:v>
                </c:pt>
                <c:pt idx="146">
                  <c:v>21.502437142853125</c:v>
                </c:pt>
                <c:pt idx="147">
                  <c:v>21.452700462196255</c:v>
                </c:pt>
                <c:pt idx="148">
                  <c:v>21.398785098692379</c:v>
                </c:pt>
                <c:pt idx="149">
                  <c:v>21.340375010836738</c:v>
                </c:pt>
                <c:pt idx="150">
                  <c:v>21.277139485617536</c:v>
                </c:pt>
                <c:pt idx="151">
                  <c:v>21.208733742822105</c:v>
                </c:pt>
                <c:pt idx="152">
                  <c:v>21.134799793046405</c:v>
                </c:pt>
                <c:pt idx="153">
                  <c:v>21.054967567866925</c:v>
                </c:pt>
                <c:pt idx="154">
                  <c:v>20.968856335682382</c:v>
                </c:pt>
                <c:pt idx="155">
                  <c:v>20.876076410143561</c:v>
                </c:pt>
                <c:pt idx="156">
                  <c:v>20.776231149824213</c:v>
                </c:pt>
                <c:pt idx="157">
                  <c:v>20.668919237933334</c:v>
                </c:pt>
                <c:pt idx="158">
                  <c:v>20.553737219627955</c:v>
                </c:pt>
                <c:pt idx="159">
                  <c:v>20.430282262225141</c:v>
                </c:pt>
                <c:pt idx="160">
                  <c:v>20.298155090856458</c:v>
                </c:pt>
                <c:pt idx="161">
                  <c:v>20.156963039532677</c:v>
                </c:pt>
                <c:pt idx="162">
                  <c:v>20.006323146003567</c:v>
                </c:pt>
                <c:pt idx="163">
                  <c:v>19.845865209099248</c:v>
                </c:pt>
                <c:pt idx="164">
                  <c:v>19.675234720343973</c:v>
                </c:pt>
                <c:pt idx="165">
                  <c:v>19.49409557839375</c:v>
                </c:pt>
                <c:pt idx="166">
                  <c:v>19.302132495966106</c:v>
                </c:pt>
                <c:pt idx="167">
                  <c:v>19.099053014881228</c:v>
                </c:pt>
                <c:pt idx="168">
                  <c:v>18.884589055747231</c:v>
                </c:pt>
                <c:pt idx="169">
                  <c:v>18.65849794450509</c:v>
                </c:pt>
                <c:pt idx="170">
                  <c:v>18.420562877870029</c:v>
                </c:pt>
                <c:pt idx="171">
                  <c:v>18.170592812729804</c:v>
                </c:pt>
                <c:pt idx="172">
                  <c:v>17.908421789496721</c:v>
                </c:pt>
                <c:pt idx="173">
                  <c:v>17.633907724830284</c:v>
                </c:pt>
                <c:pt idx="174">
                  <c:v>17.346930733484395</c:v>
                </c:pt>
                <c:pt idx="175">
                  <c:v>17.047391060832933</c:v>
                </c:pt>
                <c:pt idx="176">
                  <c:v>16.735206725558957</c:v>
                </c:pt>
                <c:pt idx="177">
                  <c:v>16.4103109850316</c:v>
                </c:pt>
                <c:pt idx="178">
                  <c:v>16.072649743335418</c:v>
                </c:pt>
                <c:pt idx="179">
                  <c:v>15.722179023420821</c:v>
                </c:pt>
                <c:pt idx="180">
                  <c:v>15.358862620435417</c:v>
                </c:pt>
                <c:pt idx="181">
                  <c:v>14.98267004329713</c:v>
                </c:pt>
                <c:pt idx="182">
                  <c:v>14.593574836602794</c:v>
                </c:pt>
                <c:pt idx="183">
                  <c:v>14.191553355800037</c:v>
                </c:pt>
                <c:pt idx="184">
                  <c:v>13.77658404615115</c:v>
                </c:pt>
                <c:pt idx="185">
                  <c:v>13.3486472513947</c:v>
                </c:pt>
                <c:pt idx="186">
                  <c:v>12.90772555224509</c:v>
                </c:pt>
                <c:pt idx="187">
                  <c:v>12.453804609066182</c:v>
                </c:pt>
                <c:pt idx="188">
                  <c:v>11.986874458309169</c:v>
                </c:pt>
                <c:pt idx="189">
                  <c:v>11.506931189693198</c:v>
                </c:pt>
                <c:pt idx="190">
                  <c:v>11.013978911676174</c:v>
                </c:pt>
                <c:pt idx="191">
                  <c:v>10.508031897453007</c:v>
                </c:pt>
                <c:pt idx="192">
                  <c:v>9.989116793347522</c:v>
                </c:pt>
                <c:pt idx="193">
                  <c:v>9.4572747666630175</c:v>
                </c:pt>
                <c:pt idx="194">
                  <c:v>8.9125634711789754</c:v>
                </c:pt>
                <c:pt idx="195">
                  <c:v>8.3550587155950833</c:v>
                </c:pt>
                <c:pt idx="196">
                  <c:v>7.7848557330194303</c:v>
                </c:pt>
                <c:pt idx="197">
                  <c:v>7.2020699674213962</c:v>
                </c:pt>
                <c:pt idx="198">
                  <c:v>6.6068373148166781</c:v>
                </c:pt>
                <c:pt idx="199">
                  <c:v>5.999313781547241</c:v>
                </c:pt>
                <c:pt idx="200">
                  <c:v>5.3796745479003665</c:v>
                </c:pt>
              </c:numCache>
            </c:numRef>
          </c:yVal>
          <c:smooth val="1"/>
        </c:ser>
        <c:ser>
          <c:idx val="1"/>
          <c:order val="2"/>
          <c:tx>
            <c:v>T(s) with Comp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57.71447269373688</c:v>
                </c:pt>
                <c:pt idx="1">
                  <c:v>57.402048568736781</c:v>
                </c:pt>
                <c:pt idx="2">
                  <c:v>57.083541531893339</c:v>
                </c:pt>
                <c:pt idx="3">
                  <c:v>56.759280656313379</c:v>
                </c:pt>
                <c:pt idx="4">
                  <c:v>56.429592595390545</c:v>
                </c:pt>
                <c:pt idx="5">
                  <c:v>56.094799327924974</c:v>
                </c:pt>
                <c:pt idx="6">
                  <c:v>55.755216222096067</c:v>
                </c:pt>
                <c:pt idx="7">
                  <c:v>55.411150415121064</c:v>
                </c:pt>
                <c:pt idx="8">
                  <c:v>55.062899497767752</c:v>
                </c:pt>
                <c:pt idx="9">
                  <c:v>54.710750486923075</c:v>
                </c:pt>
                <c:pt idx="10">
                  <c:v>54.354979065111316</c:v>
                </c:pt>
                <c:pt idx="11">
                  <c:v>53.995849063023122</c:v>
                </c:pt>
                <c:pt idx="12">
                  <c:v>53.63361215958804</c:v>
                </c:pt>
                <c:pt idx="13">
                  <c:v>53.268507773682252</c:v>
                </c:pt>
                <c:pt idx="14">
                  <c:v>52.900763121993528</c:v>
                </c:pt>
                <c:pt idx="15">
                  <c:v>52.530593418663187</c:v>
                </c:pt>
                <c:pt idx="16">
                  <c:v>52.158202193906732</c:v>
                </c:pt>
                <c:pt idx="17">
                  <c:v>51.783781710715296</c:v>
                </c:pt>
                <c:pt idx="18">
                  <c:v>51.407513460826941</c:v>
                </c:pt>
                <c:pt idx="19">
                  <c:v>51.02956872330958</c:v>
                </c:pt>
                <c:pt idx="20">
                  <c:v>50.650109171243926</c:v>
                </c:pt>
                <c:pt idx="21">
                  <c:v>50.269287514055698</c:v>
                </c:pt>
                <c:pt idx="22">
                  <c:v>49.887248164983397</c:v>
                </c:pt>
                <c:pt idx="23">
                  <c:v>49.504127924948719</c:v>
                </c:pt>
                <c:pt idx="24">
                  <c:v>49.120056675693846</c:v>
                </c:pt>
                <c:pt idx="25">
                  <c:v>48.735158076477283</c:v>
                </c:pt>
                <c:pt idx="26">
                  <c:v>48.349550259832256</c:v>
                </c:pt>
                <c:pt idx="27">
                  <c:v>47.963346522951163</c:v>
                </c:pt>
                <c:pt idx="28">
                  <c:v>47.576656012104976</c:v>
                </c:pt>
                <c:pt idx="29">
                  <c:v>47.189584398204801</c:v>
                </c:pt>
                <c:pt idx="30">
                  <c:v>46.802234542126442</c:v>
                </c:pt>
                <c:pt idx="31">
                  <c:v>46.414707148783606</c:v>
                </c:pt>
                <c:pt idx="32">
                  <c:v>46.027101409137941</c:v>
                </c:pt>
                <c:pt idx="33">
                  <c:v>45.639515629398772</c:v>
                </c:pt>
                <c:pt idx="34">
                  <c:v>45.252047846564743</c:v>
                </c:pt>
                <c:pt idx="35">
                  <c:v>44.864796429236335</c:v>
                </c:pt>
                <c:pt idx="36">
                  <c:v>44.477860662237148</c:v>
                </c:pt>
                <c:pt idx="37">
                  <c:v>44.091341313056269</c:v>
                </c:pt>
                <c:pt idx="38">
                  <c:v>43.705341177437631</c:v>
                </c:pt>
                <c:pt idx="39">
                  <c:v>43.319965600609891</c:v>
                </c:pt>
                <c:pt idx="40">
                  <c:v>42.935322969649164</c:v>
                </c:pt>
                <c:pt idx="41">
                  <c:v>42.551525171318417</c:v>
                </c:pt>
                <c:pt idx="42">
                  <c:v>42.168688008411962</c:v>
                </c:pt>
                <c:pt idx="43">
                  <c:v>41.786931566178815</c:v>
                </c:pt>
                <c:pt idx="44">
                  <c:v>41.406380518798841</c:v>
                </c:pt>
                <c:pt idx="45">
                  <c:v>41.027164364183719</c:v>
                </c:pt>
                <c:pt idx="46">
                  <c:v>40.649417573593716</c:v>
                </c:pt>
                <c:pt idx="47">
                  <c:v>40.273279640751689</c:v>
                </c:pt>
                <c:pt idx="48">
                  <c:v>39.898895013386017</c:v>
                </c:pt>
                <c:pt idx="49">
                  <c:v>39.526412888505526</c:v>
                </c:pt>
                <c:pt idx="50">
                  <c:v>39.155986851348871</c:v>
                </c:pt>
                <c:pt idx="51">
                  <c:v>38.787774336972646</c:v>
                </c:pt>
                <c:pt idx="52">
                  <c:v>38.421935893030593</c:v>
                </c:pt>
                <c:pt idx="53">
                  <c:v>38.058634222637878</c:v>
                </c:pt>
                <c:pt idx="54">
                  <c:v>37.698032987507339</c:v>
                </c:pt>
                <c:pt idx="55">
                  <c:v>37.340295354026757</c:v>
                </c:pt>
                <c:pt idx="56">
                  <c:v>36.985582268818355</c:v>
                </c:pt>
                <c:pt idx="57">
                  <c:v>36.634050455792824</c:v>
                </c:pt>
                <c:pt idx="58">
                  <c:v>36.285850133922381</c:v>
                </c:pt>
                <c:pt idx="59">
                  <c:v>35.941122464010348</c:v>
                </c:pt>
                <c:pt idx="60">
                  <c:v>35.599996743597842</c:v>
                </c:pt>
                <c:pt idx="61">
                  <c:v>35.262587381687808</c:v>
                </c:pt>
                <c:pt idx="62">
                  <c:v>34.928990698881599</c:v>
                </c:pt>
                <c:pt idx="63">
                  <c:v>34.599281613330021</c:v>
                </c:pt>
                <c:pt idx="64">
                  <c:v>34.273510287938095</c:v>
                </c:pt>
                <c:pt idx="65">
                  <c:v>33.951698828696301</c:v>
                </c:pt>
                <c:pt idx="66">
                  <c:v>33.633838136831187</c:v>
                </c:pt>
                <c:pt idx="67">
                  <c:v>33.319885027612585</c:v>
                </c:pt>
                <c:pt idx="68">
                  <c:v>33.009759734984698</c:v>
                </c:pt>
                <c:pt idx="69">
                  <c:v>32.703343922685214</c:v>
                </c:pt>
                <c:pt idx="70">
                  <c:v>32.400479318295673</c:v>
                </c:pt>
                <c:pt idx="71">
                  <c:v>32.100967076156444</c:v>
                </c:pt>
                <c:pt idx="72">
                  <c:v>31.804567958055063</c:v>
                </c:pt>
                <c:pt idx="73">
                  <c:v>31.511003397318717</c:v>
                </c:pt>
                <c:pt idx="74">
                  <c:v>31.219957483099734</c:v>
                </c:pt>
                <c:pt idx="75">
                  <c:v>30.931079868458671</c:v>
                </c:pt>
                <c:pt idx="76">
                  <c:v>30.643989569905319</c:v>
                </c:pt>
                <c:pt idx="77">
                  <c:v>30.358279589305873</c:v>
                </c:pt>
                <c:pt idx="78">
                  <c:v>30.073522253585665</c:v>
                </c:pt>
                <c:pt idx="79">
                  <c:v>29.789275135604484</c:v>
                </c:pt>
                <c:pt idx="80">
                  <c:v>29.505087392934168</c:v>
                </c:pt>
                <c:pt idx="81">
                  <c:v>29.220506341719524</c:v>
                </c:pt>
                <c:pt idx="82">
                  <c:v>28.935084071623834</c:v>
                </c:pt>
                <c:pt idx="83">
                  <c:v>28.648383905753331</c:v>
                </c:pt>
                <c:pt idx="84">
                  <c:v>28.359986516581245</c:v>
                </c:pt>
                <c:pt idx="85">
                  <c:v>28.069495524772261</c:v>
                </c:pt>
                <c:pt idx="86">
                  <c:v>27.776542431401925</c:v>
                </c:pt>
                <c:pt idx="87">
                  <c:v>27.480790763891338</c:v>
                </c:pt>
                <c:pt idx="88">
                  <c:v>27.181939350115169</c:v>
                </c:pt>
                <c:pt idx="89">
                  <c:v>26.879724671541023</c:v>
                </c:pt>
                <c:pt idx="90">
                  <c:v>26.573922282763235</c:v>
                </c:pt>
                <c:pt idx="91">
                  <c:v>26.264347319370216</c:v>
                </c:pt>
                <c:pt idx="92">
                  <c:v>25.950854146990793</c:v>
                </c:pt>
                <c:pt idx="93">
                  <c:v>25.633335230185633</c:v>
                </c:pt>
                <c:pt idx="94">
                  <c:v>25.311719319667581</c:v>
                </c:pt>
                <c:pt idx="95">
                  <c:v>24.985969069692352</c:v>
                </c:pt>
                <c:pt idx="96">
                  <c:v>24.656078204370402</c:v>
                </c:pt>
                <c:pt idx="97">
                  <c:v>24.322068352544505</c:v>
                </c:pt>
                <c:pt idx="98">
                  <c:v>23.983985666508332</c:v>
                </c:pt>
                <c:pt idx="99">
                  <c:v>23.641897331182378</c:v>
                </c:pt>
                <c:pt idx="100">
                  <c:v>23.295888058511562</c:v>
                </c:pt>
                <c:pt idx="101">
                  <c:v>22.946056647910709</c:v>
                </c:pt>
                <c:pt idx="102">
                  <c:v>22.592512678601238</c:v>
                </c:pt>
                <c:pt idx="103">
                  <c:v>22.235373384578757</c:v>
                </c:pt>
                <c:pt idx="104">
                  <c:v>21.874760748447372</c:v>
                </c:pt>
                <c:pt idx="105">
                  <c:v>21.510798837052857</c:v>
                </c:pt>
                <c:pt idx="106">
                  <c:v>21.143611390080487</c:v>
                </c:pt>
                <c:pt idx="107">
                  <c:v>20.773319662803324</c:v>
                </c:pt>
                <c:pt idx="108">
                  <c:v>20.400040516014769</c:v>
                </c:pt>
                <c:pt idx="109">
                  <c:v>20.023884739833434</c:v>
                </c:pt>
                <c:pt idx="110">
                  <c:v>19.644955593394599</c:v>
                </c:pt>
                <c:pt idx="111">
                  <c:v>19.26334753926475</c:v>
                </c:pt>
                <c:pt idx="112">
                  <c:v>18.879145149529759</c:v>
                </c:pt>
                <c:pt idx="113">
                  <c:v>18.492422159696776</c:v>
                </c:pt>
                <c:pt idx="114">
                  <c:v>18.103240646600341</c:v>
                </c:pt>
                <c:pt idx="115">
                  <c:v>17.711650307234635</c:v>
                </c:pt>
                <c:pt idx="116">
                  <c:v>17.317687816657767</c:v>
                </c:pt>
                <c:pt idx="117">
                  <c:v>16.921376244707073</c:v>
                </c:pt>
                <c:pt idx="118">
                  <c:v>16.522724513094552</c:v>
                </c:pt>
                <c:pt idx="119">
                  <c:v>16.121726876442203</c:v>
                </c:pt>
                <c:pt idx="120">
                  <c:v>15.718362412892349</c:v>
                </c:pt>
                <c:pt idx="121">
                  <c:v>15.312594512058467</c:v>
                </c:pt>
                <c:pt idx="122">
                  <c:v>14.904370350221964</c:v>
                </c:pt>
                <c:pt idx="123">
                  <c:v>14.493620344851701</c:v>
                </c:pt>
                <c:pt idx="124">
                  <c:v>14.08025758269069</c:v>
                </c:pt>
                <c:pt idx="125">
                  <c:v>13.664177217867771</c:v>
                </c:pt>
                <c:pt idx="126">
                  <c:v>13.245255838740455</c:v>
                </c:pt>
                <c:pt idx="127">
                  <c:v>12.82335080450158</c:v>
                </c:pt>
                <c:pt idx="128">
                  <c:v>12.398299554995049</c:v>
                </c:pt>
                <c:pt idx="129">
                  <c:v>11.969918899716721</c:v>
                </c:pt>
                <c:pt idx="130">
                  <c:v>11.53800429463576</c:v>
                </c:pt>
                <c:pt idx="131">
                  <c:v>11.102329118269934</c:v>
                </c:pt>
                <c:pt idx="132">
                  <c:v>10.662643961387403</c:v>
                </c:pt>
                <c:pt idx="133">
                  <c:v>10.218675947752409</c:v>
                </c:pt>
                <c:pt idx="134">
                  <c:v>9.7701281064819661</c:v>
                </c:pt>
                <c:pt idx="135">
                  <c:v>9.3166788197344665</c:v>
                </c:pt>
                <c:pt idx="136">
                  <c:v>8.8579813725584398</c:v>
                </c:pt>
                <c:pt idx="137">
                  <c:v>8.3936636346709541</c:v>
                </c:pt>
                <c:pt idx="138">
                  <c:v>7.9233279065546895</c:v>
                </c:pt>
                <c:pt idx="139">
                  <c:v>7.4465509644156125</c:v>
                </c:pt>
                <c:pt idx="140">
                  <c:v>6.962884340006001</c:v>
                </c:pt>
                <c:pt idx="141">
                  <c:v>6.4718548718955731</c:v>
                </c:pt>
                <c:pt idx="142">
                  <c:v>5.9729655642081436</c:v>
                </c:pt>
                <c:pt idx="143">
                  <c:v>5.4656967869354958</c:v>
                </c:pt>
                <c:pt idx="144">
                  <c:v>4.9495078484530532</c:v>
                </c:pt>
                <c:pt idx="145">
                  <c:v>4.4238389656433856</c:v>
                </c:pt>
                <c:pt idx="146">
                  <c:v>3.8881136499723019</c:v>
                </c:pt>
                <c:pt idx="147">
                  <c:v>3.3417415189476998</c:v>
                </c:pt>
                <c:pt idx="148">
                  <c:v>2.7841215317131587</c:v>
                </c:pt>
                <c:pt idx="149">
                  <c:v>2.2146456353309905</c:v>
                </c:pt>
                <c:pt idx="150">
                  <c:v>1.6327027949445025</c:v>
                </c:pt>
                <c:pt idx="151">
                  <c:v>1.0376833669936594</c:v>
                </c:pt>
                <c:pt idx="152">
                  <c:v>0.42898376059926113</c:v>
                </c:pt>
                <c:pt idx="153">
                  <c:v>-0.19398868116460111</c:v>
                </c:pt>
                <c:pt idx="154">
                  <c:v>-0.83181066040367002</c:v>
                </c:pt>
                <c:pt idx="155">
                  <c:v>-1.4850378541557752</c:v>
                </c:pt>
                <c:pt idx="156">
                  <c:v>-2.1541998922162846</c:v>
                </c:pt>
                <c:pt idx="157">
                  <c:v>-2.8397954845675777</c:v>
                </c:pt>
                <c:pt idx="158">
                  <c:v>-3.5422878006241358</c:v>
                </c:pt>
                <c:pt idx="159">
                  <c:v>-4.2621001997182342</c:v>
                </c:pt>
                <c:pt idx="160">
                  <c:v>-4.999612406161539</c:v>
                </c:pt>
                <c:pt idx="161">
                  <c:v>-5.7551572131576076</c:v>
                </c:pt>
                <c:pt idx="162">
                  <c:v>-6.5290177882586784</c:v>
                </c:pt>
                <c:pt idx="163">
                  <c:v>-7.3214256394625945</c:v>
                </c:pt>
                <c:pt idx="164">
                  <c:v>-8.1325592859292026</c:v>
                </c:pt>
                <c:pt idx="165">
                  <c:v>-8.9625436611028224</c:v>
                </c:pt>
                <c:pt idx="166">
                  <c:v>-9.8114502591261612</c:v>
                </c:pt>
                <c:pt idx="167">
                  <c:v>-10.679298018082552</c:v>
                </c:pt>
                <c:pt idx="168">
                  <c:v>-11.566054916087179</c:v>
                </c:pt>
                <c:pt idx="169">
                  <c:v>-12.471640238746621</c:v>
                </c:pt>
                <c:pt idx="170">
                  <c:v>-13.39592745936416</c:v>
                </c:pt>
                <c:pt idx="171">
                  <c:v>-14.338747656805737</c:v>
                </c:pt>
                <c:pt idx="172">
                  <c:v>-15.299893380696222</c:v>
                </c:pt>
                <c:pt idx="173">
                  <c:v>-16.279122860114956</c:v>
                </c:pt>
                <c:pt idx="174">
                  <c:v>-17.276164440902814</c:v>
                </c:pt>
                <c:pt idx="175">
                  <c:v>-18.290721128677962</c:v>
                </c:pt>
                <c:pt idx="176">
                  <c:v>-19.322475110316507</c:v>
                </c:pt>
                <c:pt idx="177">
                  <c:v>-20.371092126417022</c:v>
                </c:pt>
                <c:pt idx="178">
                  <c:v>-21.436225571440104</c:v>
                </c:pt>
                <c:pt idx="179">
                  <c:v>-22.517520206867012</c:v>
                </c:pt>
                <c:pt idx="180">
                  <c:v>-23.614615385719446</c:v>
                </c:pt>
                <c:pt idx="181">
                  <c:v>-24.727147703809447</c:v>
                </c:pt>
                <c:pt idx="182">
                  <c:v>-25.854753013614303</c:v>
                </c:pt>
                <c:pt idx="183">
                  <c:v>-26.997067760084729</c:v>
                </c:pt>
                <c:pt idx="184">
                  <c:v>-28.153729623224258</c:v>
                </c:pt>
                <c:pt idx="185">
                  <c:v>-29.32437747912617</c:v>
                </c:pt>
                <c:pt idx="186">
                  <c:v>-30.508650718431408</c:v>
                </c:pt>
                <c:pt idx="187">
                  <c:v>-31.706187987955424</c:v>
                </c:pt>
                <c:pt idx="188">
                  <c:v>-32.916625446566812</c:v>
                </c:pt>
                <c:pt idx="189">
                  <c:v>-34.1395946493179</c:v>
                </c:pt>
                <c:pt idx="190">
                  <c:v>-35.374720193320208</c:v>
                </c:pt>
                <c:pt idx="191">
                  <c:v>-36.621617274007185</c:v>
                </c:pt>
                <c:pt idx="192">
                  <c:v>-37.879889310351722</c:v>
                </c:pt>
                <c:pt idx="193">
                  <c:v>-39.149125801593719</c:v>
                </c:pt>
                <c:pt idx="194">
                  <c:v>-40.428900575582105</c:v>
                </c:pt>
                <c:pt idx="195">
                  <c:v>-41.718770579711723</c:v>
                </c:pt>
                <c:pt idx="196">
                  <c:v>-43.018275349738659</c:v>
                </c:pt>
                <c:pt idx="197">
                  <c:v>-44.32693726993665</c:v>
                </c:pt>
                <c:pt idx="198">
                  <c:v>-45.644262710912045</c:v>
                </c:pt>
                <c:pt idx="199">
                  <c:v>-46.969744100015262</c:v>
                </c:pt>
                <c:pt idx="200">
                  <c:v>-48.30286294503442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11744"/>
        <c:axId val="458914816"/>
      </c:scatterChart>
      <c:valAx>
        <c:axId val="45891174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914816"/>
        <c:crosses val="autoZero"/>
        <c:crossBetween val="midCat"/>
      </c:valAx>
      <c:valAx>
        <c:axId val="45891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9117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93704328274311"/>
          <c:y val="2.5280789781945517E-2"/>
          <c:w val="0.26363125351320965"/>
          <c:h val="0.16292134127625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784830285748E-2"/>
          <c:y val="7.3033707865168537E-2"/>
          <c:w val="0.86423910925786851"/>
          <c:h val="0.8567415730337079"/>
        </c:manualLayout>
      </c:layout>
      <c:scatterChart>
        <c:scatterStyle val="smoothMarker"/>
        <c:varyColors val="0"/>
        <c:ser>
          <c:idx val="3"/>
          <c:order val="0"/>
          <c:tx>
            <c:v> T(s) Phase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178.85769464444903</c:v>
                </c:pt>
                <c:pt idx="1">
                  <c:v>178.80387332696949</c:v>
                </c:pt>
                <c:pt idx="2">
                  <c:v>178.74751754390738</c:v>
                </c:pt>
                <c:pt idx="3">
                  <c:v>178.68850815384369</c:v>
                </c:pt>
                <c:pt idx="4">
                  <c:v>178.62672044542691</c:v>
                </c:pt>
                <c:pt idx="5">
                  <c:v>178.56202388152909</c:v>
                </c:pt>
                <c:pt idx="6">
                  <c:v>178.4942818323274</c:v>
                </c:pt>
                <c:pt idx="7">
                  <c:v>178.42335129693464</c:v>
                </c:pt>
                <c:pt idx="8">
                  <c:v>178.34908261320476</c:v>
                </c:pt>
                <c:pt idx="9">
                  <c:v>178.27131915534648</c:v>
                </c:pt>
                <c:pt idx="10">
                  <c:v>178.18989701898894</c:v>
                </c:pt>
                <c:pt idx="11">
                  <c:v>178.10464469335821</c:v>
                </c:pt>
                <c:pt idx="12">
                  <c:v>178.01538272024365</c:v>
                </c:pt>
                <c:pt idx="13">
                  <c:v>177.92192333946048</c:v>
                </c:pt>
                <c:pt idx="14">
                  <c:v>177.82407012054824</c:v>
                </c:pt>
                <c:pt idx="15">
                  <c:v>177.72161758048779</c:v>
                </c:pt>
                <c:pt idx="16">
                  <c:v>177.61435078727106</c:v>
                </c:pt>
                <c:pt idx="17">
                  <c:v>177.50204494922244</c:v>
                </c:pt>
                <c:pt idx="18">
                  <c:v>177.38446499004613</c:v>
                </c:pt>
                <c:pt idx="19">
                  <c:v>177.26136510966742</c:v>
                </c:pt>
                <c:pt idx="20">
                  <c:v>177.13248833104333</c:v>
                </c:pt>
                <c:pt idx="21">
                  <c:v>176.99756603324911</c:v>
                </c:pt>
                <c:pt idx="22">
                  <c:v>176.85631747129904</c:v>
                </c:pt>
                <c:pt idx="23">
                  <c:v>176.70844928333753</c:v>
                </c:pt>
                <c:pt idx="24">
                  <c:v>176.55365498604746</c:v>
                </c:pt>
                <c:pt idx="25">
                  <c:v>176.39161445936335</c:v>
                </c:pt>
                <c:pt idx="26">
                  <c:v>176.22199342185991</c:v>
                </c:pt>
                <c:pt idx="27">
                  <c:v>176.04444289851261</c:v>
                </c:pt>
                <c:pt idx="28">
                  <c:v>175.85859868290135</c:v>
                </c:pt>
                <c:pt idx="29">
                  <c:v>175.66408079636264</c:v>
                </c:pt>
                <c:pt idx="30">
                  <c:v>175.46049294708857</c:v>
                </c:pt>
                <c:pt idx="31">
                  <c:v>175.24742199274061</c:v>
                </c:pt>
                <c:pt idx="32">
                  <c:v>175.02443741079048</c:v>
                </c:pt>
                <c:pt idx="33">
                  <c:v>174.79109078153718</c:v>
                </c:pt>
                <c:pt idx="34">
                  <c:v>174.5469152895823</c:v>
                </c:pt>
                <c:pt idx="35">
                  <c:v>174.29142525048971</c:v>
                </c:pt>
                <c:pt idx="36">
                  <c:v>174.02411567041605</c:v>
                </c:pt>
                <c:pt idx="37">
                  <c:v>173.74446184769576</c:v>
                </c:pt>
                <c:pt idx="38">
                  <c:v>173.45191902669478</c:v>
                </c:pt>
                <c:pt idx="39">
                  <c:v>173.14592211573742</c:v>
                </c:pt>
                <c:pt idx="40">
                  <c:v>172.82588548256103</c:v>
                </c:pt>
                <c:pt idx="41">
                  <c:v>172.49120284257006</c:v>
                </c:pt>
                <c:pt idx="42">
                  <c:v>172.14124725716283</c:v>
                </c:pt>
                <c:pt idx="43">
                  <c:v>171.77537126157475</c:v>
                </c:pt>
                <c:pt idx="44">
                  <c:v>171.39290714404197</c:v>
                </c:pt>
                <c:pt idx="45">
                  <c:v>170.99316740060638</c:v>
                </c:pt>
                <c:pt idx="46">
                  <c:v>170.57544539256315</c:v>
                </c:pt>
                <c:pt idx="47">
                  <c:v>170.139016236353</c:v>
                </c:pt>
                <c:pt idx="48">
                  <c:v>169.68313795859208</c:v>
                </c:pt>
                <c:pt idx="49">
                  <c:v>169.2070529518524</c:v>
                </c:pt>
                <c:pt idx="50">
                  <c:v>168.7099897696807</c:v>
                </c:pt>
                <c:pt idx="51">
                  <c:v>168.19116530207825</c:v>
                </c:pt>
                <c:pt idx="52">
                  <c:v>167.64978737511871</c:v>
                </c:pt>
                <c:pt idx="53">
                  <c:v>167.0850578204174</c:v>
                </c:pt>
                <c:pt idx="54">
                  <c:v>166.49617606155968</c:v>
                </c:pt>
                <c:pt idx="55">
                  <c:v>165.88234326514402</c:v>
                </c:pt>
                <c:pt idx="56">
                  <c:v>165.24276710348781</c:v>
                </c:pt>
                <c:pt idx="57">
                  <c:v>164.57666717398624</c:v>
                </c:pt>
                <c:pt idx="58">
                  <c:v>163.88328111622246</c:v>
                </c:pt>
                <c:pt idx="59">
                  <c:v>163.16187146181224</c:v>
                </c:pt>
                <c:pt idx="60">
                  <c:v>162.41173324319828</c:v>
                </c:pt>
                <c:pt idx="61">
                  <c:v>161.63220237574504</c:v>
                </c:pt>
                <c:pt idx="62">
                  <c:v>160.82266481211025</c:v>
                </c:pt>
                <c:pt idx="63">
                  <c:v>159.982566448591</c:v>
                </c:pt>
                <c:pt idx="64">
                  <c:v>159.11142373967377</c:v>
                </c:pt>
                <c:pt idx="65">
                  <c:v>158.20883494920815</c:v>
                </c:pt>
                <c:pt idx="66">
                  <c:v>157.27449193450707</c:v>
                </c:pt>
                <c:pt idx="67">
                  <c:v>156.3081923235585</c:v>
                </c:pt>
                <c:pt idx="68">
                  <c:v>155.30985190609127</c:v>
                </c:pt>
                <c:pt idx="69">
                  <c:v>154.27951701746719</c:v>
                </c:pt>
                <c:pt idx="70">
                  <c:v>153.21737665183369</c:v>
                </c:pt>
                <c:pt idx="71">
                  <c:v>152.12377399961125</c:v>
                </c:pt>
                <c:pt idx="72">
                  <c:v>150.99921706671756</c:v>
                </c:pt>
                <c:pt idx="73">
                  <c:v>149.84438800181209</c:v>
                </c:pt>
                <c:pt idx="74">
                  <c:v>148.66015073651803</c:v>
                </c:pt>
                <c:pt idx="75">
                  <c:v>147.44755653534867</c:v>
                </c:pt>
                <c:pt idx="76">
                  <c:v>146.20784706014467</c:v>
                </c:pt>
                <c:pt idx="77">
                  <c:v>144.9424545809828</c:v>
                </c:pt>
                <c:pt idx="78">
                  <c:v>143.65299901366163</c:v>
                </c:pt>
                <c:pt idx="79">
                  <c:v>142.34128153384145</c:v>
                </c:pt>
                <c:pt idx="80">
                  <c:v>141.00927460896932</c:v>
                </c:pt>
                <c:pt idx="81">
                  <c:v>139.65910839890259</c:v>
                </c:pt>
                <c:pt idx="82">
                  <c:v>138.29305360040735</c:v>
                </c:pt>
                <c:pt idx="83">
                  <c:v>136.91350094356562</c:v>
                </c:pt>
                <c:pt idx="84">
                  <c:v>135.52293768231959</c:v>
                </c:pt>
                <c:pt idx="85">
                  <c:v>134.12392154867354</c:v>
                </c:pt>
                <c:pt idx="86">
                  <c:v>132.71905275218765</c:v>
                </c:pt>
                <c:pt idx="87">
                  <c:v>131.31094469546613</c:v>
                </c:pt>
                <c:pt idx="88">
                  <c:v>129.90219413594556</c:v>
                </c:pt>
                <c:pt idx="89">
                  <c:v>128.49535155000336</c:v>
                </c:pt>
                <c:pt idx="90">
                  <c:v>127.09289244528078</c:v>
                </c:pt>
                <c:pt idx="91">
                  <c:v>125.69719032191179</c:v>
                </c:pt>
                <c:pt idx="92">
                  <c:v>124.31049190651945</c:v>
                </c:pt>
                <c:pt idx="93">
                  <c:v>122.93489517995519</c:v>
                </c:pt>
                <c:pt idx="94">
                  <c:v>121.57233059820393</c:v>
                </c:pt>
                <c:pt idx="95">
                  <c:v>120.22454577381228</c:v>
                </c:pt>
                <c:pt idx="96">
                  <c:v>118.89309375102405</c:v>
                </c:pt>
                <c:pt idx="97">
                  <c:v>117.57932487919976</c:v>
                </c:pt>
                <c:pt idx="98">
                  <c:v>116.28438217271241</c:v>
                </c:pt>
                <c:pt idx="99">
                  <c:v>115.00919994622305</c:v>
                </c:pt>
                <c:pt idx="100">
                  <c:v>113.7545054352792</c:v>
                </c:pt>
                <c:pt idx="101">
                  <c:v>112.520823055002</c:v>
                </c:pt>
                <c:pt idx="102">
                  <c:v>111.30848091397614</c:v>
                </c:pt>
                <c:pt idx="103">
                  <c:v>110.11761918494028</c:v>
                </c:pt>
                <c:pt idx="104">
                  <c:v>108.94819993596795</c:v>
                </c:pt>
                <c:pt idx="105">
                  <c:v>107.80001804256325</c:v>
                </c:pt>
                <c:pt idx="106">
                  <c:v>106.67271282911204</c:v>
                </c:pt>
                <c:pt idx="107">
                  <c:v>105.56578012419394</c:v>
                </c:pt>
                <c:pt idx="108">
                  <c:v>104.47858445530298</c:v>
                </c:pt>
                <c:pt idx="109">
                  <c:v>103.4103711519102</c:v>
                </c:pt>
                <c:pt idx="110">
                  <c:v>102.36027816932241</c:v>
                </c:pt>
                <c:pt idx="111">
                  <c:v>101.32734748774905</c:v>
                </c:pt>
                <c:pt idx="112">
                  <c:v>100.31053598016545</c:v>
                </c:pt>
                <c:pt idx="113">
                  <c:v>99.308725678128582</c:v>
                </c:pt>
                <c:pt idx="114">
                  <c:v>98.320733396241891</c:v>
                </c:pt>
                <c:pt idx="115">
                  <c:v>97.345319703334354</c:v>
                </c:pt>
                <c:pt idx="116">
                  <c:v>96.381197251669477</c:v>
                </c:pt>
                <c:pt idx="117">
                  <c:v>95.427038494918619</c:v>
                </c:pt>
                <c:pt idx="118">
                  <c:v>94.481482841494071</c:v>
                </c:pt>
                <c:pt idx="119">
                  <c:v>93.543143302608229</c:v>
                </c:pt>
                <c:pt idx="120">
                  <c:v>92.610612704441252</c:v>
                </c:pt>
                <c:pt idx="121">
                  <c:v>91.68246954151266</c:v>
                </c:pt>
                <c:pt idx="122">
                  <c:v>90.757283554080331</c:v>
                </c:pt>
                <c:pt idx="123">
                  <c:v>89.833621116448057</c:v>
                </c:pt>
                <c:pt idx="124">
                  <c:v>88.910050525693265</c:v>
                </c:pt>
                <c:pt idx="125">
                  <c:v>87.985147281687645</c:v>
                </c:pt>
                <c:pt idx="126">
                  <c:v>87.057499449464686</c:v>
                </c:pt>
                <c:pt idx="127">
                  <c:v>86.125713194009393</c:v>
                </c:pt>
                <c:pt idx="128">
                  <c:v>85.188418575331482</c:v>
                </c:pt>
                <c:pt idx="129">
                  <c:v>84.244275688101311</c:v>
                </c:pt>
                <c:pt idx="130">
                  <c:v>83.291981224948088</c:v>
                </c:pt>
                <c:pt idx="131">
                  <c:v>82.330275535470349</c:v>
                </c:pt>
                <c:pt idx="132">
                  <c:v>81.357950243747595</c:v>
                </c:pt>
                <c:pt idx="133">
                  <c:v>80.373856475277492</c:v>
                </c:pt>
                <c:pt idx="134">
                  <c:v>79.376913729394886</c:v>
                </c:pt>
                <c:pt idx="135">
                  <c:v>78.366119414964075</c:v>
                </c:pt>
                <c:pt idx="136">
                  <c:v>77.34055904508709</c:v>
                </c:pt>
                <c:pt idx="137">
                  <c:v>76.299417060495827</c:v>
                </c:pt>
                <c:pt idx="138">
                  <c:v>75.241988221032216</c:v>
                </c:pt>
                <c:pt idx="139">
                  <c:v>74.167689470247282</c:v>
                </c:pt>
                <c:pt idx="140">
                  <c:v>73.0760721400043</c:v>
                </c:pt>
                <c:pt idx="141">
                  <c:v>71.966834320738315</c:v>
                </c:pt>
                <c:pt idx="142">
                  <c:v>70.839833179780783</c:v>
                </c:pt>
                <c:pt idx="143">
                  <c:v>69.695096966480094</c:v>
                </c:pt>
                <c:pt idx="144">
                  <c:v>68.532836400749474</c:v>
                </c:pt>
                <c:pt idx="145">
                  <c:v>67.353455103693022</c:v>
                </c:pt>
                <c:pt idx="146">
                  <c:v>66.157558698005232</c:v>
                </c:pt>
                <c:pt idx="147">
                  <c:v>64.945962185168909</c:v>
                </c:pt>
                <c:pt idx="148">
                  <c:v>63.719695199352401</c:v>
                </c:pt>
                <c:pt idx="149">
                  <c:v>62.48000474755095</c:v>
                </c:pt>
                <c:pt idx="150">
                  <c:v>61.228355074526519</c:v>
                </c:pt>
                <c:pt idx="151">
                  <c:v>59.966424341335284</c:v>
                </c:pt>
                <c:pt idx="152">
                  <c:v>58.696097878289365</c:v>
                </c:pt>
                <c:pt idx="153">
                  <c:v>57.419457866163668</c:v>
                </c:pt>
                <c:pt idx="154">
                  <c:v>56.138769410723938</c:v>
                </c:pt>
                <c:pt idx="155">
                  <c:v>54.856463100733521</c:v>
                </c:pt>
                <c:pt idx="156">
                  <c:v>53.575114272465413</c:v>
                </c:pt>
                <c:pt idx="157">
                  <c:v>52.29741933687049</c:v>
                </c:pt>
                <c:pt idx="158">
                  <c:v>51.026169650789143</c:v>
                </c:pt>
                <c:pt idx="159">
                  <c:v>49.764223522506995</c:v>
                </c:pt>
                <c:pt idx="160">
                  <c:v>48.51447702692542</c:v>
                </c:pt>
                <c:pt idx="161">
                  <c:v>47.279834360358564</c:v>
                </c:pt>
                <c:pt idx="162">
                  <c:v>46.063178485338426</c:v>
                </c:pt>
                <c:pt idx="163">
                  <c:v>44.867342800193228</c:v>
                </c:pt>
                <c:pt idx="164">
                  <c:v>43.69508451762681</c:v>
                </c:pt>
                <c:pt idx="165">
                  <c:v>42.549060354813832</c:v>
                </c:pt>
                <c:pt idx="166">
                  <c:v>41.431805030407929</c:v>
                </c:pt>
                <c:pt idx="167">
                  <c:v>40.345712938947372</c:v>
                </c:pt>
                <c:pt idx="168">
                  <c:v>39.293023238499956</c:v>
                </c:pt>
                <c:pt idx="169">
                  <c:v>38.275808451519623</c:v>
                </c:pt>
                <c:pt idx="170">
                  <c:v>37.295966549233469</c:v>
                </c:pt>
                <c:pt idx="171">
                  <c:v>36.355216372947865</c:v>
                </c:pt>
                <c:pt idx="172">
                  <c:v>35.455096146122514</c:v>
                </c:pt>
                <c:pt idx="173">
                  <c:v>34.59696475192527</c:v>
                </c:pt>
                <c:pt idx="174">
                  <c:v>33.782005393475771</c:v>
                </c:pt>
                <c:pt idx="175">
                  <c:v>33.011231217751998</c:v>
                </c:pt>
                <c:pt idx="176">
                  <c:v>32.285492467625204</c:v>
                </c:pt>
                <c:pt idx="177">
                  <c:v>31.605484727188895</c:v>
                </c:pt>
                <c:pt idx="178">
                  <c:v>30.971757840456576</c:v>
                </c:pt>
                <c:pt idx="179">
                  <c:v>30.384725109409288</c:v>
                </c:pt>
                <c:pt idx="180">
                  <c:v>29.844672411120115</c:v>
                </c:pt>
                <c:pt idx="181">
                  <c:v>29.351766912460988</c:v>
                </c:pt>
                <c:pt idx="182">
                  <c:v>28.90606510225544</c:v>
                </c:pt>
                <c:pt idx="183">
                  <c:v>28.507519902825237</c:v>
                </c:pt>
                <c:pt idx="184">
                  <c:v>28.155986664283319</c:v>
                </c:pt>
                <c:pt idx="185">
                  <c:v>27.851227884830223</c:v>
                </c:pt>
                <c:pt idx="186">
                  <c:v>27.592916538298596</c:v>
                </c:pt>
                <c:pt idx="187">
                  <c:v>27.380637926290603</c:v>
                </c:pt>
                <c:pt idx="188">
                  <c:v>27.213890006764188</c:v>
                </c:pt>
                <c:pt idx="189">
                  <c:v>27.092082184410714</c:v>
                </c:pt>
                <c:pt idx="190">
                  <c:v>27.014532581299136</c:v>
                </c:pt>
                <c:pt idx="191">
                  <c:v>26.980463839810483</c:v>
                </c:pt>
                <c:pt idx="192">
                  <c:v>26.988997544525603</c:v>
                </c:pt>
                <c:pt idx="193">
                  <c:v>27.039147386075172</c:v>
                </c:pt>
                <c:pt idx="194">
                  <c:v>27.129811228378742</c:v>
                </c:pt>
                <c:pt idx="195">
                  <c:v>27.259762281265068</c:v>
                </c:pt>
                <c:pt idx="196">
                  <c:v>27.427639622895526</c:v>
                </c:pt>
                <c:pt idx="197">
                  <c:v>27.631938359959577</c:v>
                </c:pt>
                <c:pt idx="198">
                  <c:v>27.870999756982712</c:v>
                </c:pt>
                <c:pt idx="199">
                  <c:v>28.143001707579572</c:v>
                </c:pt>
                <c:pt idx="200">
                  <c:v>28.445949957678238</c:v>
                </c:pt>
              </c:numCache>
            </c:numRef>
          </c:yVal>
          <c:smooth val="1"/>
        </c:ser>
        <c:ser>
          <c:idx val="0"/>
          <c:order val="1"/>
          <c:tx>
            <c:v> Ti(s) Phase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Compensation!$Z$64:$Z$264</c:f>
              <c:numCache>
                <c:formatCode>General</c:formatCode>
                <c:ptCount val="201"/>
                <c:pt idx="0">
                  <c:v>-178.74328804251107</c:v>
                </c:pt>
                <c:pt idx="1">
                  <c:v>-178.68409496724618</c:v>
                </c:pt>
                <c:pt idx="2">
                  <c:v>-178.62211723283806</c:v>
                </c:pt>
                <c:pt idx="3">
                  <c:v>-178.55722434597681</c:v>
                </c:pt>
                <c:pt idx="4">
                  <c:v>-178.48927977336419</c:v>
                </c:pt>
                <c:pt idx="5">
                  <c:v>-178.41814067329898</c:v>
                </c:pt>
                <c:pt idx="6">
                  <c:v>-178.34365761700488</c:v>
                </c:pt>
                <c:pt idx="7">
                  <c:v>-178.26567429956893</c:v>
                </c:pt>
                <c:pt idx="8">
                  <c:v>-178.18402724040328</c:v>
                </c:pt>
                <c:pt idx="9">
                  <c:v>-178.09854547319642</c:v>
                </c:pt>
                <c:pt idx="10">
                  <c:v>-178.00905022538686</c:v>
                </c:pt>
                <c:pt idx="11">
                  <c:v>-177.91535458726869</c:v>
                </c:pt>
                <c:pt idx="12">
                  <c:v>-177.81726317093214</c:v>
                </c:pt>
                <c:pt idx="13">
                  <c:v>-177.71457175935026</c:v>
                </c:pt>
                <c:pt idx="14">
                  <c:v>-177.60706694605224</c:v>
                </c:pt>
                <c:pt idx="15">
                  <c:v>-177.49452576597335</c:v>
                </c:pt>
                <c:pt idx="16">
                  <c:v>-177.3767153182477</c:v>
                </c:pt>
                <c:pt idx="17">
                  <c:v>-177.25339238191393</c:v>
                </c:pt>
                <c:pt idx="18">
                  <c:v>-177.12430302574083</c:v>
                </c:pt>
                <c:pt idx="19">
                  <c:v>-176.98918221365486</c:v>
                </c:pt>
                <c:pt idx="20">
                  <c:v>-176.84775340756752</c:v>
                </c:pt>
                <c:pt idx="21">
                  <c:v>-176.69972816976608</c:v>
                </c:pt>
                <c:pt idx="22">
                  <c:v>-176.54480576744987</c:v>
                </c:pt>
                <c:pt idx="23">
                  <c:v>-176.38267278247494</c:v>
                </c:pt>
                <c:pt idx="24">
                  <c:v>-176.21300272992033</c:v>
                </c:pt>
                <c:pt idx="25">
                  <c:v>-176.03545568971478</c:v>
                </c:pt>
                <c:pt idx="26">
                  <c:v>-175.84967795627873</c:v>
                </c:pt>
                <c:pt idx="27">
                  <c:v>-175.6553017119459</c:v>
                </c:pt>
                <c:pt idx="28">
                  <c:v>-175.45194473084706</c:v>
                </c:pt>
                <c:pt idx="29">
                  <c:v>-175.23921012097804</c:v>
                </c:pt>
                <c:pt idx="30">
                  <c:v>-175.01668611333821</c:v>
                </c:pt>
                <c:pt idx="31">
                  <c:v>-174.78394590834245</c:v>
                </c:pt>
                <c:pt idx="32">
                  <c:v>-174.54054759117258</c:v>
                </c:pt>
                <c:pt idx="33">
                  <c:v>-174.2860341293717</c:v>
                </c:pt>
                <c:pt idx="34">
                  <c:v>-174.01993346780066</c:v>
                </c:pt>
                <c:pt idx="35">
                  <c:v>-173.741758738079</c:v>
                </c:pt>
                <c:pt idx="36">
                  <c:v>-173.45100860183695</c:v>
                </c:pt>
                <c:pt idx="37">
                  <c:v>-173.14716774951259</c:v>
                </c:pt>
                <c:pt idx="38">
                  <c:v>-172.82970757903655</c:v>
                </c:pt>
                <c:pt idx="39">
                  <c:v>-172.49808708155595</c:v>
                </c:pt>
                <c:pt idx="40">
                  <c:v>-172.15175396434634</c:v>
                </c:pt>
                <c:pt idx="41">
                  <c:v>-171.79014604421175</c:v>
                </c:pt>
                <c:pt idx="42">
                  <c:v>-171.41269294796336</c:v>
                </c:pt>
                <c:pt idx="43">
                  <c:v>-171.01881815991706</c:v>
                </c:pt>
                <c:pt idx="44">
                  <c:v>-170.60794145972051</c:v>
                </c:pt>
                <c:pt idx="45">
                  <c:v>-170.1794817970864</c:v>
                </c:pt>
                <c:pt idx="46">
                  <c:v>-169.73286065307374</c:v>
                </c:pt>
                <c:pt idx="47">
                  <c:v>-169.26750594026208</c:v>
                </c:pt>
                <c:pt idx="48">
                  <c:v>-168.78285649631769</c:v>
                </c:pt>
                <c:pt idx="49">
                  <c:v>-168.27836722684066</c:v>
                </c:pt>
                <c:pt idx="50">
                  <c:v>-167.75351495373775</c:v>
                </c:pt>
                <c:pt idx="51">
                  <c:v>-167.20780502440437</c:v>
                </c:pt>
                <c:pt idx="52">
                  <c:v>-166.64077873435727</c:v>
                </c:pt>
                <c:pt idx="53">
                  <c:v>-166.05202161131908</c:v>
                </c:pt>
                <c:pt idx="54">
                  <c:v>-165.44117260168551</c:v>
                </c:pt>
                <c:pt idx="55">
                  <c:v>-164.80793419049641</c:v>
                </c:pt>
                <c:pt idx="56">
                  <c:v>-164.15208347308186</c:v>
                </c:pt>
                <c:pt idx="57">
                  <c:v>-163.47348418024905</c:v>
                </c:pt>
                <c:pt idx="58">
                  <c:v>-162.77209963903053</c:v>
                </c:pt>
                <c:pt idx="59">
                  <c:v>-162.04800662766809</c:v>
                </c:pt>
                <c:pt idx="60">
                  <c:v>-161.30141005693977</c:v>
                </c:pt>
                <c:pt idx="61">
                  <c:v>-160.53265838073324</c:v>
                </c:pt>
                <c:pt idx="62">
                  <c:v>-159.74225960794467</c:v>
                </c:pt>
                <c:pt idx="63">
                  <c:v>-158.93089775681526</c:v>
                </c:pt>
                <c:pt idx="64">
                  <c:v>-158.09944956375062</c:v>
                </c:pt>
                <c:pt idx="65">
                  <c:v>-157.249001234156</c:v>
                </c:pt>
                <c:pt idx="66">
                  <c:v>-156.38086500611547</c:v>
                </c:pt>
                <c:pt idx="67">
                  <c:v>-155.49659529270784</c:v>
                </c:pt>
                <c:pt idx="68">
                  <c:v>-154.59800417981131</c:v>
                </c:pt>
                <c:pt idx="69">
                  <c:v>-153.68717608813532</c:v>
                </c:pt>
                <c:pt idx="70">
                  <c:v>-152.76648146603335</c:v>
                </c:pt>
                <c:pt idx="71">
                  <c:v>-151.83858946842642</c:v>
                </c:pt>
                <c:pt idx="72">
                  <c:v>-150.90647970191782</c:v>
                </c:pt>
                <c:pt idx="73">
                  <c:v>-149.97345328163522</c:v>
                </c:pt>
                <c:pt idx="74">
                  <c:v>-149.04314365611404</c:v>
                </c:pt>
                <c:pt idx="75">
                  <c:v>-148.11952791738082</c:v>
                </c:pt>
                <c:pt idx="76">
                  <c:v>-147.20693962977339</c:v>
                </c:pt>
                <c:pt idx="77">
                  <c:v>-146.31008459040029</c:v>
                </c:pt>
                <c:pt idx="78">
                  <c:v>-145.43406138743796</c:v>
                </c:pt>
                <c:pt idx="79">
                  <c:v>-144.58438916685395</c:v>
                </c:pt>
                <c:pt idx="80">
                  <c:v>-143.7670456803038</c:v>
                </c:pt>
                <c:pt idx="81">
                  <c:v>-142.98851950806312</c:v>
                </c:pt>
                <c:pt idx="82">
                  <c:v>-142.25588139302479</c:v>
                </c:pt>
                <c:pt idx="83">
                  <c:v>-141.57688097735308</c:v>
                </c:pt>
                <c:pt idx="84">
                  <c:v>-140.96007703758093</c:v>
                </c:pt>
                <c:pt idx="85">
                  <c:v>-140.41501176325008</c:v>
                </c:pt>
                <c:pt idx="86">
                  <c:v>-139.95244300248584</c:v>
                </c:pt>
                <c:pt idx="87">
                  <c:v>-139.58465311370571</c:v>
                </c:pt>
                <c:pt idx="88">
                  <c:v>-139.32585970162745</c:v>
                </c:pt>
                <c:pt idx="89">
                  <c:v>-139.19276291042129</c:v>
                </c:pt>
                <c:pt idx="90">
                  <c:v>-139.20527726001455</c:v>
                </c:pt>
                <c:pt idx="91">
                  <c:v>-139.38751480715274</c:v>
                </c:pt>
                <c:pt idx="92">
                  <c:v>-139.76911262570539</c:v>
                </c:pt>
                <c:pt idx="93">
                  <c:v>-140.38703314723301</c:v>
                </c:pt>
                <c:pt idx="94">
                  <c:v>-141.28801123142313</c:v>
                </c:pt>
                <c:pt idx="95">
                  <c:v>-142.53187158793813</c:v>
                </c:pt>
                <c:pt idx="96">
                  <c:v>-144.19597132764741</c:v>
                </c:pt>
                <c:pt idx="97">
                  <c:v>-146.3809637483171</c:v>
                </c:pt>
                <c:pt idx="98">
                  <c:v>-149.2177373752655</c:v>
                </c:pt>
                <c:pt idx="99">
                  <c:v>-152.8742803643033</c:v>
                </c:pt>
                <c:pt idx="100">
                  <c:v>-157.55831216811538</c:v>
                </c:pt>
                <c:pt idx="101">
                  <c:v>-163.50507817933118</c:v>
                </c:pt>
                <c:pt idx="102">
                  <c:v>-170.92900275591484</c:v>
                </c:pt>
                <c:pt idx="103">
                  <c:v>-179.91179727259112</c:v>
                </c:pt>
                <c:pt idx="104">
                  <c:v>169.76698896045508</c:v>
                </c:pt>
                <c:pt idx="105">
                  <c:v>158.740948438256</c:v>
                </c:pt>
                <c:pt idx="106">
                  <c:v>147.91716036589574</c:v>
                </c:pt>
                <c:pt idx="107">
                  <c:v>138.10340729295629</c:v>
                </c:pt>
                <c:pt idx="108">
                  <c:v>129.72517421262114</c:v>
                </c:pt>
                <c:pt idx="109">
                  <c:v>122.8304175950644</c:v>
                </c:pt>
                <c:pt idx="110">
                  <c:v>117.25294688849326</c:v>
                </c:pt>
                <c:pt idx="111">
                  <c:v>112.75902438034505</c:v>
                </c:pt>
                <c:pt idx="112">
                  <c:v>109.12464580972443</c:v>
                </c:pt>
                <c:pt idx="113">
                  <c:v>106.16245731544394</c:v>
                </c:pt>
                <c:pt idx="114">
                  <c:v>103.72464608400911</c:v>
                </c:pt>
                <c:pt idx="115">
                  <c:v>101.69738622072164</c:v>
                </c:pt>
                <c:pt idx="116">
                  <c:v>99.993665866576492</c:v>
                </c:pt>
                <c:pt idx="117">
                  <c:v>98.54688048188946</c:v>
                </c:pt>
                <c:pt idx="118">
                  <c:v>97.305747328368284</c:v>
                </c:pt>
                <c:pt idx="119">
                  <c:v>96.230459999227406</c:v>
                </c:pt>
                <c:pt idx="120">
                  <c:v>95.289838031438492</c:v>
                </c:pt>
                <c:pt idx="121">
                  <c:v>94.45922687510766</c:v>
                </c:pt>
                <c:pt idx="122">
                  <c:v>93.718948812027506</c:v>
                </c:pt>
                <c:pt idx="123">
                  <c:v>93.053154381750488</c:v>
                </c:pt>
                <c:pt idx="124">
                  <c:v>92.448964557702226</c:v>
                </c:pt>
                <c:pt idx="125">
                  <c:v>91.89582470860698</c:v>
                </c:pt>
                <c:pt idx="126">
                  <c:v>91.385013757197655</c:v>
                </c:pt>
                <c:pt idx="127">
                  <c:v>90.909267919131452</c:v>
                </c:pt>
                <c:pt idx="128">
                  <c:v>90.462489729885007</c:v>
                </c:pt>
                <c:pt idx="129">
                  <c:v>90.039521096032402</c:v>
                </c:pt>
                <c:pt idx="130">
                  <c:v>89.63596481854249</c:v>
                </c:pt>
                <c:pt idx="131">
                  <c:v>89.248043121043025</c:v>
                </c:pt>
                <c:pt idx="132">
                  <c:v>88.87248465809536</c:v>
                </c:pt>
                <c:pt idx="133">
                  <c:v>88.506433613175219</c:v>
                </c:pt>
                <c:pt idx="134">
                  <c:v>88.147376056965612</c:v>
                </c:pt>
                <c:pt idx="135">
                  <c:v>87.793079886991791</c:v>
                </c:pt>
                <c:pt idx="136">
                  <c:v>87.441545524209644</c:v>
                </c:pt>
                <c:pt idx="137">
                  <c:v>87.0909651819033</c:v>
                </c:pt>
                <c:pt idx="138">
                  <c:v>86.739689004785731</c:v>
                </c:pt>
                <c:pt idx="139">
                  <c:v>86.386196742826087</c:v>
                </c:pt>
                <c:pt idx="140">
                  <c:v>86.029073904857</c:v>
                </c:pt>
                <c:pt idx="141">
                  <c:v>85.666991553119999</c:v>
                </c:pt>
                <c:pt idx="142">
                  <c:v>85.29868906745601</c:v>
                </c:pt>
                <c:pt idx="143">
                  <c:v>84.922959338553056</c:v>
                </c:pt>
                <c:pt idx="144">
                  <c:v>84.538635952219465</c:v>
                </c:pt>
                <c:pt idx="145">
                  <c:v>84.144582007558682</c:v>
                </c:pt>
                <c:pt idx="146">
                  <c:v>83.73968027608224</c:v>
                </c:pt>
                <c:pt idx="147">
                  <c:v>83.322824459917499</c:v>
                </c:pt>
                <c:pt idx="148">
                  <c:v>82.892911348176852</c:v>
                </c:pt>
                <c:pt idx="149">
                  <c:v>82.448833703432371</c:v>
                </c:pt>
                <c:pt idx="150">
                  <c:v>81.989473736761681</c:v>
                </c:pt>
                <c:pt idx="151">
                  <c:v>81.513697051311567</c:v>
                </c:pt>
                <c:pt idx="152">
                  <c:v>81.02034695179465</c:v>
                </c:pt>
                <c:pt idx="153">
                  <c:v>80.508239031614352</c:v>
                </c:pt>
                <c:pt idx="154">
                  <c:v>79.976155961066013</c:v>
                </c:pt>
                <c:pt idx="155">
                  <c:v>79.422842409837301</c:v>
                </c:pt>
                <c:pt idx="156">
                  <c:v>78.847000045286578</c:v>
                </c:pt>
                <c:pt idx="157">
                  <c:v>78.24728255513071</c:v>
                </c:pt>
                <c:pt idx="158">
                  <c:v>77.622290649585892</c:v>
                </c:pt>
                <c:pt idx="159">
                  <c:v>76.970567004047396</c:v>
                </c:pt>
                <c:pt idx="160">
                  <c:v>76.290591109428902</c:v>
                </c:pt>
                <c:pt idx="161">
                  <c:v>75.580774003710857</c:v>
                </c:pt>
                <c:pt idx="162">
                  <c:v>74.839452865501713</c:v>
                </c:pt>
                <c:pt idx="163">
                  <c:v>74.064885459026996</c:v>
                </c:pt>
                <c:pt idx="164">
                  <c:v>73.255244430510444</c:v>
                </c:pt>
                <c:pt idx="165">
                  <c:v>72.408611469154337</c:v>
                </c:pt>
                <c:pt idx="166">
                  <c:v>71.522971362705832</c:v>
                </c:pt>
                <c:pt idx="167">
                  <c:v>70.596205999020583</c:v>
                </c:pt>
                <c:pt idx="168">
                  <c:v>69.626088392324675</c:v>
                </c:pt>
                <c:pt idx="169">
                  <c:v>68.610276847619488</c:v>
                </c:pt>
                <c:pt idx="170">
                  <c:v>67.546309420631957</c:v>
                </c:pt>
                <c:pt idx="171">
                  <c:v>66.431598886018818</c:v>
                </c:pt>
                <c:pt idx="172">
                  <c:v>65.263428495565336</c:v>
                </c:pt>
                <c:pt idx="173">
                  <c:v>64.038948893529792</c:v>
                </c:pt>
                <c:pt idx="174">
                  <c:v>62.755176660840178</c:v>
                </c:pt>
                <c:pt idx="175">
                  <c:v>61.408995086292634</c:v>
                </c:pt>
                <c:pt idx="176">
                  <c:v>59.997157913522486</c:v>
                </c:pt>
                <c:pt idx="177">
                  <c:v>58.516296988711304</c:v>
                </c:pt>
                <c:pt idx="178">
                  <c:v>56.96293493532967</c:v>
                </c:pt>
                <c:pt idx="179">
                  <c:v>55.333504205352313</c:v>
                </c:pt>
                <c:pt idx="180">
                  <c:v>53.624374093342382</c:v>
                </c:pt>
                <c:pt idx="181">
                  <c:v>51.8318875358855</c:v>
                </c:pt>
                <c:pt idx="182">
                  <c:v>49.952409729951341</c:v>
                </c:pt>
                <c:pt idx="183">
                  <c:v>47.982390753285216</c:v>
                </c:pt>
                <c:pt idx="184">
                  <c:v>45.918444405892245</c:v>
                </c:pt>
                <c:pt idx="185">
                  <c:v>43.757445344290886</c:v>
                </c:pt>
                <c:pt idx="186">
                  <c:v>41.496646161886531</c:v>
                </c:pt>
                <c:pt idx="187">
                  <c:v>39.133815277865921</c:v>
                </c:pt>
                <c:pt idx="188">
                  <c:v>36.667395228184347</c:v>
                </c:pt>
                <c:pt idx="189">
                  <c:v>34.096679116387378</c:v>
                </c:pt>
                <c:pt idx="190">
                  <c:v>31.422000537554794</c:v>
                </c:pt>
                <c:pt idx="191">
                  <c:v>28.644929283813042</c:v>
                </c:pt>
                <c:pt idx="192">
                  <c:v>25.768461761692663</c:v>
                </c:pt>
                <c:pt idx="193">
                  <c:v>22.797191668910017</c:v>
                </c:pt>
                <c:pt idx="194">
                  <c:v>19.737443658737021</c:v>
                </c:pt>
                <c:pt idx="195">
                  <c:v>16.597351196076431</c:v>
                </c:pt>
                <c:pt idx="196">
                  <c:v>13.386860367721852</c:v>
                </c:pt>
                <c:pt idx="197">
                  <c:v>10.11764470187947</c:v>
                </c:pt>
                <c:pt idx="198">
                  <c:v>6.8029223523379301</c:v>
                </c:pt>
                <c:pt idx="199">
                  <c:v>3.4571759787896497</c:v>
                </c:pt>
                <c:pt idx="200">
                  <c:v>9.5786257528288843E-2</c:v>
                </c:pt>
              </c:numCache>
            </c:numRef>
          </c:yVal>
          <c:smooth val="1"/>
        </c:ser>
        <c:ser>
          <c:idx val="4"/>
          <c:order val="2"/>
          <c:tx>
            <c:v> Tv(s) Phase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Compensation!$AD$64:$AD$264</c:f>
              <c:numCache>
                <c:formatCode>General</c:formatCode>
                <c:ptCount val="201"/>
                <c:pt idx="0">
                  <c:v>179.79723559667121</c:v>
                </c:pt>
                <c:pt idx="1">
                  <c:v>179.78767835162191</c:v>
                </c:pt>
                <c:pt idx="2">
                  <c:v>179.77767050181893</c:v>
                </c:pt>
                <c:pt idx="3">
                  <c:v>179.76719078340244</c:v>
                </c:pt>
                <c:pt idx="4">
                  <c:v>179.75621692630065</c:v>
                </c:pt>
                <c:pt idx="5">
                  <c:v>179.74472560620418</c:v>
                </c:pt>
                <c:pt idx="6">
                  <c:v>179.73269239418752</c:v>
                </c:pt>
                <c:pt idx="7">
                  <c:v>179.72009170385311</c:v>
                </c:pt>
                <c:pt idx="8">
                  <c:v>179.70689673586654</c:v>
                </c:pt>
                <c:pt idx="9">
                  <c:v>179.69307941974179</c:v>
                </c:pt>
                <c:pt idx="10">
                  <c:v>179.67861035272716</c:v>
                </c:pt>
                <c:pt idx="11">
                  <c:v>179.66345873563199</c:v>
                </c:pt>
                <c:pt idx="12">
                  <c:v>179.6475923054235</c:v>
                </c:pt>
                <c:pt idx="13">
                  <c:v>179.63097726441075</c:v>
                </c:pt>
                <c:pt idx="14">
                  <c:v>179.61357820582009</c:v>
                </c:pt>
                <c:pt idx="15">
                  <c:v>179.59535803555161</c:v>
                </c:pt>
                <c:pt idx="16">
                  <c:v>179.57627788989043</c:v>
                </c:pt>
                <c:pt idx="17">
                  <c:v>179.5562970489286</c:v>
                </c:pt>
                <c:pt idx="18">
                  <c:v>179.53537284543498</c:v>
                </c:pt>
                <c:pt idx="19">
                  <c:v>179.51346056888775</c:v>
                </c:pt>
                <c:pt idx="20">
                  <c:v>179.49051336436116</c:v>
                </c:pt>
                <c:pt idx="21">
                  <c:v>179.46648212593115</c:v>
                </c:pt>
                <c:pt idx="22">
                  <c:v>179.44131538423477</c:v>
                </c:pt>
                <c:pt idx="23">
                  <c:v>179.41495918778551</c:v>
                </c:pt>
                <c:pt idx="24">
                  <c:v>179.38735697760899</c:v>
                </c:pt>
                <c:pt idx="25">
                  <c:v>179.35844945472235</c:v>
                </c:pt>
                <c:pt idx="26">
                  <c:v>179.32817443993352</c:v>
                </c:pt>
                <c:pt idx="27">
                  <c:v>179.29646672538402</c:v>
                </c:pt>
                <c:pt idx="28">
                  <c:v>179.26325791719941</c:v>
                </c:pt>
                <c:pt idx="29">
                  <c:v>179.22847626854443</c:v>
                </c:pt>
                <c:pt idx="30">
                  <c:v>179.19204650230401</c:v>
                </c:pt>
                <c:pt idx="31">
                  <c:v>179.15388962252484</c:v>
                </c:pt>
                <c:pt idx="32">
                  <c:v>179.11392271365494</c:v>
                </c:pt>
                <c:pt idx="33">
                  <c:v>179.07205872650729</c:v>
                </c:pt>
                <c:pt idx="34">
                  <c:v>179.0282062497468</c:v>
                </c:pt>
                <c:pt idx="35">
                  <c:v>178.98226926555645</c:v>
                </c:pt>
                <c:pt idx="36">
                  <c:v>178.93414688797282</c:v>
                </c:pt>
                <c:pt idx="37">
                  <c:v>178.88373308219369</c:v>
                </c:pt>
                <c:pt idx="38">
                  <c:v>178.83091636294452</c:v>
                </c:pt>
                <c:pt idx="39">
                  <c:v>178.77557946974352</c:v>
                </c:pt>
                <c:pt idx="40">
                  <c:v>178.71759901662128</c:v>
                </c:pt>
                <c:pt idx="41">
                  <c:v>178.65684511352561</c:v>
                </c:pt>
                <c:pt idx="42">
                  <c:v>178.59318095626526</c:v>
                </c:pt>
                <c:pt idx="43">
                  <c:v>178.52646238141563</c:v>
                </c:pt>
                <c:pt idx="44">
                  <c:v>178.45653738210788</c:v>
                </c:pt>
                <c:pt idx="45">
                  <c:v>178.38324558004729</c:v>
                </c:pt>
                <c:pt idx="46">
                  <c:v>178.3064176484371</c:v>
                </c:pt>
                <c:pt idx="47">
                  <c:v>178.22587467970834</c:v>
                </c:pt>
                <c:pt idx="48">
                  <c:v>178.14142749105702</c:v>
                </c:pt>
                <c:pt idx="49">
                  <c:v>178.0528758597404</c:v>
                </c:pt>
                <c:pt idx="50">
                  <c:v>177.96000767886406</c:v>
                </c:pt>
                <c:pt idx="51">
                  <c:v>177.86259802296414</c:v>
                </c:pt>
                <c:pt idx="52">
                  <c:v>177.76040811102047</c:v>
                </c:pt>
                <c:pt idx="53">
                  <c:v>177.65318415257988</c:v>
                </c:pt>
                <c:pt idx="54">
                  <c:v>177.54065606036869</c:v>
                </c:pt>
                <c:pt idx="55">
                  <c:v>177.42253601006601</c:v>
                </c:pt>
                <c:pt idx="56">
                  <c:v>177.2985168247111</c:v>
                </c:pt>
                <c:pt idx="57">
                  <c:v>177.16827015743493</c:v>
                </c:pt>
                <c:pt idx="58">
                  <c:v>177.03144444171207</c:v>
                </c:pt>
                <c:pt idx="59">
                  <c:v>176.88766257298482</c:v>
                </c:pt>
                <c:pt idx="60">
                  <c:v>176.73651927912755</c:v>
                </c:pt>
                <c:pt idx="61">
                  <c:v>176.57757812957411</c:v>
                </c:pt>
                <c:pt idx="62">
                  <c:v>176.41036812374756</c:v>
                </c:pt>
                <c:pt idx="63">
                  <c:v>176.23437978835312</c:v>
                </c:pt>
                <c:pt idx="64">
                  <c:v>176.04906069968806</c:v>
                </c:pt>
                <c:pt idx="65">
                  <c:v>175.8538103308361</c:v>
                </c:pt>
                <c:pt idx="66">
                  <c:v>175.64797410373731</c:v>
                </c:pt>
                <c:pt idx="67">
                  <c:v>175.43083650178087</c:v>
                </c:pt>
                <c:pt idx="68">
                  <c:v>175.20161306860248</c:v>
                </c:pt>
                <c:pt idx="69">
                  <c:v>174.95944108172546</c:v>
                </c:pt>
                <c:pt idx="70">
                  <c:v>174.70336864365495</c:v>
                </c:pt>
                <c:pt idx="71">
                  <c:v>174.4323418755622</c:v>
                </c:pt>
                <c:pt idx="72">
                  <c:v>174.14518982653982</c:v>
                </c:pt>
                <c:pt idx="73">
                  <c:v>173.84060662032513</c:v>
                </c:pt>
                <c:pt idx="74">
                  <c:v>173.51713024574792</c:v>
                </c:pt>
                <c:pt idx="75">
                  <c:v>173.17311724944543</c:v>
                </c:pt>
                <c:pt idx="76">
                  <c:v>172.80671239954196</c:v>
                </c:pt>
                <c:pt idx="77">
                  <c:v>172.4158121433961</c:v>
                </c:pt>
                <c:pt idx="78">
                  <c:v>171.99802036264941</c:v>
                </c:pt>
                <c:pt idx="79">
                  <c:v>171.55059450930636</c:v>
                </c:pt>
                <c:pt idx="80">
                  <c:v>171.07037965237345</c:v>
                </c:pt>
                <c:pt idx="81">
                  <c:v>170.55372722699133</c:v>
                </c:pt>
                <c:pt idx="82">
                  <c:v>169.99639428875579</c:v>
                </c:pt>
                <c:pt idx="83">
                  <c:v>169.39341773878436</c:v>
                </c:pt>
                <c:pt idx="84">
                  <c:v>168.73895616340843</c:v>
                </c:pt>
                <c:pt idx="85">
                  <c:v>168.02608943096931</c:v>
                </c:pt>
                <c:pt idx="86">
                  <c:v>167.24656272715006</c:v>
                </c:pt>
                <c:pt idx="87">
                  <c:v>166.39045688703987</c:v>
                </c:pt>
                <c:pt idx="88">
                  <c:v>165.44576011863839</c:v>
                </c:pt>
                <c:pt idx="89">
                  <c:v>164.39780668453091</c:v>
                </c:pt>
                <c:pt idx="90">
                  <c:v>163.22853466146958</c:v>
                </c:pt>
                <c:pt idx="91">
                  <c:v>161.9154959752041</c:v>
                </c:pt>
                <c:pt idx="92">
                  <c:v>160.43052558151524</c:v>
                </c:pt>
                <c:pt idx="93">
                  <c:v>158.73794102225361</c:v>
                </c:pt>
                <c:pt idx="94">
                  <c:v>156.7920981816894</c:v>
                </c:pt>
                <c:pt idx="95">
                  <c:v>154.5340792634174</c:v>
                </c:pt>
                <c:pt idx="96">
                  <c:v>151.8872578198268</c:v>
                </c:pt>
                <c:pt idx="97">
                  <c:v>148.75154432680196</c:v>
                </c:pt>
                <c:pt idx="98">
                  <c:v>144.99645788567639</c:v>
                </c:pt>
                <c:pt idx="99">
                  <c:v>140.45427356627727</c:v>
                </c:pt>
                <c:pt idx="100">
                  <c:v>134.91740314022189</c:v>
                </c:pt>
                <c:pt idx="101">
                  <c:v>128.15061317801846</c:v>
                </c:pt>
                <c:pt idx="102">
                  <c:v>119.93938483187092</c:v>
                </c:pt>
                <c:pt idx="103">
                  <c:v>110.2018184305164</c:v>
                </c:pt>
                <c:pt idx="104">
                  <c:v>99.158094856981265</c:v>
                </c:pt>
                <c:pt idx="105">
                  <c:v>87.441467088161929</c:v>
                </c:pt>
                <c:pt idx="106">
                  <c:v>75.958616290223873</c:v>
                </c:pt>
                <c:pt idx="107">
                  <c:v>65.516878957584822</c:v>
                </c:pt>
                <c:pt idx="108">
                  <c:v>56.541255781674693</c:v>
                </c:pt>
                <c:pt idx="109">
                  <c:v>49.079189694730275</c:v>
                </c:pt>
                <c:pt idx="110">
                  <c:v>42.9639556178671</c:v>
                </c:pt>
                <c:pt idx="111">
                  <c:v>37.961267818070752</c:v>
                </c:pt>
                <c:pt idx="112">
                  <c:v>33.846567290007101</c:v>
                </c:pt>
                <c:pt idx="113">
                  <c:v>30.431944781296011</c:v>
                </c:pt>
                <c:pt idx="114">
                  <c:v>27.569036866598225</c:v>
                </c:pt>
                <c:pt idx="115">
                  <c:v>25.143476639102289</c:v>
                </c:pt>
                <c:pt idx="116">
                  <c:v>23.067725089990546</c:v>
                </c:pt>
                <c:pt idx="117">
                  <c:v>21.274668145682142</c:v>
                </c:pt>
                <c:pt idx="118">
                  <c:v>19.712534443167215</c:v>
                </c:pt>
                <c:pt idx="119">
                  <c:v>18.341052740471298</c:v>
                </c:pt>
                <c:pt idx="120">
                  <c:v>17.12860404192719</c:v>
                </c:pt>
                <c:pt idx="121">
                  <c:v>16.05012375652629</c:v>
                </c:pt>
                <c:pt idx="122">
                  <c:v>15.085554522063262</c:v>
                </c:pt>
                <c:pt idx="123">
                  <c:v>14.21869929130898</c:v>
                </c:pt>
                <c:pt idx="124">
                  <c:v>13.436364957784036</c:v>
                </c:pt>
                <c:pt idx="125">
                  <c:v>12.727717588644964</c:v>
                </c:pt>
                <c:pt idx="126">
                  <c:v>12.083792706163422</c:v>
                </c:pt>
                <c:pt idx="127">
                  <c:v>11.497120027623566</c:v>
                </c:pt>
                <c:pt idx="128">
                  <c:v>10.961433395868596</c:v>
                </c:pt>
                <c:pt idx="129">
                  <c:v>10.47144465908454</c:v>
                </c:pt>
                <c:pt idx="130">
                  <c:v>10.022665967560869</c:v>
                </c:pt>
                <c:pt idx="131">
                  <c:v>9.6112690385810708</c:v>
                </c:pt>
                <c:pt idx="132">
                  <c:v>9.2339728809915869</c:v>
                </c:pt>
                <c:pt idx="133">
                  <c:v>8.8879536041338838</c:v>
                </c:pt>
                <c:pt idx="134">
                  <c:v>8.5707714953922789</c:v>
                </c:pt>
                <c:pt idx="135">
                  <c:v>8.280311699871703</c:v>
                </c:pt>
                <c:pt idx="136">
                  <c:v>8.0147356892944117</c:v>
                </c:pt>
                <c:pt idx="137">
                  <c:v>7.7724413460986455</c:v>
                </c:pt>
                <c:pt idx="138">
                  <c:v>7.5520299705503362</c:v>
                </c:pt>
                <c:pt idx="139">
                  <c:v>7.3522788847349432</c:v>
                </c:pt>
                <c:pt idx="140">
                  <c:v>7.1721185873769002</c:v>
                </c:pt>
                <c:pt idx="141">
                  <c:v>7.0106136292041015</c:v>
                </c:pt>
                <c:pt idx="142">
                  <c:v>6.8669465459000776</c:v>
                </c:pt>
                <c:pt idx="143">
                  <c:v>6.740404316266023</c:v>
                </c:pt>
                <c:pt idx="144">
                  <c:v>6.6303669157385059</c:v>
                </c:pt>
                <c:pt idx="145">
                  <c:v>6.53629761636995</c:v>
                </c:pt>
                <c:pt idx="146">
                  <c:v>6.4577347486669225</c:v>
                </c:pt>
                <c:pt idx="147">
                  <c:v>6.3942846919977114</c:v>
                </c:pt>
                <c:pt idx="148">
                  <c:v>6.3456159014419313</c:v>
                </c:pt>
                <c:pt idx="149">
                  <c:v>6.3114538121266719</c:v>
                </c:pt>
                <c:pt idx="150">
                  <c:v>6.2915764889370962</c:v>
                </c:pt>
                <c:pt idx="151">
                  <c:v>6.2858109112930265</c:v>
                </c:pt>
                <c:pt idx="152">
                  <c:v>6.2940298004600095</c:v>
                </c:pt>
                <c:pt idx="153">
                  <c:v>6.316148911383948</c:v>
                </c:pt>
                <c:pt idx="154">
                  <c:v>6.3521247229381004</c:v>
                </c:pt>
                <c:pt idx="155">
                  <c:v>6.4019524702203512</c:v>
                </c:pt>
                <c:pt idx="156">
                  <c:v>6.4656644705358133</c:v>
                </c:pt>
                <c:pt idx="157">
                  <c:v>6.5433287012427286</c:v>
                </c:pt>
                <c:pt idx="158">
                  <c:v>6.6350475929763206</c:v>
                </c:pt>
                <c:pt idx="159">
                  <c:v>6.7409570060885358</c:v>
                </c:pt>
                <c:pt idx="160">
                  <c:v>6.861225361607751</c:v>
                </c:pt>
                <c:pt idx="161">
                  <c:v>6.9960529007537104</c:v>
                </c:pt>
                <c:pt idx="162">
                  <c:v>7.1456710491384001</c:v>
                </c:pt>
                <c:pt idx="163">
                  <c:v>7.310341863323174</c:v>
                </c:pt>
                <c:pt idx="164">
                  <c:v>7.4903575384450107</c:v>
                </c:pt>
                <c:pt idx="165">
                  <c:v>7.6860399562235671</c:v>
                </c:pt>
                <c:pt idx="166">
                  <c:v>7.8977402528503831</c:v>
                </c:pt>
                <c:pt idx="167">
                  <c:v>8.1258383860763388</c:v>
                </c:pt>
                <c:pt idx="168">
                  <c:v>8.3707426802739064</c:v>
                </c:pt>
                <c:pt idx="169">
                  <c:v>8.6328893273844756</c:v>
                </c:pt>
                <c:pt idx="170">
                  <c:v>8.912741820475901</c:v>
                </c:pt>
                <c:pt idx="171">
                  <c:v>9.2107902951590859</c:v>
                </c:pt>
                <c:pt idx="172">
                  <c:v>9.527550752360554</c:v>
                </c:pt>
                <c:pt idx="173">
                  <c:v>9.863564133938695</c:v>
                </c:pt>
                <c:pt idx="174">
                  <c:v>10.219395220406284</c:v>
                </c:pt>
                <c:pt idx="175">
                  <c:v>10.595631317603022</c:v>
                </c:pt>
                <c:pt idx="176">
                  <c:v>10.992880696613014</c:v>
                </c:pt>
                <c:pt idx="177">
                  <c:v>11.411770748602351</c:v>
                </c:pt>
                <c:pt idx="178">
                  <c:v>11.85294581364127</c:v>
                </c:pt>
                <c:pt idx="179">
                  <c:v>12.317064640094941</c:v>
                </c:pt>
                <c:pt idx="180">
                  <c:v>12.804797428928111</c:v>
                </c:pt>
                <c:pt idx="181">
                  <c:v>13.316822415471222</c:v>
                </c:pt>
                <c:pt idx="182">
                  <c:v>13.853821940003314</c:v>
                </c:pt>
                <c:pt idx="183">
                  <c:v>14.416477958203501</c:v>
                </c:pt>
                <c:pt idx="184">
                  <c:v>15.005466943349688</c:v>
                </c:pt>
                <c:pt idx="185">
                  <c:v>15.621454134474817</c:v>
                </c:pt>
                <c:pt idx="186">
                  <c:v>16.265087088853107</c:v>
                </c:pt>
                <c:pt idx="187">
                  <c:v>16.936988503621137</c:v>
                </c:pt>
                <c:pt idx="188">
                  <c:v>17.637748280445379</c:v>
                </c:pt>
                <c:pt idx="189">
                  <c:v>18.367914819393292</c:v>
                </c:pt>
                <c:pt idx="190">
                  <c:v>19.127985543944931</c:v>
                </c:pt>
                <c:pt idx="191">
                  <c:v>19.918396678799212</c:v>
                </c:pt>
                <c:pt idx="192">
                  <c:v>20.739512326044405</c:v>
                </c:pt>
                <c:pt idx="193">
                  <c:v>21.59161291352882</c:v>
                </c:pt>
                <c:pt idx="194">
                  <c:v>22.474883121816248</c:v>
                </c:pt>
                <c:pt idx="195">
                  <c:v>23.389399432597799</c:v>
                </c:pt>
                <c:pt idx="196">
                  <c:v>24.335117481185364</c:v>
                </c:pt>
                <c:pt idx="197">
                  <c:v>25.311859437637878</c:v>
                </c:pt>
                <c:pt idx="198">
                  <c:v>26.319301683603385</c:v>
                </c:pt>
                <c:pt idx="199">
                  <c:v>27.356963093098187</c:v>
                </c:pt>
                <c:pt idx="200">
                  <c:v>28.424194262623132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623424"/>
        <c:axId val="459888896"/>
      </c:scatterChart>
      <c:valAx>
        <c:axId val="45962342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888896"/>
        <c:crosses val="autoZero"/>
        <c:crossBetween val="midCat"/>
      </c:valAx>
      <c:valAx>
        <c:axId val="45988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623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12064668387044"/>
          <c:y val="3.9325913587724616E-2"/>
          <c:w val="0.24407878426961335"/>
          <c:h val="0.1516853422168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08719137916309E-2"/>
          <c:y val="7.2829330875051626E-2"/>
          <c:w val="0.86468786208207971"/>
          <c:h val="0.85714520183714615"/>
        </c:manualLayout>
      </c:layout>
      <c:scatterChart>
        <c:scatterStyle val="smoothMarker"/>
        <c:varyColors val="0"/>
        <c:ser>
          <c:idx val="3"/>
          <c:order val="0"/>
          <c:tx>
            <c:v> T(s) Phase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178.85769464444903</c:v>
                </c:pt>
                <c:pt idx="1">
                  <c:v>178.80387332696949</c:v>
                </c:pt>
                <c:pt idx="2">
                  <c:v>178.74751754390738</c:v>
                </c:pt>
                <c:pt idx="3">
                  <c:v>178.68850815384369</c:v>
                </c:pt>
                <c:pt idx="4">
                  <c:v>178.62672044542691</c:v>
                </c:pt>
                <c:pt idx="5">
                  <c:v>178.56202388152909</c:v>
                </c:pt>
                <c:pt idx="6">
                  <c:v>178.4942818323274</c:v>
                </c:pt>
                <c:pt idx="7">
                  <c:v>178.42335129693464</c:v>
                </c:pt>
                <c:pt idx="8">
                  <c:v>178.34908261320476</c:v>
                </c:pt>
                <c:pt idx="9">
                  <c:v>178.27131915534648</c:v>
                </c:pt>
                <c:pt idx="10">
                  <c:v>178.18989701898894</c:v>
                </c:pt>
                <c:pt idx="11">
                  <c:v>178.10464469335821</c:v>
                </c:pt>
                <c:pt idx="12">
                  <c:v>178.01538272024365</c:v>
                </c:pt>
                <c:pt idx="13">
                  <c:v>177.92192333946048</c:v>
                </c:pt>
                <c:pt idx="14">
                  <c:v>177.82407012054824</c:v>
                </c:pt>
                <c:pt idx="15">
                  <c:v>177.72161758048779</c:v>
                </c:pt>
                <c:pt idx="16">
                  <c:v>177.61435078727106</c:v>
                </c:pt>
                <c:pt idx="17">
                  <c:v>177.50204494922244</c:v>
                </c:pt>
                <c:pt idx="18">
                  <c:v>177.38446499004613</c:v>
                </c:pt>
                <c:pt idx="19">
                  <c:v>177.26136510966742</c:v>
                </c:pt>
                <c:pt idx="20">
                  <c:v>177.13248833104333</c:v>
                </c:pt>
                <c:pt idx="21">
                  <c:v>176.99756603324911</c:v>
                </c:pt>
                <c:pt idx="22">
                  <c:v>176.85631747129904</c:v>
                </c:pt>
                <c:pt idx="23">
                  <c:v>176.70844928333753</c:v>
                </c:pt>
                <c:pt idx="24">
                  <c:v>176.55365498604746</c:v>
                </c:pt>
                <c:pt idx="25">
                  <c:v>176.39161445936335</c:v>
                </c:pt>
                <c:pt idx="26">
                  <c:v>176.22199342185991</c:v>
                </c:pt>
                <c:pt idx="27">
                  <c:v>176.04444289851261</c:v>
                </c:pt>
                <c:pt idx="28">
                  <c:v>175.85859868290135</c:v>
                </c:pt>
                <c:pt idx="29">
                  <c:v>175.66408079636264</c:v>
                </c:pt>
                <c:pt idx="30">
                  <c:v>175.46049294708857</c:v>
                </c:pt>
                <c:pt idx="31">
                  <c:v>175.24742199274061</c:v>
                </c:pt>
                <c:pt idx="32">
                  <c:v>175.02443741079048</c:v>
                </c:pt>
                <c:pt idx="33">
                  <c:v>174.79109078153718</c:v>
                </c:pt>
                <c:pt idx="34">
                  <c:v>174.5469152895823</c:v>
                </c:pt>
                <c:pt idx="35">
                  <c:v>174.29142525048971</c:v>
                </c:pt>
                <c:pt idx="36">
                  <c:v>174.02411567041605</c:v>
                </c:pt>
                <c:pt idx="37">
                  <c:v>173.74446184769576</c:v>
                </c:pt>
                <c:pt idx="38">
                  <c:v>173.45191902669478</c:v>
                </c:pt>
                <c:pt idx="39">
                  <c:v>173.14592211573742</c:v>
                </c:pt>
                <c:pt idx="40">
                  <c:v>172.82588548256103</c:v>
                </c:pt>
                <c:pt idx="41">
                  <c:v>172.49120284257006</c:v>
                </c:pt>
                <c:pt idx="42">
                  <c:v>172.14124725716283</c:v>
                </c:pt>
                <c:pt idx="43">
                  <c:v>171.77537126157475</c:v>
                </c:pt>
                <c:pt idx="44">
                  <c:v>171.39290714404197</c:v>
                </c:pt>
                <c:pt idx="45">
                  <c:v>170.99316740060638</c:v>
                </c:pt>
                <c:pt idx="46">
                  <c:v>170.57544539256315</c:v>
                </c:pt>
                <c:pt idx="47">
                  <c:v>170.139016236353</c:v>
                </c:pt>
                <c:pt idx="48">
                  <c:v>169.68313795859208</c:v>
                </c:pt>
                <c:pt idx="49">
                  <c:v>169.2070529518524</c:v>
                </c:pt>
                <c:pt idx="50">
                  <c:v>168.7099897696807</c:v>
                </c:pt>
                <c:pt idx="51">
                  <c:v>168.19116530207825</c:v>
                </c:pt>
                <c:pt idx="52">
                  <c:v>167.64978737511871</c:v>
                </c:pt>
                <c:pt idx="53">
                  <c:v>167.0850578204174</c:v>
                </c:pt>
                <c:pt idx="54">
                  <c:v>166.49617606155968</c:v>
                </c:pt>
                <c:pt idx="55">
                  <c:v>165.88234326514402</c:v>
                </c:pt>
                <c:pt idx="56">
                  <c:v>165.24276710348781</c:v>
                </c:pt>
                <c:pt idx="57">
                  <c:v>164.57666717398624</c:v>
                </c:pt>
                <c:pt idx="58">
                  <c:v>163.88328111622246</c:v>
                </c:pt>
                <c:pt idx="59">
                  <c:v>163.16187146181224</c:v>
                </c:pt>
                <c:pt idx="60">
                  <c:v>162.41173324319828</c:v>
                </c:pt>
                <c:pt idx="61">
                  <c:v>161.63220237574504</c:v>
                </c:pt>
                <c:pt idx="62">
                  <c:v>160.82266481211025</c:v>
                </c:pt>
                <c:pt idx="63">
                  <c:v>159.982566448591</c:v>
                </c:pt>
                <c:pt idx="64">
                  <c:v>159.11142373967377</c:v>
                </c:pt>
                <c:pt idx="65">
                  <c:v>158.20883494920815</c:v>
                </c:pt>
                <c:pt idx="66">
                  <c:v>157.27449193450707</c:v>
                </c:pt>
                <c:pt idx="67">
                  <c:v>156.3081923235585</c:v>
                </c:pt>
                <c:pt idx="68">
                  <c:v>155.30985190609127</c:v>
                </c:pt>
                <c:pt idx="69">
                  <c:v>154.27951701746719</c:v>
                </c:pt>
                <c:pt idx="70">
                  <c:v>153.21737665183369</c:v>
                </c:pt>
                <c:pt idx="71">
                  <c:v>152.12377399961125</c:v>
                </c:pt>
                <c:pt idx="72">
                  <c:v>150.99921706671756</c:v>
                </c:pt>
                <c:pt idx="73">
                  <c:v>149.84438800181209</c:v>
                </c:pt>
                <c:pt idx="74">
                  <c:v>148.66015073651803</c:v>
                </c:pt>
                <c:pt idx="75">
                  <c:v>147.44755653534867</c:v>
                </c:pt>
                <c:pt idx="76">
                  <c:v>146.20784706014467</c:v>
                </c:pt>
                <c:pt idx="77">
                  <c:v>144.9424545809828</c:v>
                </c:pt>
                <c:pt idx="78">
                  <c:v>143.65299901366163</c:v>
                </c:pt>
                <c:pt idx="79">
                  <c:v>142.34128153384145</c:v>
                </c:pt>
                <c:pt idx="80">
                  <c:v>141.00927460896932</c:v>
                </c:pt>
                <c:pt idx="81">
                  <c:v>139.65910839890259</c:v>
                </c:pt>
                <c:pt idx="82">
                  <c:v>138.29305360040735</c:v>
                </c:pt>
                <c:pt idx="83">
                  <c:v>136.91350094356562</c:v>
                </c:pt>
                <c:pt idx="84">
                  <c:v>135.52293768231959</c:v>
                </c:pt>
                <c:pt idx="85">
                  <c:v>134.12392154867354</c:v>
                </c:pt>
                <c:pt idx="86">
                  <c:v>132.71905275218765</c:v>
                </c:pt>
                <c:pt idx="87">
                  <c:v>131.31094469546613</c:v>
                </c:pt>
                <c:pt idx="88">
                  <c:v>129.90219413594556</c:v>
                </c:pt>
                <c:pt idx="89">
                  <c:v>128.49535155000336</c:v>
                </c:pt>
                <c:pt idx="90">
                  <c:v>127.09289244528078</c:v>
                </c:pt>
                <c:pt idx="91">
                  <c:v>125.69719032191179</c:v>
                </c:pt>
                <c:pt idx="92">
                  <c:v>124.31049190651945</c:v>
                </c:pt>
                <c:pt idx="93">
                  <c:v>122.93489517995519</c:v>
                </c:pt>
                <c:pt idx="94">
                  <c:v>121.57233059820393</c:v>
                </c:pt>
                <c:pt idx="95">
                  <c:v>120.22454577381228</c:v>
                </c:pt>
                <c:pt idx="96">
                  <c:v>118.89309375102405</c:v>
                </c:pt>
                <c:pt idx="97">
                  <c:v>117.57932487919976</c:v>
                </c:pt>
                <c:pt idx="98">
                  <c:v>116.28438217271241</c:v>
                </c:pt>
                <c:pt idx="99">
                  <c:v>115.00919994622305</c:v>
                </c:pt>
                <c:pt idx="100">
                  <c:v>113.7545054352792</c:v>
                </c:pt>
                <c:pt idx="101">
                  <c:v>112.520823055002</c:v>
                </c:pt>
                <c:pt idx="102">
                  <c:v>111.30848091397614</c:v>
                </c:pt>
                <c:pt idx="103">
                  <c:v>110.11761918494028</c:v>
                </c:pt>
                <c:pt idx="104">
                  <c:v>108.94819993596795</c:v>
                </c:pt>
                <c:pt idx="105">
                  <c:v>107.80001804256325</c:v>
                </c:pt>
                <c:pt idx="106">
                  <c:v>106.67271282911204</c:v>
                </c:pt>
                <c:pt idx="107">
                  <c:v>105.56578012419394</c:v>
                </c:pt>
                <c:pt idx="108">
                  <c:v>104.47858445530298</c:v>
                </c:pt>
                <c:pt idx="109">
                  <c:v>103.4103711519102</c:v>
                </c:pt>
                <c:pt idx="110">
                  <c:v>102.36027816932241</c:v>
                </c:pt>
                <c:pt idx="111">
                  <c:v>101.32734748774905</c:v>
                </c:pt>
                <c:pt idx="112">
                  <c:v>100.31053598016545</c:v>
                </c:pt>
                <c:pt idx="113">
                  <c:v>99.308725678128582</c:v>
                </c:pt>
                <c:pt idx="114">
                  <c:v>98.320733396241891</c:v>
                </c:pt>
                <c:pt idx="115">
                  <c:v>97.345319703334354</c:v>
                </c:pt>
                <c:pt idx="116">
                  <c:v>96.381197251669477</c:v>
                </c:pt>
                <c:pt idx="117">
                  <c:v>95.427038494918619</c:v>
                </c:pt>
                <c:pt idx="118">
                  <c:v>94.481482841494071</c:v>
                </c:pt>
                <c:pt idx="119">
                  <c:v>93.543143302608229</c:v>
                </c:pt>
                <c:pt idx="120">
                  <c:v>92.610612704441252</c:v>
                </c:pt>
                <c:pt idx="121">
                  <c:v>91.68246954151266</c:v>
                </c:pt>
                <c:pt idx="122">
                  <c:v>90.757283554080331</c:v>
                </c:pt>
                <c:pt idx="123">
                  <c:v>89.833621116448057</c:v>
                </c:pt>
                <c:pt idx="124">
                  <c:v>88.910050525693265</c:v>
                </c:pt>
                <c:pt idx="125">
                  <c:v>87.985147281687645</c:v>
                </c:pt>
                <c:pt idx="126">
                  <c:v>87.057499449464686</c:v>
                </c:pt>
                <c:pt idx="127">
                  <c:v>86.125713194009393</c:v>
                </c:pt>
                <c:pt idx="128">
                  <c:v>85.188418575331482</c:v>
                </c:pt>
                <c:pt idx="129">
                  <c:v>84.244275688101311</c:v>
                </c:pt>
                <c:pt idx="130">
                  <c:v>83.291981224948088</c:v>
                </c:pt>
                <c:pt idx="131">
                  <c:v>82.330275535470349</c:v>
                </c:pt>
                <c:pt idx="132">
                  <c:v>81.357950243747595</c:v>
                </c:pt>
                <c:pt idx="133">
                  <c:v>80.373856475277492</c:v>
                </c:pt>
                <c:pt idx="134">
                  <c:v>79.376913729394886</c:v>
                </c:pt>
                <c:pt idx="135">
                  <c:v>78.366119414964075</c:v>
                </c:pt>
                <c:pt idx="136">
                  <c:v>77.34055904508709</c:v>
                </c:pt>
                <c:pt idx="137">
                  <c:v>76.299417060495827</c:v>
                </c:pt>
                <c:pt idx="138">
                  <c:v>75.241988221032216</c:v>
                </c:pt>
                <c:pt idx="139">
                  <c:v>74.167689470247282</c:v>
                </c:pt>
                <c:pt idx="140">
                  <c:v>73.0760721400043</c:v>
                </c:pt>
                <c:pt idx="141">
                  <c:v>71.966834320738315</c:v>
                </c:pt>
                <c:pt idx="142">
                  <c:v>70.839833179780783</c:v>
                </c:pt>
                <c:pt idx="143">
                  <c:v>69.695096966480094</c:v>
                </c:pt>
                <c:pt idx="144">
                  <c:v>68.532836400749474</c:v>
                </c:pt>
                <c:pt idx="145">
                  <c:v>67.353455103693022</c:v>
                </c:pt>
                <c:pt idx="146">
                  <c:v>66.157558698005232</c:v>
                </c:pt>
                <c:pt idx="147">
                  <c:v>64.945962185168909</c:v>
                </c:pt>
                <c:pt idx="148">
                  <c:v>63.719695199352401</c:v>
                </c:pt>
                <c:pt idx="149">
                  <c:v>62.48000474755095</c:v>
                </c:pt>
                <c:pt idx="150">
                  <c:v>61.228355074526519</c:v>
                </c:pt>
                <c:pt idx="151">
                  <c:v>59.966424341335284</c:v>
                </c:pt>
                <c:pt idx="152">
                  <c:v>58.696097878289365</c:v>
                </c:pt>
                <c:pt idx="153">
                  <c:v>57.419457866163668</c:v>
                </c:pt>
                <c:pt idx="154">
                  <c:v>56.138769410723938</c:v>
                </c:pt>
                <c:pt idx="155">
                  <c:v>54.856463100733521</c:v>
                </c:pt>
                <c:pt idx="156">
                  <c:v>53.575114272465413</c:v>
                </c:pt>
                <c:pt idx="157">
                  <c:v>52.29741933687049</c:v>
                </c:pt>
                <c:pt idx="158">
                  <c:v>51.026169650789143</c:v>
                </c:pt>
                <c:pt idx="159">
                  <c:v>49.764223522506995</c:v>
                </c:pt>
                <c:pt idx="160">
                  <c:v>48.51447702692542</c:v>
                </c:pt>
                <c:pt idx="161">
                  <c:v>47.279834360358564</c:v>
                </c:pt>
                <c:pt idx="162">
                  <c:v>46.063178485338426</c:v>
                </c:pt>
                <c:pt idx="163">
                  <c:v>44.867342800193228</c:v>
                </c:pt>
                <c:pt idx="164">
                  <c:v>43.69508451762681</c:v>
                </c:pt>
                <c:pt idx="165">
                  <c:v>42.549060354813832</c:v>
                </c:pt>
                <c:pt idx="166">
                  <c:v>41.431805030407929</c:v>
                </c:pt>
                <c:pt idx="167">
                  <c:v>40.345712938947372</c:v>
                </c:pt>
                <c:pt idx="168">
                  <c:v>39.293023238499956</c:v>
                </c:pt>
                <c:pt idx="169">
                  <c:v>38.275808451519623</c:v>
                </c:pt>
                <c:pt idx="170">
                  <c:v>37.295966549233469</c:v>
                </c:pt>
                <c:pt idx="171">
                  <c:v>36.355216372947865</c:v>
                </c:pt>
                <c:pt idx="172">
                  <c:v>35.455096146122514</c:v>
                </c:pt>
                <c:pt idx="173">
                  <c:v>34.59696475192527</c:v>
                </c:pt>
                <c:pt idx="174">
                  <c:v>33.782005393475771</c:v>
                </c:pt>
                <c:pt idx="175">
                  <c:v>33.011231217751998</c:v>
                </c:pt>
                <c:pt idx="176">
                  <c:v>32.285492467625204</c:v>
                </c:pt>
                <c:pt idx="177">
                  <c:v>31.605484727188895</c:v>
                </c:pt>
                <c:pt idx="178">
                  <c:v>30.971757840456576</c:v>
                </c:pt>
                <c:pt idx="179">
                  <c:v>30.384725109409288</c:v>
                </c:pt>
                <c:pt idx="180">
                  <c:v>29.844672411120115</c:v>
                </c:pt>
                <c:pt idx="181">
                  <c:v>29.351766912460988</c:v>
                </c:pt>
                <c:pt idx="182">
                  <c:v>28.90606510225544</c:v>
                </c:pt>
                <c:pt idx="183">
                  <c:v>28.507519902825237</c:v>
                </c:pt>
                <c:pt idx="184">
                  <c:v>28.155986664283319</c:v>
                </c:pt>
                <c:pt idx="185">
                  <c:v>27.851227884830223</c:v>
                </c:pt>
                <c:pt idx="186">
                  <c:v>27.592916538298596</c:v>
                </c:pt>
                <c:pt idx="187">
                  <c:v>27.380637926290603</c:v>
                </c:pt>
                <c:pt idx="188">
                  <c:v>27.213890006764188</c:v>
                </c:pt>
                <c:pt idx="189">
                  <c:v>27.092082184410714</c:v>
                </c:pt>
                <c:pt idx="190">
                  <c:v>27.014532581299136</c:v>
                </c:pt>
                <c:pt idx="191">
                  <c:v>26.980463839810483</c:v>
                </c:pt>
                <c:pt idx="192">
                  <c:v>26.988997544525603</c:v>
                </c:pt>
                <c:pt idx="193">
                  <c:v>27.039147386075172</c:v>
                </c:pt>
                <c:pt idx="194">
                  <c:v>27.129811228378742</c:v>
                </c:pt>
                <c:pt idx="195">
                  <c:v>27.259762281265068</c:v>
                </c:pt>
                <c:pt idx="196">
                  <c:v>27.427639622895526</c:v>
                </c:pt>
                <c:pt idx="197">
                  <c:v>27.631938359959577</c:v>
                </c:pt>
                <c:pt idx="198">
                  <c:v>27.870999756982712</c:v>
                </c:pt>
                <c:pt idx="199">
                  <c:v>28.143001707579572</c:v>
                </c:pt>
                <c:pt idx="200">
                  <c:v>28.445949957678238</c:v>
                </c:pt>
              </c:numCache>
            </c:numRef>
          </c:yVal>
          <c:smooth val="1"/>
        </c:ser>
        <c:ser>
          <c:idx val="0"/>
          <c:order val="1"/>
          <c:tx>
            <c:v>Phase of 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Compensation!$AY$64:$AY$264</c:f>
              <c:numCache>
                <c:formatCode>General</c:formatCode>
                <c:ptCount val="201"/>
                <c:pt idx="0">
                  <c:v>120.36103917570969</c:v>
                </c:pt>
                <c:pt idx="1">
                  <c:v>119.36480065666214</c:v>
                </c:pt>
                <c:pt idx="2">
                  <c:v>118.40161856646394</c:v>
                </c:pt>
                <c:pt idx="3">
                  <c:v>117.47235763401447</c:v>
                </c:pt>
                <c:pt idx="4">
                  <c:v>116.57771958704038</c:v>
                </c:pt>
                <c:pt idx="5">
                  <c:v>115.71825395027879</c:v>
                </c:pt>
                <c:pt idx="6">
                  <c:v>114.89436989428886</c:v>
                </c:pt>
                <c:pt idx="7">
                  <c:v>114.10634878062775</c:v>
                </c:pt>
                <c:pt idx="8">
                  <c:v>113.35435708472251</c:v>
                </c:pt>
                <c:pt idx="9">
                  <c:v>112.63845941799181</c:v>
                </c:pt>
                <c:pt idx="10">
                  <c:v>111.95863141295504</c:v>
                </c:pt>
                <c:pt idx="11">
                  <c:v>111.31477227708488</c:v>
                </c:pt>
                <c:pt idx="12">
                  <c:v>110.70671686129559</c:v>
                </c:pt>
                <c:pt idx="13">
                  <c:v>110.13424712604042</c:v>
                </c:pt>
                <c:pt idx="14">
                  <c:v>109.59710292121409</c:v>
                </c:pt>
                <c:pt idx="15">
                  <c:v>109.09499202499092</c:v>
                </c:pt>
                <c:pt idx="16">
                  <c:v>108.62759941127099</c:v>
                </c:pt>
                <c:pt idx="17">
                  <c:v>108.19459573559463</c:v>
                </c:pt>
                <c:pt idx="18">
                  <c:v>107.79564504551766</c:v>
                </c:pt>
                <c:pt idx="19">
                  <c:v>107.43041173381158</c:v>
                </c:pt>
                <c:pt idx="20">
                  <c:v>107.09856676191011</c:v>
                </c:pt>
                <c:pt idx="21">
                  <c:v>106.79979318716796</c:v>
                </c:pt>
                <c:pt idx="22">
                  <c:v>106.53379103116124</c:v>
                </c:pt>
                <c:pt idx="23">
                  <c:v>106.30028152784338</c:v>
                </c:pt>
                <c:pt idx="24">
                  <c:v>106.09901079023744</c:v>
                </c:pt>
                <c:pt idx="25">
                  <c:v>105.92975293282508</c:v>
                </c:pt>
                <c:pt idx="26">
                  <c:v>105.79231268416504</c:v>
                </c:pt>
                <c:pt idx="27">
                  <c:v>105.68652752077617</c:v>
                </c:pt>
                <c:pt idx="28">
                  <c:v>105.61226934916685</c:v>
                </c:pt>
                <c:pt idx="29">
                  <c:v>105.56944575822712</c:v>
                </c:pt>
                <c:pt idx="30">
                  <c:v>105.55800085917974</c:v>
                </c:pt>
                <c:pt idx="31">
                  <c:v>105.57791572500619</c:v>
                </c:pt>
                <c:pt idx="32">
                  <c:v>105.62920843582606</c:v>
                </c:pt>
                <c:pt idx="33">
                  <c:v>105.71193373117917</c:v>
                </c:pt>
                <c:pt idx="34">
                  <c:v>105.82618226462401</c:v>
                </c:pt>
                <c:pt idx="35">
                  <c:v>105.97207945058761</c:v>
                </c:pt>
                <c:pt idx="36">
                  <c:v>106.14978388805262</c:v>
                </c:pt>
                <c:pt idx="37">
                  <c:v>106.35948534053689</c:v>
                </c:pt>
                <c:pt idx="38">
                  <c:v>106.60140224701972</c:v>
                </c:pt>
                <c:pt idx="39">
                  <c:v>106.87577873410352</c:v>
                </c:pt>
                <c:pt idx="40">
                  <c:v>107.18288109594312</c:v>
                </c:pt>
                <c:pt idx="41">
                  <c:v>107.52299370550867</c:v>
                </c:pt>
                <c:pt idx="42">
                  <c:v>107.89641431878641</c:v>
                </c:pt>
                <c:pt idx="43">
                  <c:v>108.30344873285094</c:v>
                </c:pt>
                <c:pt idx="44">
                  <c:v>108.744404759663</c:v>
                </c:pt>
                <c:pt idx="45">
                  <c:v>109.21958548030281</c:v>
                </c:pt>
                <c:pt idx="46">
                  <c:v>109.72928174954632</c:v>
                </c:pt>
                <c:pt idx="47">
                  <c:v>110.27376392863601</c:v>
                </c:pt>
                <c:pt idx="48">
                  <c:v>110.85327283521815</c:v>
                </c:pt>
                <c:pt idx="49">
                  <c:v>111.46800991413129</c:v>
                </c:pt>
                <c:pt idx="50">
                  <c:v>112.11812665141426</c:v>
                </c:pt>
                <c:pt idx="51">
                  <c:v>112.80371327683623</c:v>
                </c:pt>
                <c:pt idx="52">
                  <c:v>113.52478682758793</c:v>
                </c:pt>
                <c:pt idx="53">
                  <c:v>114.28127867747011</c:v>
                </c:pt>
                <c:pt idx="54">
                  <c:v>115.07302167165675</c:v>
                </c:pt>
                <c:pt idx="55">
                  <c:v>115.89973704625433</c:v>
                </c:pt>
                <c:pt idx="56">
                  <c:v>116.7610213533664</c:v>
                </c:pt>
                <c:pt idx="57">
                  <c:v>117.65633365472711</c:v>
                </c:pt>
                <c:pt idx="58">
                  <c:v>118.58498328816412</c:v>
                </c:pt>
                <c:pt idx="59">
                  <c:v>119.546118548761</c:v>
                </c:pt>
                <c:pt idx="60">
                  <c:v>120.53871665767662</c:v>
                </c:pt>
                <c:pt idx="61">
                  <c:v>121.56157541297176</c:v>
                </c:pt>
                <c:pt idx="62">
                  <c:v>122.61330692513647</c:v>
                </c:pt>
                <c:pt idx="63">
                  <c:v>123.69233383210263</c:v>
                </c:pt>
                <c:pt idx="64">
                  <c:v>124.79688836160685</c:v>
                </c:pt>
                <c:pt idx="65">
                  <c:v>125.92501456088087</c:v>
                </c:pt>
                <c:pt idx="66">
                  <c:v>127.07457394393691</c:v>
                </c:pt>
                <c:pt idx="67">
                  <c:v>128.24325471592945</c:v>
                </c:pt>
                <c:pt idx="68">
                  <c:v>129.42858462450249</c:v>
                </c:pt>
                <c:pt idx="69">
                  <c:v>130.62794736393477</c:v>
                </c:pt>
                <c:pt idx="70">
                  <c:v>131.83860232508232</c:v>
                </c:pt>
                <c:pt idx="71">
                  <c:v>133.0577073499089</c:v>
                </c:pt>
                <c:pt idx="72">
                  <c:v>134.28234402192308</c:v>
                </c:pt>
                <c:pt idx="73">
                  <c:v>135.50954491147218</c:v>
                </c:pt>
                <c:pt idx="74">
                  <c:v>136.73632210542689</c:v>
                </c:pt>
                <c:pt idx="75">
                  <c:v>137.95969629071703</c:v>
                </c:pt>
                <c:pt idx="76">
                  <c:v>139.17672563503828</c:v>
                </c:pt>
                <c:pt idx="77">
                  <c:v>140.38453371768901</c:v>
                </c:pt>
                <c:pt idx="78">
                  <c:v>141.58033580827038</c:v>
                </c:pt>
                <c:pt idx="79">
                  <c:v>142.76146286749966</c:v>
                </c:pt>
                <c:pt idx="80">
                  <c:v>143.9253827470408</c:v>
                </c:pt>
                <c:pt idx="81">
                  <c:v>145.06971818671241</c:v>
                </c:pt>
                <c:pt idx="82">
                  <c:v>146.19226133958034</c:v>
                </c:pt>
                <c:pt idx="83">
                  <c:v>147.29098468981977</c:v>
                </c:pt>
                <c:pt idx="84">
                  <c:v>148.36404835715643</c:v>
                </c:pt>
                <c:pt idx="85">
                  <c:v>149.40980389859936</c:v>
                </c:pt>
                <c:pt idx="86">
                  <c:v>150.42679481798379</c:v>
                </c:pt>
                <c:pt idx="87">
                  <c:v>151.41375407347678</c:v>
                </c:pt>
                <c:pt idx="88">
                  <c:v>152.36959893107445</c:v>
                </c:pt>
                <c:pt idx="89">
                  <c:v>153.29342354852037</c:v>
                </c:pt>
                <c:pt idx="90">
                  <c:v>154.18448969039375</c:v>
                </c:pt>
                <c:pt idx="91">
                  <c:v>155.04221597382772</c:v>
                </c:pt>
                <c:pt idx="92">
                  <c:v>155.86616602846385</c:v>
                </c:pt>
                <c:pt idx="93">
                  <c:v>156.65603592712338</c:v>
                </c:pt>
                <c:pt idx="94">
                  <c:v>157.41164120857707</c:v>
                </c:pt>
                <c:pt idx="95">
                  <c:v>158.13290377379309</c:v>
                </c:pt>
                <c:pt idx="96">
                  <c:v>158.81983889477451</c:v>
                </c:pt>
                <c:pt idx="97">
                  <c:v>159.47254253282395</c:v>
                </c:pt>
                <c:pt idx="98">
                  <c:v>160.09117912246691</c:v>
                </c:pt>
                <c:pt idx="99">
                  <c:v>160.67596993962093</c:v>
                </c:pt>
                <c:pt idx="100">
                  <c:v>161.2271821386968</c:v>
                </c:pt>
                <c:pt idx="101">
                  <c:v>161.74511851363812</c:v>
                </c:pt>
                <c:pt idx="102">
                  <c:v>162.23010801259525</c:v>
                </c:pt>
                <c:pt idx="103">
                  <c:v>162.68249701491905</c:v>
                </c:pt>
                <c:pt idx="104">
                  <c:v>163.10264136220212</c:v>
                </c:pt>
                <c:pt idx="105">
                  <c:v>163.49089912186591</c:v>
                </c:pt>
                <c:pt idx="106">
                  <c:v>163.84762405186723</c:v>
                </c:pt>
                <c:pt idx="107">
                  <c:v>164.17315972805341</c:v>
                </c:pt>
                <c:pt idx="108">
                  <c:v>164.46783429109857</c:v>
                </c:pt>
                <c:pt idx="109">
                  <c:v>164.73195576739818</c:v>
                </c:pt>
                <c:pt idx="110">
                  <c:v>164.96580791740624</c:v>
                </c:pt>
                <c:pt idx="111">
                  <c:v>165.16964656533241</c:v>
                </c:pt>
                <c:pt idx="112">
                  <c:v>165.34369636559222</c:v>
                </c:pt>
                <c:pt idx="113">
                  <c:v>165.48814796366403</c:v>
                </c:pt>
                <c:pt idx="114">
                  <c:v>165.6031555118501</c:v>
                </c:pt>
                <c:pt idx="115">
                  <c:v>165.68883450371214</c:v>
                </c:pt>
                <c:pt idx="116">
                  <c:v>165.74525989449154</c:v>
                </c:pt>
                <c:pt idx="117">
                  <c:v>165.77246447856913</c:v>
                </c:pt>
                <c:pt idx="118">
                  <c:v>165.7704374988584</c:v>
                </c:pt>
                <c:pt idx="119">
                  <c:v>165.73912346692981</c:v>
                </c:pt>
                <c:pt idx="120">
                  <c:v>165.67842117658657</c:v>
                </c:pt>
                <c:pt idx="121">
                  <c:v>165.5881828975356</c:v>
                </c:pt>
                <c:pt idx="122">
                  <c:v>165.46821373971144</c:v>
                </c:pt>
                <c:pt idx="123">
                  <c:v>165.31827118272182</c:v>
                </c:pt>
                <c:pt idx="124">
                  <c:v>165.1380647687815</c:v>
                </c:pt>
                <c:pt idx="125">
                  <c:v>164.92725596141565</c:v>
                </c:pt>
                <c:pt idx="126">
                  <c:v>164.68545817613122</c:v>
                </c:pt>
                <c:pt idx="127">
                  <c:v>164.4122369932042</c:v>
                </c:pt>
                <c:pt idx="128">
                  <c:v>164.1071105667024</c:v>
                </c:pt>
                <c:pt idx="129">
                  <c:v>163.76955024785335</c:v>
                </c:pt>
                <c:pt idx="130">
                  <c:v>163.39898144488751</c:v>
                </c:pt>
                <c:pt idx="131">
                  <c:v>162.99478474546984</c:v>
                </c:pt>
                <c:pt idx="132">
                  <c:v>162.55629733179467</c:v>
                </c:pt>
                <c:pt idx="133">
                  <c:v>162.08281472224635</c:v>
                </c:pt>
                <c:pt idx="134">
                  <c:v>161.57359287718486</c:v>
                </c:pt>
                <c:pt idx="135">
                  <c:v>161.02785070976739</c:v>
                </c:pt>
                <c:pt idx="136">
                  <c:v>160.44477304562255</c:v>
                </c:pt>
                <c:pt idx="137">
                  <c:v>159.82351407750349</c:v>
                </c:pt>
                <c:pt idx="138">
                  <c:v>159.16320136250539</c:v>
                </c:pt>
                <c:pt idx="139">
                  <c:v>158.46294040982357</c:v>
                </c:pt>
                <c:pt idx="140">
                  <c:v>157.7218199060145</c:v>
                </c:pt>
                <c:pt idx="141">
                  <c:v>156.93891762199257</c:v>
                </c:pt>
                <c:pt idx="142">
                  <c:v>156.11330704113334</c:v>
                </c:pt>
                <c:pt idx="143">
                  <c:v>155.24406474049286</c:v>
                </c:pt>
                <c:pt idx="144">
                  <c:v>154.33027854681654</c:v>
                </c:pt>
                <c:pt idx="145">
                  <c:v>153.37105647533809</c:v>
                </c:pt>
                <c:pt idx="146">
                  <c:v>152.36553644193037</c:v>
                </c:pt>
                <c:pt idx="147">
                  <c:v>151.31289671771523</c:v>
                </c:pt>
                <c:pt idx="148">
                  <c:v>150.21236706955008</c:v>
                </c:pt>
                <c:pt idx="149">
                  <c:v>149.06324049994416</c:v>
                </c:pt>
                <c:pt idx="150">
                  <c:v>147.86488546615996</c:v>
                </c:pt>
                <c:pt idx="151">
                  <c:v>146.61675842111822</c:v>
                </c:pt>
                <c:pt idx="152">
                  <c:v>145.31841647924767</c:v>
                </c:pt>
                <c:pt idx="153">
                  <c:v>143.9695299700042</c:v>
                </c:pt>
                <c:pt idx="154">
                  <c:v>142.56989460235553</c:v>
                </c:pt>
                <c:pt idx="155">
                  <c:v>141.11944292745937</c:v>
                </c:pt>
                <c:pt idx="156">
                  <c:v>139.61825475687499</c:v>
                </c:pt>
                <c:pt idx="157">
                  <c:v>138.06656617309099</c:v>
                </c:pt>
                <c:pt idx="158">
                  <c:v>136.46477676120955</c:v>
                </c:pt>
                <c:pt idx="159">
                  <c:v>134.81345469850297</c:v>
                </c:pt>
                <c:pt idx="160">
                  <c:v>133.11333936504491</c:v>
                </c:pt>
                <c:pt idx="161">
                  <c:v>131.36534118575156</c:v>
                </c:pt>
                <c:pt idx="162">
                  <c:v>129.57053848285315</c:v>
                </c:pt>
                <c:pt idx="163">
                  <c:v>127.73017120750707</c:v>
                </c:pt>
                <c:pt idx="164">
                  <c:v>125.845631527687</c:v>
                </c:pt>
                <c:pt idx="165">
                  <c:v>123.91845137255851</c:v>
                </c:pt>
                <c:pt idx="166">
                  <c:v>121.95028716536153</c:v>
                </c:pt>
                <c:pt idx="167">
                  <c:v>119.94290211007491</c:v>
                </c:pt>
                <c:pt idx="168">
                  <c:v>117.89814652332817</c:v>
                </c:pt>
                <c:pt idx="169">
                  <c:v>115.81793681350098</c:v>
                </c:pt>
                <c:pt idx="170">
                  <c:v>113.70423379523385</c:v>
                </c:pt>
                <c:pt idx="171">
                  <c:v>111.55902108257958</c:v>
                </c:pt>
                <c:pt idx="172">
                  <c:v>109.38428432239034</c:v>
                </c:pt>
                <c:pt idx="173">
                  <c:v>107.18199200856063</c:v>
                </c:pt>
                <c:pt idx="174">
                  <c:v>104.9540785572546</c:v>
                </c:pt>
                <c:pt idx="175">
                  <c:v>102.70243022607768</c:v>
                </c:pt>
                <c:pt idx="176">
                  <c:v>100.42887433144536</c:v>
                </c:pt>
                <c:pt idx="177">
                  <c:v>98.135172065449211</c:v>
                </c:pt>
                <c:pt idx="178">
                  <c:v>95.823015044892628</c:v>
                </c:pt>
                <c:pt idx="179">
                  <c:v>93.494025550111147</c:v>
                </c:pt>
                <c:pt idx="180">
                  <c:v>91.149760238888703</c:v>
                </c:pt>
                <c:pt idx="181">
                  <c:v>88.791716959781198</c:v>
                </c:pt>
                <c:pt idx="182">
                  <c:v>86.421344147037303</c:v>
                </c:pt>
                <c:pt idx="183">
                  <c:v>84.040052162210856</c:v>
                </c:pt>
                <c:pt idx="184">
                  <c:v>81.649225860385471</c:v>
                </c:pt>
                <c:pt idx="185">
                  <c:v>79.250237604997949</c:v>
                </c:pt>
                <c:pt idx="186">
                  <c:v>76.844459936640206</c:v>
                </c:pt>
                <c:pt idx="187">
                  <c:v>74.433277118609141</c:v>
                </c:pt>
                <c:pt idx="188">
                  <c:v>72.018094834824453</c:v>
                </c:pt>
                <c:pt idx="189">
                  <c:v>69.60034740208927</c:v>
                </c:pt>
                <c:pt idx="190">
                  <c:v>67.181501975361655</c:v>
                </c:pt>
                <c:pt idx="191">
                  <c:v>64.763059366977103</c:v>
                </c:pt>
                <c:pt idx="192">
                  <c:v>62.346551262588548</c:v>
                </c:pt>
                <c:pt idx="193">
                  <c:v>59.933533790547969</c:v>
                </c:pt>
                <c:pt idx="194">
                  <c:v>57.525577579038512</c:v>
                </c:pt>
                <c:pt idx="195">
                  <c:v>55.124254607376159</c:v>
                </c:pt>
                <c:pt idx="196">
                  <c:v>52.731122315237641</c:v>
                </c:pt>
                <c:pt idx="197">
                  <c:v>50.347705567484269</c:v>
                </c:pt>
                <c:pt idx="198">
                  <c:v>47.975477175305883</c:v>
                </c:pt>
                <c:pt idx="199">
                  <c:v>45.615837741206661</c:v>
                </c:pt>
                <c:pt idx="200">
                  <c:v>43.270095622830809</c:v>
                </c:pt>
              </c:numCache>
            </c:numRef>
          </c:yVal>
          <c:smooth val="1"/>
        </c:ser>
        <c:ser>
          <c:idx val="1"/>
          <c:order val="2"/>
          <c:tx>
            <c:v> T(s) with Comp.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119.21873382015872</c:v>
                </c:pt>
                <c:pt idx="1">
                  <c:v>118.16867398363173</c:v>
                </c:pt>
                <c:pt idx="2">
                  <c:v>117.14913611037119</c:v>
                </c:pt>
                <c:pt idx="3">
                  <c:v>116.1608657878582</c:v>
                </c:pt>
                <c:pt idx="4">
                  <c:v>115.20444003246723</c:v>
                </c:pt>
                <c:pt idx="5">
                  <c:v>114.28027783180782</c:v>
                </c:pt>
                <c:pt idx="6">
                  <c:v>113.38865172661622</c:v>
                </c:pt>
                <c:pt idx="7">
                  <c:v>112.52970007756235</c:v>
                </c:pt>
                <c:pt idx="8">
                  <c:v>111.70343969792727</c:v>
                </c:pt>
                <c:pt idx="9">
                  <c:v>110.90977857333824</c:v>
                </c:pt>
                <c:pt idx="10">
                  <c:v>110.148528431944</c:v>
                </c:pt>
                <c:pt idx="11">
                  <c:v>109.41941697044315</c:v>
                </c:pt>
                <c:pt idx="12">
                  <c:v>108.72209958153914</c:v>
                </c:pt>
                <c:pt idx="13">
                  <c:v>108.05617046550093</c:v>
                </c:pt>
                <c:pt idx="14">
                  <c:v>107.42117304176222</c:v>
                </c:pt>
                <c:pt idx="15">
                  <c:v>106.8166096054788</c:v>
                </c:pt>
                <c:pt idx="16">
                  <c:v>106.241950198542</c:v>
                </c:pt>
                <c:pt idx="17">
                  <c:v>105.69664068481701</c:v>
                </c:pt>
                <c:pt idx="18">
                  <c:v>105.18011003556387</c:v>
                </c:pt>
                <c:pt idx="19">
                  <c:v>104.69177684347903</c:v>
                </c:pt>
                <c:pt idx="20">
                  <c:v>104.23105509295343</c:v>
                </c:pt>
                <c:pt idx="21">
                  <c:v>103.79735922041712</c:v>
                </c:pt>
                <c:pt idx="22">
                  <c:v>103.39010850246035</c:v>
                </c:pt>
                <c:pt idx="23">
                  <c:v>103.00873081118088</c:v>
                </c:pt>
                <c:pt idx="24">
                  <c:v>102.65266577628486</c:v>
                </c:pt>
                <c:pt idx="25">
                  <c:v>102.32136739218839</c:v>
                </c:pt>
                <c:pt idx="26">
                  <c:v>102.01430610602485</c:v>
                </c:pt>
                <c:pt idx="27">
                  <c:v>101.73097041928878</c:v>
                </c:pt>
                <c:pt idx="28">
                  <c:v>101.4708680320682</c:v>
                </c:pt>
                <c:pt idx="29">
                  <c:v>101.23352655458973</c:v>
                </c:pt>
                <c:pt idx="30">
                  <c:v>101.01849380626834</c:v>
                </c:pt>
                <c:pt idx="31">
                  <c:v>100.82533771774679</c:v>
                </c:pt>
                <c:pt idx="32">
                  <c:v>100.65364584661656</c:v>
                </c:pt>
                <c:pt idx="33">
                  <c:v>100.50302451271638</c:v>
                </c:pt>
                <c:pt idx="34">
                  <c:v>100.37309755420631</c:v>
                </c:pt>
                <c:pt idx="35">
                  <c:v>100.26350470107727</c:v>
                </c:pt>
                <c:pt idx="36">
                  <c:v>100.17389955846872</c:v>
                </c:pt>
                <c:pt idx="37">
                  <c:v>100.10394718823269</c:v>
                </c:pt>
                <c:pt idx="38">
                  <c:v>100.05332127371447</c:v>
                </c:pt>
                <c:pt idx="39">
                  <c:v>100.02170084984094</c:v>
                </c:pt>
                <c:pt idx="40">
                  <c:v>100.00876657850417</c:v>
                </c:pt>
                <c:pt idx="41">
                  <c:v>100.01419654807876</c:v>
                </c:pt>
                <c:pt idx="42">
                  <c:v>100.0376615759493</c:v>
                </c:pt>
                <c:pt idx="43">
                  <c:v>100.07881999442574</c:v>
                </c:pt>
                <c:pt idx="44">
                  <c:v>100.13731190370498</c:v>
                </c:pt>
                <c:pt idx="45">
                  <c:v>100.21275288090918</c:v>
                </c:pt>
                <c:pt idx="46">
                  <c:v>100.30472714210946</c:v>
                </c:pt>
                <c:pt idx="47">
                  <c:v>100.41278016498904</c:v>
                </c:pt>
                <c:pt idx="48">
                  <c:v>100.53641079381026</c:v>
                </c:pt>
                <c:pt idx="49">
                  <c:v>100.67506286598376</c:v>
                </c:pt>
                <c:pt idx="50">
                  <c:v>100.82811642109489</c:v>
                </c:pt>
                <c:pt idx="51">
                  <c:v>100.99487857891452</c:v>
                </c:pt>
                <c:pt idx="52">
                  <c:v>101.17457420270667</c:v>
                </c:pt>
                <c:pt idx="53">
                  <c:v>101.36633649788757</c:v>
                </c:pt>
                <c:pt idx="54">
                  <c:v>101.56919773321634</c:v>
                </c:pt>
                <c:pt idx="55">
                  <c:v>101.78208031139832</c:v>
                </c:pt>
                <c:pt idx="56">
                  <c:v>102.00378845685421</c:v>
                </c:pt>
                <c:pt idx="57">
                  <c:v>102.23300082871341</c:v>
                </c:pt>
                <c:pt idx="58">
                  <c:v>102.46826440438657</c:v>
                </c:pt>
                <c:pt idx="59">
                  <c:v>102.70799001057323</c:v>
                </c:pt>
                <c:pt idx="60">
                  <c:v>102.95044990087479</c:v>
                </c:pt>
                <c:pt idx="61">
                  <c:v>103.19377778871666</c:v>
                </c:pt>
                <c:pt idx="62">
                  <c:v>103.43597173724672</c:v>
                </c:pt>
                <c:pt idx="63">
                  <c:v>103.67490028069368</c:v>
                </c:pt>
                <c:pt idx="64">
                  <c:v>103.90831210128053</c:v>
                </c:pt>
                <c:pt idx="65">
                  <c:v>104.13384951008895</c:v>
                </c:pt>
                <c:pt idx="66">
                  <c:v>104.34906587844384</c:v>
                </c:pt>
                <c:pt idx="67">
                  <c:v>104.55144703948802</c:v>
                </c:pt>
                <c:pt idx="68">
                  <c:v>104.73843653059362</c:v>
                </c:pt>
                <c:pt idx="69">
                  <c:v>104.90746438140189</c:v>
                </c:pt>
                <c:pt idx="70">
                  <c:v>105.05597897691587</c:v>
                </c:pt>
                <c:pt idx="71">
                  <c:v>105.18148134952028</c:v>
                </c:pt>
                <c:pt idx="72">
                  <c:v>105.28156108864057</c:v>
                </c:pt>
                <c:pt idx="73">
                  <c:v>105.35393291328442</c:v>
                </c:pt>
                <c:pt idx="74">
                  <c:v>105.39647284194511</c:v>
                </c:pt>
                <c:pt idx="75">
                  <c:v>105.40725282606573</c:v>
                </c:pt>
                <c:pt idx="76">
                  <c:v>105.38457269518314</c:v>
                </c:pt>
                <c:pt idx="77">
                  <c:v>105.32698829867198</c:v>
                </c:pt>
                <c:pt idx="78">
                  <c:v>105.23333482193192</c:v>
                </c:pt>
                <c:pt idx="79">
                  <c:v>105.10274440134086</c:v>
                </c:pt>
                <c:pt idx="80">
                  <c:v>104.93465735601006</c:v>
                </c:pt>
                <c:pt idx="81">
                  <c:v>104.72882658561508</c:v>
                </c:pt>
                <c:pt idx="82">
                  <c:v>104.48531493998753</c:v>
                </c:pt>
                <c:pt idx="83">
                  <c:v>104.20448563338545</c:v>
                </c:pt>
                <c:pt idx="84">
                  <c:v>103.88698603947606</c:v>
                </c:pt>
                <c:pt idx="85">
                  <c:v>103.53372544727306</c:v>
                </c:pt>
                <c:pt idx="86">
                  <c:v>103.14584757017127</c:v>
                </c:pt>
                <c:pt idx="87">
                  <c:v>102.72469876894291</c:v>
                </c:pt>
                <c:pt idx="88">
                  <c:v>102.27179306702004</c:v>
                </c:pt>
                <c:pt idx="89">
                  <c:v>101.78877509852376</c:v>
                </c:pt>
                <c:pt idx="90">
                  <c:v>101.27738213567434</c:v>
                </c:pt>
                <c:pt idx="91">
                  <c:v>100.73940629573947</c:v>
                </c:pt>
                <c:pt idx="92">
                  <c:v>100.1766579349835</c:v>
                </c:pt>
                <c:pt idx="93">
                  <c:v>99.59093110707876</c:v>
                </c:pt>
                <c:pt idx="94">
                  <c:v>98.983971806780872</c:v>
                </c:pt>
                <c:pt idx="95">
                  <c:v>98.357449547605512</c:v>
                </c:pt>
                <c:pt idx="96">
                  <c:v>97.712932645798688</c:v>
                </c:pt>
                <c:pt idx="97">
                  <c:v>97.051867412023711</c:v>
                </c:pt>
                <c:pt idx="98">
                  <c:v>96.375561295179324</c:v>
                </c:pt>
                <c:pt idx="99">
                  <c:v>95.685169885843891</c:v>
                </c:pt>
                <c:pt idx="100">
                  <c:v>94.981687573975861</c:v>
                </c:pt>
                <c:pt idx="101">
                  <c:v>94.265941568640073</c:v>
                </c:pt>
                <c:pt idx="102">
                  <c:v>93.538588926571407</c:v>
                </c:pt>
                <c:pt idx="103">
                  <c:v>92.800116199859275</c:v>
                </c:pt>
                <c:pt idx="104">
                  <c:v>92.050841298170056</c:v>
                </c:pt>
                <c:pt idx="105">
                  <c:v>91.290917164429075</c:v>
                </c:pt>
                <c:pt idx="106">
                  <c:v>90.520336880979301</c:v>
                </c:pt>
                <c:pt idx="107">
                  <c:v>89.738939852247398</c:v>
                </c:pt>
                <c:pt idx="108">
                  <c:v>88.946418746401463</c:v>
                </c:pt>
                <c:pt idx="109">
                  <c:v>88.142326919308232</c:v>
                </c:pt>
                <c:pt idx="110">
                  <c:v>87.326086086728651</c:v>
                </c:pt>
                <c:pt idx="111">
                  <c:v>86.496994053081366</c:v>
                </c:pt>
                <c:pt idx="112">
                  <c:v>85.654232345757606</c:v>
                </c:pt>
                <c:pt idx="113">
                  <c:v>84.796873641792629</c:v>
                </c:pt>
                <c:pt idx="114">
                  <c:v>83.923888908091982</c:v>
                </c:pt>
                <c:pt idx="115">
                  <c:v>83.034154207046555</c:v>
                </c:pt>
                <c:pt idx="116">
                  <c:v>82.126457146161002</c:v>
                </c:pt>
                <c:pt idx="117">
                  <c:v>81.199502973487697</c:v>
                </c:pt>
                <c:pt idx="118">
                  <c:v>80.251920340352484</c:v>
                </c:pt>
                <c:pt idx="119">
                  <c:v>79.282266769538069</c:v>
                </c:pt>
                <c:pt idx="120">
                  <c:v>78.289033881027891</c:v>
                </c:pt>
                <c:pt idx="121">
                  <c:v>77.270652439048234</c:v>
                </c:pt>
                <c:pt idx="122">
                  <c:v>76.225497293791747</c:v>
                </c:pt>
                <c:pt idx="123">
                  <c:v>75.15189229916993</c:v>
                </c:pt>
                <c:pt idx="124">
                  <c:v>74.048115294474755</c:v>
                </c:pt>
                <c:pt idx="125">
                  <c:v>72.912403243103341</c:v>
                </c:pt>
                <c:pt idx="126">
                  <c:v>71.742957625595849</c:v>
                </c:pt>
                <c:pt idx="127">
                  <c:v>70.537950187213639</c:v>
                </c:pt>
                <c:pt idx="128">
                  <c:v>69.295529142033786</c:v>
                </c:pt>
                <c:pt idx="129">
                  <c:v>68.013825935954642</c:v>
                </c:pt>
                <c:pt idx="130">
                  <c:v>66.690962669835685</c:v>
                </c:pt>
                <c:pt idx="131">
                  <c:v>65.325060280940136</c:v>
                </c:pt>
                <c:pt idx="132">
                  <c:v>63.914247575542305</c:v>
                </c:pt>
                <c:pt idx="133">
                  <c:v>62.456671197523818</c:v>
                </c:pt>
                <c:pt idx="134">
                  <c:v>60.950506606579751</c:v>
                </c:pt>
                <c:pt idx="135">
                  <c:v>59.393970124731482</c:v>
                </c:pt>
                <c:pt idx="136">
                  <c:v>57.785332090709659</c:v>
                </c:pt>
                <c:pt idx="137">
                  <c:v>56.122931137999316</c:v>
                </c:pt>
                <c:pt idx="138">
                  <c:v>54.405189583537521</c:v>
                </c:pt>
                <c:pt idx="139">
                  <c:v>52.630629880070785</c:v>
                </c:pt>
                <c:pt idx="140">
                  <c:v>50.797892046018802</c:v>
                </c:pt>
                <c:pt idx="141">
                  <c:v>48.905751942730973</c:v>
                </c:pt>
                <c:pt idx="142">
                  <c:v>46.953140220914094</c:v>
                </c:pt>
                <c:pt idx="143">
                  <c:v>44.939161706972953</c:v>
                </c:pt>
                <c:pt idx="144">
                  <c:v>42.863114947566174</c:v>
                </c:pt>
                <c:pt idx="145">
                  <c:v>40.724511579031201</c:v>
                </c:pt>
                <c:pt idx="146">
                  <c:v>38.523095139935748</c:v>
                </c:pt>
                <c:pt idx="147">
                  <c:v>36.25885890288427</c:v>
                </c:pt>
                <c:pt idx="148">
                  <c:v>33.932062268902513</c:v>
                </c:pt>
                <c:pt idx="149">
                  <c:v>31.543245247495236</c:v>
                </c:pt>
                <c:pt idx="150">
                  <c:v>29.093240540686367</c:v>
                </c:pt>
                <c:pt idx="151">
                  <c:v>26.583182762453475</c:v>
                </c:pt>
                <c:pt idx="152">
                  <c:v>24.014514357536967</c:v>
                </c:pt>
                <c:pt idx="153">
                  <c:v>21.388987836167956</c:v>
                </c:pt>
                <c:pt idx="154">
                  <c:v>18.708664013079471</c:v>
                </c:pt>
                <c:pt idx="155">
                  <c:v>15.975906028192924</c:v>
                </c:pt>
                <c:pt idx="156">
                  <c:v>13.193369029340403</c:v>
                </c:pt>
                <c:pt idx="157">
                  <c:v>10.363985509961452</c:v>
                </c:pt>
                <c:pt idx="158">
                  <c:v>7.490946411998749</c:v>
                </c:pt>
                <c:pt idx="159">
                  <c:v>4.5776782210099043</c:v>
                </c:pt>
                <c:pt idx="160">
                  <c:v>1.6278163919704127</c:v>
                </c:pt>
                <c:pt idx="161">
                  <c:v>-1.3548244538899041</c:v>
                </c:pt>
                <c:pt idx="162">
                  <c:v>-4.3662830318084502</c:v>
                </c:pt>
                <c:pt idx="163">
                  <c:v>-7.4024859922996882</c:v>
                </c:pt>
                <c:pt idx="164">
                  <c:v>-10.459283954686242</c:v>
                </c:pt>
                <c:pt idx="165">
                  <c:v>-13.532488272627745</c:v>
                </c:pt>
                <c:pt idx="166">
                  <c:v>-16.617907804230498</c:v>
                </c:pt>
                <c:pt idx="167">
                  <c:v>-19.711384950977788</c:v>
                </c:pt>
                <c:pt idx="168">
                  <c:v>-22.808830238171936</c:v>
                </c:pt>
                <c:pt idx="169">
                  <c:v>-25.906254734979399</c:v>
                </c:pt>
                <c:pt idx="170">
                  <c:v>-28.999799655532513</c:v>
                </c:pt>
                <c:pt idx="171">
                  <c:v>-32.085762544472772</c:v>
                </c:pt>
                <c:pt idx="172">
                  <c:v>-35.160619531487043</c:v>
                </c:pt>
                <c:pt idx="173">
                  <c:v>-38.221043239513904</c:v>
                </c:pt>
                <c:pt idx="174">
                  <c:v>-41.26391604926954</c:v>
                </c:pt>
                <c:pt idx="175">
                  <c:v>-44.286338556170421</c:v>
                </c:pt>
                <c:pt idx="176">
                  <c:v>-47.285633200929425</c:v>
                </c:pt>
                <c:pt idx="177">
                  <c:v>-50.259343207361752</c:v>
                </c:pt>
                <c:pt idx="178">
                  <c:v>-53.205227114650683</c:v>
                </c:pt>
                <c:pt idx="179">
                  <c:v>-56.121249340479594</c:v>
                </c:pt>
                <c:pt idx="180">
                  <c:v>-59.005567349991139</c:v>
                </c:pt>
                <c:pt idx="181">
                  <c:v>-61.856516127757772</c:v>
                </c:pt>
                <c:pt idx="182">
                  <c:v>-64.6725907507073</c:v>
                </c:pt>
                <c:pt idx="183">
                  <c:v>-67.452427934963893</c:v>
                </c:pt>
                <c:pt idx="184">
                  <c:v>-70.194787475331182</c:v>
                </c:pt>
                <c:pt idx="185">
                  <c:v>-72.898534510171757</c:v>
                </c:pt>
                <c:pt idx="186">
                  <c:v>-75.56262352506117</c:v>
                </c:pt>
                <c:pt idx="187">
                  <c:v>-78.18608495510037</c:v>
                </c:pt>
                <c:pt idx="188">
                  <c:v>-80.768015158411345</c:v>
                </c:pt>
                <c:pt idx="189">
                  <c:v>-83.307570413500017</c:v>
                </c:pt>
                <c:pt idx="190">
                  <c:v>-85.803965443339223</c:v>
                </c:pt>
                <c:pt idx="191">
                  <c:v>-88.256476793212471</c:v>
                </c:pt>
                <c:pt idx="192">
                  <c:v>-90.664451192885878</c:v>
                </c:pt>
                <c:pt idx="193">
                  <c:v>-93.027318823376845</c:v>
                </c:pt>
                <c:pt idx="194">
                  <c:v>-95.344611192582704</c:v>
                </c:pt>
                <c:pt idx="195">
                  <c:v>-97.615983111358858</c:v>
                </c:pt>
                <c:pt idx="196">
                  <c:v>-99.841238061866832</c:v>
                </c:pt>
                <c:pt idx="197">
                  <c:v>-102.02035607255628</c:v>
                </c:pt>
                <c:pt idx="198">
                  <c:v>-104.15352306771136</c:v>
                </c:pt>
                <c:pt idx="199">
                  <c:v>-106.24116055121381</c:v>
                </c:pt>
                <c:pt idx="200">
                  <c:v>-108.28395441949107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291840"/>
        <c:axId val="527020032"/>
      </c:scatterChart>
      <c:valAx>
        <c:axId val="520291840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20032"/>
        <c:crosses val="autoZero"/>
        <c:crossBetween val="midCat"/>
      </c:valAx>
      <c:valAx>
        <c:axId val="52702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91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62134821087068"/>
          <c:y val="2.5210098737657793E-2"/>
          <c:w val="0.35287865398734708"/>
          <c:h val="0.13445419322584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338842975206617E-2"/>
          <c:y val="8.3798996976198303E-2"/>
          <c:w val="0.87107438016528926"/>
          <c:h val="0.84636986945960291"/>
        </c:manualLayout>
      </c:layout>
      <c:scatterChart>
        <c:scatterStyle val="smoothMarker"/>
        <c:varyColors val="0"/>
        <c:ser>
          <c:idx val="3"/>
          <c:order val="0"/>
          <c:tx>
            <c:v>Phase Margin Closed Loop</c:v>
          </c:tx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119.21873382015872</c:v>
                </c:pt>
                <c:pt idx="1">
                  <c:v>118.16867398363173</c:v>
                </c:pt>
                <c:pt idx="2">
                  <c:v>117.14913611037119</c:v>
                </c:pt>
                <c:pt idx="3">
                  <c:v>116.1608657878582</c:v>
                </c:pt>
                <c:pt idx="4">
                  <c:v>115.20444003246723</c:v>
                </c:pt>
                <c:pt idx="5">
                  <c:v>114.28027783180782</c:v>
                </c:pt>
                <c:pt idx="6">
                  <c:v>113.38865172661622</c:v>
                </c:pt>
                <c:pt idx="7">
                  <c:v>112.52970007756235</c:v>
                </c:pt>
                <c:pt idx="8">
                  <c:v>111.70343969792727</c:v>
                </c:pt>
                <c:pt idx="9">
                  <c:v>110.90977857333824</c:v>
                </c:pt>
                <c:pt idx="10">
                  <c:v>110.148528431944</c:v>
                </c:pt>
                <c:pt idx="11">
                  <c:v>109.41941697044315</c:v>
                </c:pt>
                <c:pt idx="12">
                  <c:v>108.72209958153914</c:v>
                </c:pt>
                <c:pt idx="13">
                  <c:v>108.05617046550093</c:v>
                </c:pt>
                <c:pt idx="14">
                  <c:v>107.42117304176222</c:v>
                </c:pt>
                <c:pt idx="15">
                  <c:v>106.8166096054788</c:v>
                </c:pt>
                <c:pt idx="16">
                  <c:v>106.241950198542</c:v>
                </c:pt>
                <c:pt idx="17">
                  <c:v>105.69664068481701</c:v>
                </c:pt>
                <c:pt idx="18">
                  <c:v>105.18011003556387</c:v>
                </c:pt>
                <c:pt idx="19">
                  <c:v>104.69177684347903</c:v>
                </c:pt>
                <c:pt idx="20">
                  <c:v>104.23105509295343</c:v>
                </c:pt>
                <c:pt idx="21">
                  <c:v>103.79735922041712</c:v>
                </c:pt>
                <c:pt idx="22">
                  <c:v>103.39010850246035</c:v>
                </c:pt>
                <c:pt idx="23">
                  <c:v>103.00873081118088</c:v>
                </c:pt>
                <c:pt idx="24">
                  <c:v>102.65266577628486</c:v>
                </c:pt>
                <c:pt idx="25">
                  <c:v>102.32136739218839</c:v>
                </c:pt>
                <c:pt idx="26">
                  <c:v>102.01430610602485</c:v>
                </c:pt>
                <c:pt idx="27">
                  <c:v>101.73097041928878</c:v>
                </c:pt>
                <c:pt idx="28">
                  <c:v>101.4708680320682</c:v>
                </c:pt>
                <c:pt idx="29">
                  <c:v>101.23352655458973</c:v>
                </c:pt>
                <c:pt idx="30">
                  <c:v>101.01849380626834</c:v>
                </c:pt>
                <c:pt idx="31">
                  <c:v>100.82533771774679</c:v>
                </c:pt>
                <c:pt idx="32">
                  <c:v>100.65364584661656</c:v>
                </c:pt>
                <c:pt idx="33">
                  <c:v>100.50302451271638</c:v>
                </c:pt>
                <c:pt idx="34">
                  <c:v>100.37309755420631</c:v>
                </c:pt>
                <c:pt idx="35">
                  <c:v>100.26350470107727</c:v>
                </c:pt>
                <c:pt idx="36">
                  <c:v>100.17389955846872</c:v>
                </c:pt>
                <c:pt idx="37">
                  <c:v>100.10394718823269</c:v>
                </c:pt>
                <c:pt idx="38">
                  <c:v>100.05332127371447</c:v>
                </c:pt>
                <c:pt idx="39">
                  <c:v>100.02170084984094</c:v>
                </c:pt>
                <c:pt idx="40">
                  <c:v>100.00876657850417</c:v>
                </c:pt>
                <c:pt idx="41">
                  <c:v>100.01419654807876</c:v>
                </c:pt>
                <c:pt idx="42">
                  <c:v>100.0376615759493</c:v>
                </c:pt>
                <c:pt idx="43">
                  <c:v>100.07881999442574</c:v>
                </c:pt>
                <c:pt idx="44">
                  <c:v>100.13731190370498</c:v>
                </c:pt>
                <c:pt idx="45">
                  <c:v>100.21275288090918</c:v>
                </c:pt>
                <c:pt idx="46">
                  <c:v>100.30472714210946</c:v>
                </c:pt>
                <c:pt idx="47">
                  <c:v>100.41278016498904</c:v>
                </c:pt>
                <c:pt idx="48">
                  <c:v>100.53641079381026</c:v>
                </c:pt>
                <c:pt idx="49">
                  <c:v>100.67506286598376</c:v>
                </c:pt>
                <c:pt idx="50">
                  <c:v>100.82811642109489</c:v>
                </c:pt>
                <c:pt idx="51">
                  <c:v>100.99487857891452</c:v>
                </c:pt>
                <c:pt idx="52">
                  <c:v>101.17457420270667</c:v>
                </c:pt>
                <c:pt idx="53">
                  <c:v>101.36633649788757</c:v>
                </c:pt>
                <c:pt idx="54">
                  <c:v>101.56919773321634</c:v>
                </c:pt>
                <c:pt idx="55">
                  <c:v>101.78208031139832</c:v>
                </c:pt>
                <c:pt idx="56">
                  <c:v>102.00378845685421</c:v>
                </c:pt>
                <c:pt idx="57">
                  <c:v>102.23300082871341</c:v>
                </c:pt>
                <c:pt idx="58">
                  <c:v>102.46826440438657</c:v>
                </c:pt>
                <c:pt idx="59">
                  <c:v>102.70799001057323</c:v>
                </c:pt>
                <c:pt idx="60">
                  <c:v>102.95044990087479</c:v>
                </c:pt>
                <c:pt idx="61">
                  <c:v>103.19377778871666</c:v>
                </c:pt>
                <c:pt idx="62">
                  <c:v>103.43597173724672</c:v>
                </c:pt>
                <c:pt idx="63">
                  <c:v>103.67490028069368</c:v>
                </c:pt>
                <c:pt idx="64">
                  <c:v>103.90831210128053</c:v>
                </c:pt>
                <c:pt idx="65">
                  <c:v>104.13384951008895</c:v>
                </c:pt>
                <c:pt idx="66">
                  <c:v>104.34906587844384</c:v>
                </c:pt>
                <c:pt idx="67">
                  <c:v>104.55144703948802</c:v>
                </c:pt>
                <c:pt idx="68">
                  <c:v>104.73843653059362</c:v>
                </c:pt>
                <c:pt idx="69">
                  <c:v>104.90746438140189</c:v>
                </c:pt>
                <c:pt idx="70">
                  <c:v>105.05597897691587</c:v>
                </c:pt>
                <c:pt idx="71">
                  <c:v>105.18148134952028</c:v>
                </c:pt>
                <c:pt idx="72">
                  <c:v>105.28156108864057</c:v>
                </c:pt>
                <c:pt idx="73">
                  <c:v>105.35393291328442</c:v>
                </c:pt>
                <c:pt idx="74">
                  <c:v>105.39647284194511</c:v>
                </c:pt>
                <c:pt idx="75">
                  <c:v>105.40725282606573</c:v>
                </c:pt>
                <c:pt idx="76">
                  <c:v>105.38457269518314</c:v>
                </c:pt>
                <c:pt idx="77">
                  <c:v>105.32698829867198</c:v>
                </c:pt>
                <c:pt idx="78">
                  <c:v>105.23333482193192</c:v>
                </c:pt>
                <c:pt idx="79">
                  <c:v>105.10274440134086</c:v>
                </c:pt>
                <c:pt idx="80">
                  <c:v>104.93465735601006</c:v>
                </c:pt>
                <c:pt idx="81">
                  <c:v>104.72882658561508</c:v>
                </c:pt>
                <c:pt idx="82">
                  <c:v>104.48531493998753</c:v>
                </c:pt>
                <c:pt idx="83">
                  <c:v>104.20448563338545</c:v>
                </c:pt>
                <c:pt idx="84">
                  <c:v>103.88698603947606</c:v>
                </c:pt>
                <c:pt idx="85">
                  <c:v>103.53372544727306</c:v>
                </c:pt>
                <c:pt idx="86">
                  <c:v>103.14584757017127</c:v>
                </c:pt>
                <c:pt idx="87">
                  <c:v>102.72469876894291</c:v>
                </c:pt>
                <c:pt idx="88">
                  <c:v>102.27179306702004</c:v>
                </c:pt>
                <c:pt idx="89">
                  <c:v>101.78877509852376</c:v>
                </c:pt>
                <c:pt idx="90">
                  <c:v>101.27738213567434</c:v>
                </c:pt>
                <c:pt idx="91">
                  <c:v>100.73940629573947</c:v>
                </c:pt>
                <c:pt idx="92">
                  <c:v>100.1766579349835</c:v>
                </c:pt>
                <c:pt idx="93">
                  <c:v>99.59093110707876</c:v>
                </c:pt>
                <c:pt idx="94">
                  <c:v>98.983971806780872</c:v>
                </c:pt>
                <c:pt idx="95">
                  <c:v>98.357449547605512</c:v>
                </c:pt>
                <c:pt idx="96">
                  <c:v>97.712932645798688</c:v>
                </c:pt>
                <c:pt idx="97">
                  <c:v>97.051867412023711</c:v>
                </c:pt>
                <c:pt idx="98">
                  <c:v>96.375561295179324</c:v>
                </c:pt>
                <c:pt idx="99">
                  <c:v>95.685169885843891</c:v>
                </c:pt>
                <c:pt idx="100">
                  <c:v>94.981687573975861</c:v>
                </c:pt>
                <c:pt idx="101">
                  <c:v>94.265941568640073</c:v>
                </c:pt>
                <c:pt idx="102">
                  <c:v>93.538588926571407</c:v>
                </c:pt>
                <c:pt idx="103">
                  <c:v>92.800116199859275</c:v>
                </c:pt>
                <c:pt idx="104">
                  <c:v>92.050841298170056</c:v>
                </c:pt>
                <c:pt idx="105">
                  <c:v>91.290917164429075</c:v>
                </c:pt>
                <c:pt idx="106">
                  <c:v>90.520336880979301</c:v>
                </c:pt>
                <c:pt idx="107">
                  <c:v>89.738939852247398</c:v>
                </c:pt>
                <c:pt idx="108">
                  <c:v>88.946418746401463</c:v>
                </c:pt>
                <c:pt idx="109">
                  <c:v>88.142326919308232</c:v>
                </c:pt>
                <c:pt idx="110">
                  <c:v>87.326086086728651</c:v>
                </c:pt>
                <c:pt idx="111">
                  <c:v>86.496994053081366</c:v>
                </c:pt>
                <c:pt idx="112">
                  <c:v>85.654232345757606</c:v>
                </c:pt>
                <c:pt idx="113">
                  <c:v>84.796873641792629</c:v>
                </c:pt>
                <c:pt idx="114">
                  <c:v>83.923888908091982</c:v>
                </c:pt>
                <c:pt idx="115">
                  <c:v>83.034154207046555</c:v>
                </c:pt>
                <c:pt idx="116">
                  <c:v>82.126457146161002</c:v>
                </c:pt>
                <c:pt idx="117">
                  <c:v>81.199502973487697</c:v>
                </c:pt>
                <c:pt idx="118">
                  <c:v>80.251920340352484</c:v>
                </c:pt>
                <c:pt idx="119">
                  <c:v>79.282266769538069</c:v>
                </c:pt>
                <c:pt idx="120">
                  <c:v>78.289033881027891</c:v>
                </c:pt>
                <c:pt idx="121">
                  <c:v>77.270652439048234</c:v>
                </c:pt>
                <c:pt idx="122">
                  <c:v>76.225497293791747</c:v>
                </c:pt>
                <c:pt idx="123">
                  <c:v>75.15189229916993</c:v>
                </c:pt>
                <c:pt idx="124">
                  <c:v>74.048115294474755</c:v>
                </c:pt>
                <c:pt idx="125">
                  <c:v>72.912403243103341</c:v>
                </c:pt>
                <c:pt idx="126">
                  <c:v>71.742957625595849</c:v>
                </c:pt>
                <c:pt idx="127">
                  <c:v>70.537950187213639</c:v>
                </c:pt>
                <c:pt idx="128">
                  <c:v>69.295529142033786</c:v>
                </c:pt>
                <c:pt idx="129">
                  <c:v>68.013825935954642</c:v>
                </c:pt>
                <c:pt idx="130">
                  <c:v>66.690962669835685</c:v>
                </c:pt>
                <c:pt idx="131">
                  <c:v>65.325060280940136</c:v>
                </c:pt>
                <c:pt idx="132">
                  <c:v>63.914247575542305</c:v>
                </c:pt>
                <c:pt idx="133">
                  <c:v>62.456671197523818</c:v>
                </c:pt>
                <c:pt idx="134">
                  <c:v>60.950506606579751</c:v>
                </c:pt>
                <c:pt idx="135">
                  <c:v>59.393970124731482</c:v>
                </c:pt>
                <c:pt idx="136">
                  <c:v>57.785332090709659</c:v>
                </c:pt>
                <c:pt idx="137">
                  <c:v>56.122931137999316</c:v>
                </c:pt>
                <c:pt idx="138">
                  <c:v>54.405189583537521</c:v>
                </c:pt>
                <c:pt idx="139">
                  <c:v>52.630629880070785</c:v>
                </c:pt>
                <c:pt idx="140">
                  <c:v>50.797892046018802</c:v>
                </c:pt>
                <c:pt idx="141">
                  <c:v>48.905751942730973</c:v>
                </c:pt>
                <c:pt idx="142">
                  <c:v>46.953140220914094</c:v>
                </c:pt>
                <c:pt idx="143">
                  <c:v>44.939161706972953</c:v>
                </c:pt>
                <c:pt idx="144">
                  <c:v>42.863114947566174</c:v>
                </c:pt>
                <c:pt idx="145">
                  <c:v>40.724511579031201</c:v>
                </c:pt>
                <c:pt idx="146">
                  <c:v>38.523095139935748</c:v>
                </c:pt>
                <c:pt idx="147">
                  <c:v>36.25885890288427</c:v>
                </c:pt>
                <c:pt idx="148">
                  <c:v>33.932062268902513</c:v>
                </c:pt>
                <c:pt idx="149">
                  <c:v>31.543245247495236</c:v>
                </c:pt>
                <c:pt idx="150">
                  <c:v>29.093240540686367</c:v>
                </c:pt>
                <c:pt idx="151">
                  <c:v>26.583182762453475</c:v>
                </c:pt>
                <c:pt idx="152">
                  <c:v>24.014514357536967</c:v>
                </c:pt>
                <c:pt idx="153">
                  <c:v>21.388987836167956</c:v>
                </c:pt>
                <c:pt idx="154">
                  <c:v>18.708664013079471</c:v>
                </c:pt>
                <c:pt idx="155">
                  <c:v>15.975906028192924</c:v>
                </c:pt>
                <c:pt idx="156">
                  <c:v>13.193369029340403</c:v>
                </c:pt>
                <c:pt idx="157">
                  <c:v>10.363985509961452</c:v>
                </c:pt>
                <c:pt idx="158">
                  <c:v>7.490946411998749</c:v>
                </c:pt>
                <c:pt idx="159">
                  <c:v>4.5776782210099043</c:v>
                </c:pt>
                <c:pt idx="160">
                  <c:v>1.6278163919704127</c:v>
                </c:pt>
                <c:pt idx="161">
                  <c:v>-1.3548244538899041</c:v>
                </c:pt>
                <c:pt idx="162">
                  <c:v>-4.3662830318084502</c:v>
                </c:pt>
                <c:pt idx="163">
                  <c:v>-7.4024859922996882</c:v>
                </c:pt>
                <c:pt idx="164">
                  <c:v>-10.459283954686242</c:v>
                </c:pt>
                <c:pt idx="165">
                  <c:v>-13.532488272627745</c:v>
                </c:pt>
                <c:pt idx="166">
                  <c:v>-16.617907804230498</c:v>
                </c:pt>
                <c:pt idx="167">
                  <c:v>-19.711384950977788</c:v>
                </c:pt>
                <c:pt idx="168">
                  <c:v>-22.808830238171936</c:v>
                </c:pt>
                <c:pt idx="169">
                  <c:v>-25.906254734979399</c:v>
                </c:pt>
                <c:pt idx="170">
                  <c:v>-28.999799655532513</c:v>
                </c:pt>
                <c:pt idx="171">
                  <c:v>-32.085762544472772</c:v>
                </c:pt>
                <c:pt idx="172">
                  <c:v>-35.160619531487043</c:v>
                </c:pt>
                <c:pt idx="173">
                  <c:v>-38.221043239513904</c:v>
                </c:pt>
                <c:pt idx="174">
                  <c:v>-41.26391604926954</c:v>
                </c:pt>
                <c:pt idx="175">
                  <c:v>-44.286338556170421</c:v>
                </c:pt>
                <c:pt idx="176">
                  <c:v>-47.285633200929425</c:v>
                </c:pt>
                <c:pt idx="177">
                  <c:v>-50.259343207361752</c:v>
                </c:pt>
                <c:pt idx="178">
                  <c:v>-53.205227114650683</c:v>
                </c:pt>
                <c:pt idx="179">
                  <c:v>-56.121249340479594</c:v>
                </c:pt>
                <c:pt idx="180">
                  <c:v>-59.005567349991139</c:v>
                </c:pt>
                <c:pt idx="181">
                  <c:v>-61.856516127757772</c:v>
                </c:pt>
                <c:pt idx="182">
                  <c:v>-64.6725907507073</c:v>
                </c:pt>
                <c:pt idx="183">
                  <c:v>-67.452427934963893</c:v>
                </c:pt>
                <c:pt idx="184">
                  <c:v>-70.194787475331182</c:v>
                </c:pt>
                <c:pt idx="185">
                  <c:v>-72.898534510171757</c:v>
                </c:pt>
                <c:pt idx="186">
                  <c:v>-75.56262352506117</c:v>
                </c:pt>
                <c:pt idx="187">
                  <c:v>-78.18608495510037</c:v>
                </c:pt>
                <c:pt idx="188">
                  <c:v>-80.768015158411345</c:v>
                </c:pt>
                <c:pt idx="189">
                  <c:v>-83.307570413500017</c:v>
                </c:pt>
                <c:pt idx="190">
                  <c:v>-85.803965443339223</c:v>
                </c:pt>
                <c:pt idx="191">
                  <c:v>-88.256476793212471</c:v>
                </c:pt>
                <c:pt idx="192">
                  <c:v>-90.664451192885878</c:v>
                </c:pt>
                <c:pt idx="193">
                  <c:v>-93.027318823376845</c:v>
                </c:pt>
                <c:pt idx="194">
                  <c:v>-95.344611192582704</c:v>
                </c:pt>
                <c:pt idx="195">
                  <c:v>-97.615983111358858</c:v>
                </c:pt>
                <c:pt idx="196">
                  <c:v>-99.841238061866832</c:v>
                </c:pt>
                <c:pt idx="197">
                  <c:v>-102.02035607255628</c:v>
                </c:pt>
                <c:pt idx="198">
                  <c:v>-104.15352306771136</c:v>
                </c:pt>
                <c:pt idx="199">
                  <c:v>-106.24116055121381</c:v>
                </c:pt>
                <c:pt idx="200">
                  <c:v>-108.28395441949107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88000"/>
        <c:axId val="180689920"/>
      </c:scatterChart>
      <c:valAx>
        <c:axId val="180688000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689920"/>
        <c:crosses val="autoZero"/>
        <c:crossBetween val="midCat"/>
      </c:valAx>
      <c:valAx>
        <c:axId val="18068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688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71371847696773"/>
          <c:y val="8.4913435701772427E-2"/>
          <c:w val="0.24981163239010629"/>
          <c:h val="0.1710662651729103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9799869971820314E-2"/>
          <c:y val="8.0779944289693595E-2"/>
          <c:w val="0.87073515693074044"/>
          <c:h val="0.85236768802228413"/>
        </c:manualLayout>
      </c:layout>
      <c:scatterChart>
        <c:scatterStyle val="smoothMarker"/>
        <c:varyColors val="0"/>
        <c:ser>
          <c:idx val="3"/>
          <c:order val="0"/>
          <c:tx>
            <c:v>Bandwidth of Closed Loop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57.71447269373688</c:v>
                </c:pt>
                <c:pt idx="1">
                  <c:v>57.402048568736781</c:v>
                </c:pt>
                <c:pt idx="2">
                  <c:v>57.083541531893339</c:v>
                </c:pt>
                <c:pt idx="3">
                  <c:v>56.759280656313379</c:v>
                </c:pt>
                <c:pt idx="4">
                  <c:v>56.429592595390545</c:v>
                </c:pt>
                <c:pt idx="5">
                  <c:v>56.094799327924974</c:v>
                </c:pt>
                <c:pt idx="6">
                  <c:v>55.755216222096067</c:v>
                </c:pt>
                <c:pt idx="7">
                  <c:v>55.411150415121064</c:v>
                </c:pt>
                <c:pt idx="8">
                  <c:v>55.062899497767752</c:v>
                </c:pt>
                <c:pt idx="9">
                  <c:v>54.710750486923075</c:v>
                </c:pt>
                <c:pt idx="10">
                  <c:v>54.354979065111316</c:v>
                </c:pt>
                <c:pt idx="11">
                  <c:v>53.995849063023122</c:v>
                </c:pt>
                <c:pt idx="12">
                  <c:v>53.63361215958804</c:v>
                </c:pt>
                <c:pt idx="13">
                  <c:v>53.268507773682252</c:v>
                </c:pt>
                <c:pt idx="14">
                  <c:v>52.900763121993528</c:v>
                </c:pt>
                <c:pt idx="15">
                  <c:v>52.530593418663187</c:v>
                </c:pt>
                <c:pt idx="16">
                  <c:v>52.158202193906732</c:v>
                </c:pt>
                <c:pt idx="17">
                  <c:v>51.783781710715296</c:v>
                </c:pt>
                <c:pt idx="18">
                  <c:v>51.407513460826941</c:v>
                </c:pt>
                <c:pt idx="19">
                  <c:v>51.02956872330958</c:v>
                </c:pt>
                <c:pt idx="20">
                  <c:v>50.650109171243926</c:v>
                </c:pt>
                <c:pt idx="21">
                  <c:v>50.269287514055698</c:v>
                </c:pt>
                <c:pt idx="22">
                  <c:v>49.887248164983397</c:v>
                </c:pt>
                <c:pt idx="23">
                  <c:v>49.504127924948719</c:v>
                </c:pt>
                <c:pt idx="24">
                  <c:v>49.120056675693846</c:v>
                </c:pt>
                <c:pt idx="25">
                  <c:v>48.735158076477283</c:v>
                </c:pt>
                <c:pt idx="26">
                  <c:v>48.349550259832256</c:v>
                </c:pt>
                <c:pt idx="27">
                  <c:v>47.963346522951163</c:v>
                </c:pt>
                <c:pt idx="28">
                  <c:v>47.576656012104976</c:v>
                </c:pt>
                <c:pt idx="29">
                  <c:v>47.189584398204801</c:v>
                </c:pt>
                <c:pt idx="30">
                  <c:v>46.802234542126442</c:v>
                </c:pt>
                <c:pt idx="31">
                  <c:v>46.414707148783606</c:v>
                </c:pt>
                <c:pt idx="32">
                  <c:v>46.027101409137941</c:v>
                </c:pt>
                <c:pt idx="33">
                  <c:v>45.639515629398772</c:v>
                </c:pt>
                <c:pt idx="34">
                  <c:v>45.252047846564743</c:v>
                </c:pt>
                <c:pt idx="35">
                  <c:v>44.864796429236335</c:v>
                </c:pt>
                <c:pt idx="36">
                  <c:v>44.477860662237148</c:v>
                </c:pt>
                <c:pt idx="37">
                  <c:v>44.091341313056269</c:v>
                </c:pt>
                <c:pt idx="38">
                  <c:v>43.705341177437631</c:v>
                </c:pt>
                <c:pt idx="39">
                  <c:v>43.319965600609891</c:v>
                </c:pt>
                <c:pt idx="40">
                  <c:v>42.935322969649164</c:v>
                </c:pt>
                <c:pt idx="41">
                  <c:v>42.551525171318417</c:v>
                </c:pt>
                <c:pt idx="42">
                  <c:v>42.168688008411962</c:v>
                </c:pt>
                <c:pt idx="43">
                  <c:v>41.786931566178815</c:v>
                </c:pt>
                <c:pt idx="44">
                  <c:v>41.406380518798841</c:v>
                </c:pt>
                <c:pt idx="45">
                  <c:v>41.027164364183719</c:v>
                </c:pt>
                <c:pt idx="46">
                  <c:v>40.649417573593716</c:v>
                </c:pt>
                <c:pt idx="47">
                  <c:v>40.273279640751689</c:v>
                </c:pt>
                <c:pt idx="48">
                  <c:v>39.898895013386017</c:v>
                </c:pt>
                <c:pt idx="49">
                  <c:v>39.526412888505526</c:v>
                </c:pt>
                <c:pt idx="50">
                  <c:v>39.155986851348871</c:v>
                </c:pt>
                <c:pt idx="51">
                  <c:v>38.787774336972646</c:v>
                </c:pt>
                <c:pt idx="52">
                  <c:v>38.421935893030593</c:v>
                </c:pt>
                <c:pt idx="53">
                  <c:v>38.058634222637878</c:v>
                </c:pt>
                <c:pt idx="54">
                  <c:v>37.698032987507339</c:v>
                </c:pt>
                <c:pt idx="55">
                  <c:v>37.340295354026757</c:v>
                </c:pt>
                <c:pt idx="56">
                  <c:v>36.985582268818355</c:v>
                </c:pt>
                <c:pt idx="57">
                  <c:v>36.634050455792824</c:v>
                </c:pt>
                <c:pt idx="58">
                  <c:v>36.285850133922381</c:v>
                </c:pt>
                <c:pt idx="59">
                  <c:v>35.941122464010348</c:v>
                </c:pt>
                <c:pt idx="60">
                  <c:v>35.599996743597842</c:v>
                </c:pt>
                <c:pt idx="61">
                  <c:v>35.262587381687808</c:v>
                </c:pt>
                <c:pt idx="62">
                  <c:v>34.928990698881599</c:v>
                </c:pt>
                <c:pt idx="63">
                  <c:v>34.599281613330021</c:v>
                </c:pt>
                <c:pt idx="64">
                  <c:v>34.273510287938095</c:v>
                </c:pt>
                <c:pt idx="65">
                  <c:v>33.951698828696301</c:v>
                </c:pt>
                <c:pt idx="66">
                  <c:v>33.633838136831187</c:v>
                </c:pt>
                <c:pt idx="67">
                  <c:v>33.319885027612585</c:v>
                </c:pt>
                <c:pt idx="68">
                  <c:v>33.009759734984698</c:v>
                </c:pt>
                <c:pt idx="69">
                  <c:v>32.703343922685214</c:v>
                </c:pt>
                <c:pt idx="70">
                  <c:v>32.400479318295673</c:v>
                </c:pt>
                <c:pt idx="71">
                  <c:v>32.100967076156444</c:v>
                </c:pt>
                <c:pt idx="72">
                  <c:v>31.804567958055063</c:v>
                </c:pt>
                <c:pt idx="73">
                  <c:v>31.511003397318717</c:v>
                </c:pt>
                <c:pt idx="74">
                  <c:v>31.219957483099734</c:v>
                </c:pt>
                <c:pt idx="75">
                  <c:v>30.931079868458671</c:v>
                </c:pt>
                <c:pt idx="76">
                  <c:v>30.643989569905319</c:v>
                </c:pt>
                <c:pt idx="77">
                  <c:v>30.358279589305873</c:v>
                </c:pt>
                <c:pt idx="78">
                  <c:v>30.073522253585665</c:v>
                </c:pt>
                <c:pt idx="79">
                  <c:v>29.789275135604484</c:v>
                </c:pt>
                <c:pt idx="80">
                  <c:v>29.505087392934168</c:v>
                </c:pt>
                <c:pt idx="81">
                  <c:v>29.220506341719524</c:v>
                </c:pt>
                <c:pt idx="82">
                  <c:v>28.935084071623834</c:v>
                </c:pt>
                <c:pt idx="83">
                  <c:v>28.648383905753331</c:v>
                </c:pt>
                <c:pt idx="84">
                  <c:v>28.359986516581245</c:v>
                </c:pt>
                <c:pt idx="85">
                  <c:v>28.069495524772261</c:v>
                </c:pt>
                <c:pt idx="86">
                  <c:v>27.776542431401925</c:v>
                </c:pt>
                <c:pt idx="87">
                  <c:v>27.480790763891338</c:v>
                </c:pt>
                <c:pt idx="88">
                  <c:v>27.181939350115169</c:v>
                </c:pt>
                <c:pt idx="89">
                  <c:v>26.879724671541023</c:v>
                </c:pt>
                <c:pt idx="90">
                  <c:v>26.573922282763235</c:v>
                </c:pt>
                <c:pt idx="91">
                  <c:v>26.264347319370216</c:v>
                </c:pt>
                <c:pt idx="92">
                  <c:v>25.950854146990793</c:v>
                </c:pt>
                <c:pt idx="93">
                  <c:v>25.633335230185633</c:v>
                </c:pt>
                <c:pt idx="94">
                  <c:v>25.311719319667581</c:v>
                </c:pt>
                <c:pt idx="95">
                  <c:v>24.985969069692352</c:v>
                </c:pt>
                <c:pt idx="96">
                  <c:v>24.656078204370402</c:v>
                </c:pt>
                <c:pt idx="97">
                  <c:v>24.322068352544505</c:v>
                </c:pt>
                <c:pt idx="98">
                  <c:v>23.983985666508332</c:v>
                </c:pt>
                <c:pt idx="99">
                  <c:v>23.641897331182378</c:v>
                </c:pt>
                <c:pt idx="100">
                  <c:v>23.295888058511562</c:v>
                </c:pt>
                <c:pt idx="101">
                  <c:v>22.946056647910709</c:v>
                </c:pt>
                <c:pt idx="102">
                  <c:v>22.592512678601238</c:v>
                </c:pt>
                <c:pt idx="103">
                  <c:v>22.235373384578757</c:v>
                </c:pt>
                <c:pt idx="104">
                  <c:v>21.874760748447372</c:v>
                </c:pt>
                <c:pt idx="105">
                  <c:v>21.510798837052857</c:v>
                </c:pt>
                <c:pt idx="106">
                  <c:v>21.143611390080487</c:v>
                </c:pt>
                <c:pt idx="107">
                  <c:v>20.773319662803324</c:v>
                </c:pt>
                <c:pt idx="108">
                  <c:v>20.400040516014769</c:v>
                </c:pt>
                <c:pt idx="109">
                  <c:v>20.023884739833434</c:v>
                </c:pt>
                <c:pt idx="110">
                  <c:v>19.644955593394599</c:v>
                </c:pt>
                <c:pt idx="111">
                  <c:v>19.26334753926475</c:v>
                </c:pt>
                <c:pt idx="112">
                  <c:v>18.879145149529759</c:v>
                </c:pt>
                <c:pt idx="113">
                  <c:v>18.492422159696776</c:v>
                </c:pt>
                <c:pt idx="114">
                  <c:v>18.103240646600341</c:v>
                </c:pt>
                <c:pt idx="115">
                  <c:v>17.711650307234635</c:v>
                </c:pt>
                <c:pt idx="116">
                  <c:v>17.317687816657767</c:v>
                </c:pt>
                <c:pt idx="117">
                  <c:v>16.921376244707073</c:v>
                </c:pt>
                <c:pt idx="118">
                  <c:v>16.522724513094552</c:v>
                </c:pt>
                <c:pt idx="119">
                  <c:v>16.121726876442203</c:v>
                </c:pt>
                <c:pt idx="120">
                  <c:v>15.718362412892349</c:v>
                </c:pt>
                <c:pt idx="121">
                  <c:v>15.312594512058467</c:v>
                </c:pt>
                <c:pt idx="122">
                  <c:v>14.904370350221964</c:v>
                </c:pt>
                <c:pt idx="123">
                  <c:v>14.493620344851701</c:v>
                </c:pt>
                <c:pt idx="124">
                  <c:v>14.08025758269069</c:v>
                </c:pt>
                <c:pt idx="125">
                  <c:v>13.664177217867771</c:v>
                </c:pt>
                <c:pt idx="126">
                  <c:v>13.245255838740455</c:v>
                </c:pt>
                <c:pt idx="127">
                  <c:v>12.82335080450158</c:v>
                </c:pt>
                <c:pt idx="128">
                  <c:v>12.398299554995049</c:v>
                </c:pt>
                <c:pt idx="129">
                  <c:v>11.969918899716721</c:v>
                </c:pt>
                <c:pt idx="130">
                  <c:v>11.53800429463576</c:v>
                </c:pt>
                <c:pt idx="131">
                  <c:v>11.102329118269934</c:v>
                </c:pt>
                <c:pt idx="132">
                  <c:v>10.662643961387403</c:v>
                </c:pt>
                <c:pt idx="133">
                  <c:v>10.218675947752409</c:v>
                </c:pt>
                <c:pt idx="134">
                  <c:v>9.7701281064819661</c:v>
                </c:pt>
                <c:pt idx="135">
                  <c:v>9.3166788197344665</c:v>
                </c:pt>
                <c:pt idx="136">
                  <c:v>8.8579813725584398</c:v>
                </c:pt>
                <c:pt idx="137">
                  <c:v>8.3936636346709541</c:v>
                </c:pt>
                <c:pt idx="138">
                  <c:v>7.9233279065546895</c:v>
                </c:pt>
                <c:pt idx="139">
                  <c:v>7.4465509644156125</c:v>
                </c:pt>
                <c:pt idx="140">
                  <c:v>6.962884340006001</c:v>
                </c:pt>
                <c:pt idx="141">
                  <c:v>6.4718548718955731</c:v>
                </c:pt>
                <c:pt idx="142">
                  <c:v>5.9729655642081436</c:v>
                </c:pt>
                <c:pt idx="143">
                  <c:v>5.4656967869354958</c:v>
                </c:pt>
                <c:pt idx="144">
                  <c:v>4.9495078484530532</c:v>
                </c:pt>
                <c:pt idx="145">
                  <c:v>4.4238389656433856</c:v>
                </c:pt>
                <c:pt idx="146">
                  <c:v>3.8881136499723019</c:v>
                </c:pt>
                <c:pt idx="147">
                  <c:v>3.3417415189476998</c:v>
                </c:pt>
                <c:pt idx="148">
                  <c:v>2.7841215317131587</c:v>
                </c:pt>
                <c:pt idx="149">
                  <c:v>2.2146456353309905</c:v>
                </c:pt>
                <c:pt idx="150">
                  <c:v>1.6327027949445025</c:v>
                </c:pt>
                <c:pt idx="151">
                  <c:v>1.0376833669936594</c:v>
                </c:pt>
                <c:pt idx="152">
                  <c:v>0.42898376059926113</c:v>
                </c:pt>
                <c:pt idx="153">
                  <c:v>-0.19398868116460111</c:v>
                </c:pt>
                <c:pt idx="154">
                  <c:v>-0.83181066040367002</c:v>
                </c:pt>
                <c:pt idx="155">
                  <c:v>-1.4850378541557752</c:v>
                </c:pt>
                <c:pt idx="156">
                  <c:v>-2.1541998922162846</c:v>
                </c:pt>
                <c:pt idx="157">
                  <c:v>-2.8397954845675777</c:v>
                </c:pt>
                <c:pt idx="158">
                  <c:v>-3.5422878006241358</c:v>
                </c:pt>
                <c:pt idx="159">
                  <c:v>-4.2621001997182342</c:v>
                </c:pt>
                <c:pt idx="160">
                  <c:v>-4.999612406161539</c:v>
                </c:pt>
                <c:pt idx="161">
                  <c:v>-5.7551572131576076</c:v>
                </c:pt>
                <c:pt idx="162">
                  <c:v>-6.5290177882586784</c:v>
                </c:pt>
                <c:pt idx="163">
                  <c:v>-7.3214256394625945</c:v>
                </c:pt>
                <c:pt idx="164">
                  <c:v>-8.1325592859292026</c:v>
                </c:pt>
                <c:pt idx="165">
                  <c:v>-8.9625436611028224</c:v>
                </c:pt>
                <c:pt idx="166">
                  <c:v>-9.8114502591261612</c:v>
                </c:pt>
                <c:pt idx="167">
                  <c:v>-10.679298018082552</c:v>
                </c:pt>
                <c:pt idx="168">
                  <c:v>-11.566054916087179</c:v>
                </c:pt>
                <c:pt idx="169">
                  <c:v>-12.471640238746621</c:v>
                </c:pt>
                <c:pt idx="170">
                  <c:v>-13.39592745936416</c:v>
                </c:pt>
                <c:pt idx="171">
                  <c:v>-14.338747656805737</c:v>
                </c:pt>
                <c:pt idx="172">
                  <c:v>-15.299893380696222</c:v>
                </c:pt>
                <c:pt idx="173">
                  <c:v>-16.279122860114956</c:v>
                </c:pt>
                <c:pt idx="174">
                  <c:v>-17.276164440902814</c:v>
                </c:pt>
                <c:pt idx="175">
                  <c:v>-18.290721128677962</c:v>
                </c:pt>
                <c:pt idx="176">
                  <c:v>-19.322475110316507</c:v>
                </c:pt>
                <c:pt idx="177">
                  <c:v>-20.371092126417022</c:v>
                </c:pt>
                <c:pt idx="178">
                  <c:v>-21.436225571440104</c:v>
                </c:pt>
                <c:pt idx="179">
                  <c:v>-22.517520206867012</c:v>
                </c:pt>
                <c:pt idx="180">
                  <c:v>-23.614615385719446</c:v>
                </c:pt>
                <c:pt idx="181">
                  <c:v>-24.727147703809447</c:v>
                </c:pt>
                <c:pt idx="182">
                  <c:v>-25.854753013614303</c:v>
                </c:pt>
                <c:pt idx="183">
                  <c:v>-26.997067760084729</c:v>
                </c:pt>
                <c:pt idx="184">
                  <c:v>-28.153729623224258</c:v>
                </c:pt>
                <c:pt idx="185">
                  <c:v>-29.32437747912617</c:v>
                </c:pt>
                <c:pt idx="186">
                  <c:v>-30.508650718431408</c:v>
                </c:pt>
                <c:pt idx="187">
                  <c:v>-31.706187987955424</c:v>
                </c:pt>
                <c:pt idx="188">
                  <c:v>-32.916625446566812</c:v>
                </c:pt>
                <c:pt idx="189">
                  <c:v>-34.1395946493179</c:v>
                </c:pt>
                <c:pt idx="190">
                  <c:v>-35.374720193320208</c:v>
                </c:pt>
                <c:pt idx="191">
                  <c:v>-36.621617274007185</c:v>
                </c:pt>
                <c:pt idx="192">
                  <c:v>-37.879889310351722</c:v>
                </c:pt>
                <c:pt idx="193">
                  <c:v>-39.149125801593719</c:v>
                </c:pt>
                <c:pt idx="194">
                  <c:v>-40.428900575582105</c:v>
                </c:pt>
                <c:pt idx="195">
                  <c:v>-41.718770579711723</c:v>
                </c:pt>
                <c:pt idx="196">
                  <c:v>-43.018275349738659</c:v>
                </c:pt>
                <c:pt idx="197">
                  <c:v>-44.32693726993665</c:v>
                </c:pt>
                <c:pt idx="198">
                  <c:v>-45.644262710912045</c:v>
                </c:pt>
                <c:pt idx="199">
                  <c:v>-46.969744100015262</c:v>
                </c:pt>
                <c:pt idx="200">
                  <c:v>-48.30286294503442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28576"/>
        <c:axId val="180730496"/>
      </c:scatterChart>
      <c:valAx>
        <c:axId val="18072857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730496"/>
        <c:crosses val="autoZero"/>
        <c:crossBetween val="midCat"/>
      </c:valAx>
      <c:valAx>
        <c:axId val="18073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728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789197402955"/>
          <c:y val="8.0779938052767106E-2"/>
          <c:w val="0.29647340902987301"/>
          <c:h val="0.12039059098655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3.e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pn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43</xdr:row>
      <xdr:rowOff>57150</xdr:rowOff>
    </xdr:from>
    <xdr:to>
      <xdr:col>8</xdr:col>
      <xdr:colOff>7938</xdr:colOff>
      <xdr:row>73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429223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19</xdr:row>
      <xdr:rowOff>47625</xdr:rowOff>
    </xdr:from>
    <xdr:to>
      <xdr:col>13</xdr:col>
      <xdr:colOff>57150</xdr:colOff>
      <xdr:row>19</xdr:row>
      <xdr:rowOff>133350</xdr:rowOff>
    </xdr:to>
    <xdr:sp macro="" textlink="">
      <xdr:nvSpPr>
        <xdr:cNvPr id="4" name="Rectangle 3"/>
        <xdr:cNvSpPr/>
      </xdr:nvSpPr>
      <xdr:spPr>
        <a:xfrm>
          <a:off x="11106150" y="32004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19050</xdr:colOff>
      <xdr:row>22</xdr:row>
      <xdr:rowOff>57150</xdr:rowOff>
    </xdr:from>
    <xdr:to>
      <xdr:col>13</xdr:col>
      <xdr:colOff>333375</xdr:colOff>
      <xdr:row>22</xdr:row>
      <xdr:rowOff>142875</xdr:rowOff>
    </xdr:to>
    <xdr:sp macro="" textlink="">
      <xdr:nvSpPr>
        <xdr:cNvPr id="7" name="Rectangle 6"/>
        <xdr:cNvSpPr/>
      </xdr:nvSpPr>
      <xdr:spPr>
        <a:xfrm>
          <a:off x="11382375" y="36957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495300</xdr:colOff>
      <xdr:row>22</xdr:row>
      <xdr:rowOff>47625</xdr:rowOff>
    </xdr:from>
    <xdr:to>
      <xdr:col>15</xdr:col>
      <xdr:colOff>200025</xdr:colOff>
      <xdr:row>22</xdr:row>
      <xdr:rowOff>133350</xdr:rowOff>
    </xdr:to>
    <xdr:sp macro="" textlink="">
      <xdr:nvSpPr>
        <xdr:cNvPr id="8" name="Rectangle 7"/>
        <xdr:cNvSpPr/>
      </xdr:nvSpPr>
      <xdr:spPr>
        <a:xfrm>
          <a:off x="12468225" y="3686175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542925</xdr:colOff>
      <xdr:row>25</xdr:row>
      <xdr:rowOff>142875</xdr:rowOff>
    </xdr:from>
    <xdr:to>
      <xdr:col>15</xdr:col>
      <xdr:colOff>247650</xdr:colOff>
      <xdr:row>26</xdr:row>
      <xdr:rowOff>66675</xdr:rowOff>
    </xdr:to>
    <xdr:sp macro="" textlink="">
      <xdr:nvSpPr>
        <xdr:cNvPr id="9" name="Rectangle 8"/>
        <xdr:cNvSpPr/>
      </xdr:nvSpPr>
      <xdr:spPr>
        <a:xfrm>
          <a:off x="12515850" y="42672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514350</xdr:colOff>
      <xdr:row>24</xdr:row>
      <xdr:rowOff>38100</xdr:rowOff>
    </xdr:from>
    <xdr:to>
      <xdr:col>16</xdr:col>
      <xdr:colOff>219075</xdr:colOff>
      <xdr:row>24</xdr:row>
      <xdr:rowOff>123825</xdr:rowOff>
    </xdr:to>
    <xdr:sp macro="" textlink="">
      <xdr:nvSpPr>
        <xdr:cNvPr id="10" name="Rectangle 9"/>
        <xdr:cNvSpPr/>
      </xdr:nvSpPr>
      <xdr:spPr>
        <a:xfrm>
          <a:off x="13096875" y="4000500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180974</xdr:colOff>
      <xdr:row>29</xdr:row>
      <xdr:rowOff>112309</xdr:rowOff>
    </xdr:from>
    <xdr:to>
      <xdr:col>8</xdr:col>
      <xdr:colOff>495299</xdr:colOff>
      <xdr:row>30</xdr:row>
      <xdr:rowOff>36109</xdr:rowOff>
    </xdr:to>
    <xdr:sp macro="" textlink="">
      <xdr:nvSpPr>
        <xdr:cNvPr id="11" name="Rectangle 10"/>
        <xdr:cNvSpPr/>
      </xdr:nvSpPr>
      <xdr:spPr>
        <a:xfrm>
          <a:off x="7458074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904874</xdr:colOff>
      <xdr:row>31</xdr:row>
      <xdr:rowOff>121834</xdr:rowOff>
    </xdr:from>
    <xdr:to>
      <xdr:col>12</xdr:col>
      <xdr:colOff>304799</xdr:colOff>
      <xdr:row>32</xdr:row>
      <xdr:rowOff>45634</xdr:rowOff>
    </xdr:to>
    <xdr:sp macro="" textlink="">
      <xdr:nvSpPr>
        <xdr:cNvPr id="12" name="Rectangle 11"/>
        <xdr:cNvSpPr/>
      </xdr:nvSpPr>
      <xdr:spPr>
        <a:xfrm>
          <a:off x="10744199" y="5217709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885824</xdr:colOff>
      <xdr:row>29</xdr:row>
      <xdr:rowOff>112309</xdr:rowOff>
    </xdr:from>
    <xdr:to>
      <xdr:col>12</xdr:col>
      <xdr:colOff>285749</xdr:colOff>
      <xdr:row>30</xdr:row>
      <xdr:rowOff>36109</xdr:rowOff>
    </xdr:to>
    <xdr:sp macro="" textlink="">
      <xdr:nvSpPr>
        <xdr:cNvPr id="13" name="Rectangle 12"/>
        <xdr:cNvSpPr/>
      </xdr:nvSpPr>
      <xdr:spPr>
        <a:xfrm>
          <a:off x="10725149" y="4884334"/>
          <a:ext cx="314325" cy="857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15</xdr:row>
          <xdr:rowOff>165100</xdr:rowOff>
        </xdr:from>
        <xdr:to>
          <xdr:col>16</xdr:col>
          <xdr:colOff>12700</xdr:colOff>
          <xdr:row>32</xdr:row>
          <xdr:rowOff>127000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161925</xdr:rowOff>
    </xdr:from>
    <xdr:to>
      <xdr:col>6</xdr:col>
      <xdr:colOff>1724025</xdr:colOff>
      <xdr:row>40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632385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3</xdr:col>
      <xdr:colOff>38100</xdr:colOff>
      <xdr:row>22</xdr:row>
      <xdr:rowOff>152400</xdr:rowOff>
    </xdr:to>
    <xdr:pic>
      <xdr:nvPicPr>
        <xdr:cNvPr id="5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76650"/>
          <a:ext cx="1914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90</xdr:row>
      <xdr:rowOff>85725</xdr:rowOff>
    </xdr:from>
    <xdr:to>
      <xdr:col>6</xdr:col>
      <xdr:colOff>581025</xdr:colOff>
      <xdr:row>111</xdr:row>
      <xdr:rowOff>38100</xdr:rowOff>
    </xdr:to>
    <xdr:graphicFrame macro="">
      <xdr:nvGraphicFramePr>
        <xdr:cNvPr id="6" name="Chart 2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112</xdr:row>
      <xdr:rowOff>19050</xdr:rowOff>
    </xdr:from>
    <xdr:to>
      <xdr:col>6</xdr:col>
      <xdr:colOff>571500</xdr:colOff>
      <xdr:row>133</xdr:row>
      <xdr:rowOff>9525</xdr:rowOff>
    </xdr:to>
    <xdr:graphicFrame macro="">
      <xdr:nvGraphicFramePr>
        <xdr:cNvPr id="7" name="Chart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90</xdr:row>
      <xdr:rowOff>85725</xdr:rowOff>
    </xdr:from>
    <xdr:to>
      <xdr:col>13</xdr:col>
      <xdr:colOff>800100</xdr:colOff>
      <xdr:row>111</xdr:row>
      <xdr:rowOff>47625</xdr:rowOff>
    </xdr:to>
    <xdr:graphicFrame macro="">
      <xdr:nvGraphicFramePr>
        <xdr:cNvPr id="8" name="Chart 2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112</xdr:row>
      <xdr:rowOff>19050</xdr:rowOff>
    </xdr:from>
    <xdr:to>
      <xdr:col>14</xdr:col>
      <xdr:colOff>0</xdr:colOff>
      <xdr:row>133</xdr:row>
      <xdr:rowOff>19050</xdr:rowOff>
    </xdr:to>
    <xdr:graphicFrame macro="">
      <xdr:nvGraphicFramePr>
        <xdr:cNvPr id="9" name="Chart 2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66</xdr:row>
      <xdr:rowOff>180975</xdr:rowOff>
    </xdr:from>
    <xdr:to>
      <xdr:col>14</xdr:col>
      <xdr:colOff>104776</xdr:colOff>
      <xdr:row>88</xdr:row>
      <xdr:rowOff>0</xdr:rowOff>
    </xdr:to>
    <xdr:graphicFrame macro="">
      <xdr:nvGraphicFramePr>
        <xdr:cNvPr id="10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0</xdr:rowOff>
    </xdr:from>
    <xdr:to>
      <xdr:col>6</xdr:col>
      <xdr:colOff>561975</xdr:colOff>
      <xdr:row>88</xdr:row>
      <xdr:rowOff>19050</xdr:rowOff>
    </xdr:to>
    <xdr:graphicFrame macro="">
      <xdr:nvGraphicFramePr>
        <xdr:cNvPr id="11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37</xdr:row>
      <xdr:rowOff>19050</xdr:rowOff>
    </xdr:from>
    <xdr:to>
      <xdr:col>14</xdr:col>
      <xdr:colOff>457200</xdr:colOff>
      <xdr:row>56</xdr:row>
      <xdr:rowOff>0</xdr:rowOff>
    </xdr:to>
    <xdr:grpSp>
      <xdr:nvGrpSpPr>
        <xdr:cNvPr id="12" name="Group 237"/>
        <xdr:cNvGrpSpPr>
          <a:grpSpLocks/>
        </xdr:cNvGrpSpPr>
      </xdr:nvGrpSpPr>
      <xdr:grpSpPr bwMode="auto">
        <a:xfrm>
          <a:off x="6919913" y="7353300"/>
          <a:ext cx="5193506" cy="3600450"/>
          <a:chOff x="1576" y="1716"/>
          <a:chExt cx="2272" cy="1440"/>
        </a:xfrm>
      </xdr:grpSpPr>
      <xdr:grpSp>
        <xdr:nvGrpSpPr>
          <xdr:cNvPr id="13" name="Group 238"/>
          <xdr:cNvGrpSpPr>
            <a:grpSpLocks/>
          </xdr:cNvGrpSpPr>
        </xdr:nvGrpSpPr>
        <xdr:grpSpPr bwMode="auto">
          <a:xfrm>
            <a:off x="1596" y="1724"/>
            <a:ext cx="2220" cy="1392"/>
            <a:chOff x="1596" y="1724"/>
            <a:chExt cx="2220" cy="1392"/>
          </a:xfrm>
        </xdr:grpSpPr>
        <xdr:grpSp>
          <xdr:nvGrpSpPr>
            <xdr:cNvPr id="15" name="Group 239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8" name="Freeform 240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241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" name="Line 242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243"/>
            <xdr:cNvSpPr>
              <a:spLocks noChangeShapeType="1"/>
            </xdr:cNvSpPr>
          </xdr:nvSpPr>
          <xdr:spPr bwMode="auto">
            <a:xfrm flipH="1">
              <a:off x="1891" y="2623"/>
              <a:ext cx="75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244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Rectangle 245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0" name="Rectangle 246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1" name="Group 247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6" name="Freeform 248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" name="Freeform 249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2" name="Line 250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251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Rectangle 252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5" name="Rectangle 253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6" name="Group 254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4" name="Freeform 25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256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" name="Line 257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258"/>
            <xdr:cNvSpPr>
              <a:spLocks noChangeShapeType="1"/>
            </xdr:cNvSpPr>
          </xdr:nvSpPr>
          <xdr:spPr bwMode="auto">
            <a:xfrm>
              <a:off x="2929" y="2539"/>
              <a:ext cx="51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259"/>
            <xdr:cNvSpPr>
              <a:spLocks noChangeArrowheads="1"/>
            </xdr:cNvSpPr>
          </xdr:nvSpPr>
          <xdr:spPr bwMode="auto">
            <a:xfrm>
              <a:off x="2976" y="2554"/>
              <a:ext cx="90" cy="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FB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0" name="Rectangle 260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1" name="Rectangle 261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2" name="Rectangle 262"/>
            <xdr:cNvSpPr>
              <a:spLocks noChangeArrowheads="1"/>
            </xdr:cNvSpPr>
          </xdr:nvSpPr>
          <xdr:spPr bwMode="auto">
            <a:xfrm>
              <a:off x="2951" y="2726"/>
              <a:ext cx="188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VREF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33" name="Group 263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2" name="Freeform 26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26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4" name="Line 266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Rectangle 267"/>
            <xdr:cNvSpPr>
              <a:spLocks noChangeArrowheads="1"/>
            </xdr:cNvSpPr>
          </xdr:nvSpPr>
          <xdr:spPr bwMode="auto">
            <a:xfrm>
              <a:off x="1949" y="2638"/>
              <a:ext cx="26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VCOMP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6" name="Rectangle 268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7" name="Rectangle 269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8" name="Freeform 270"/>
            <xdr:cNvSpPr>
              <a:spLocks/>
            </xdr:cNvSpPr>
          </xdr:nvSpPr>
          <xdr:spPr bwMode="auto">
            <a:xfrm>
              <a:off x="3424" y="274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271"/>
            <xdr:cNvSpPr>
              <a:spLocks/>
            </xdr:cNvSpPr>
          </xdr:nvSpPr>
          <xdr:spPr bwMode="auto">
            <a:xfrm>
              <a:off x="3408" y="216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40" name="Group 272"/>
            <xdr:cNvGrpSpPr>
              <a:grpSpLocks/>
            </xdr:cNvGrpSpPr>
          </xdr:nvGrpSpPr>
          <xdr:grpSpPr bwMode="auto">
            <a:xfrm rot="10800000">
              <a:off x="2496" y="2828"/>
              <a:ext cx="104" cy="212"/>
              <a:chOff x="2272" y="2612"/>
              <a:chExt cx="104" cy="212"/>
            </a:xfrm>
          </xdr:grpSpPr>
          <xdr:sp macro="" textlink="">
            <xdr:nvSpPr>
              <xdr:cNvPr id="108" name="Line 273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" name="Line 274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" name="Line 275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" name="Line 276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1" name="Group 277"/>
            <xdr:cNvGrpSpPr>
              <a:grpSpLocks/>
            </xdr:cNvGrpSpPr>
          </xdr:nvGrpSpPr>
          <xdr:grpSpPr bwMode="auto">
            <a:xfrm>
              <a:off x="3564" y="2120"/>
              <a:ext cx="104" cy="212"/>
              <a:chOff x="2272" y="2612"/>
              <a:chExt cx="104" cy="212"/>
            </a:xfrm>
          </xdr:grpSpPr>
          <xdr:sp macro="" textlink="">
            <xdr:nvSpPr>
              <xdr:cNvPr id="104" name="Line 278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" name="Line 279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" name="Line 280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" name="Line 281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2" name="Freeform 282"/>
            <xdr:cNvSpPr>
              <a:spLocks/>
            </xdr:cNvSpPr>
          </xdr:nvSpPr>
          <xdr:spPr bwMode="auto">
            <a:xfrm rot="10800000">
              <a:off x="2516" y="2712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Line 283"/>
            <xdr:cNvSpPr>
              <a:spLocks noChangeShapeType="1"/>
            </xdr:cNvSpPr>
          </xdr:nvSpPr>
          <xdr:spPr bwMode="auto">
            <a:xfrm>
              <a:off x="2548" y="2620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Oval 284"/>
            <xdr:cNvSpPr>
              <a:spLocks noChangeArrowheads="1"/>
            </xdr:cNvSpPr>
          </xdr:nvSpPr>
          <xdr:spPr bwMode="auto">
            <a:xfrm>
              <a:off x="2528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" name="Line 285"/>
            <xdr:cNvSpPr>
              <a:spLocks noChangeShapeType="1"/>
            </xdr:cNvSpPr>
          </xdr:nvSpPr>
          <xdr:spPr bwMode="auto">
            <a:xfrm>
              <a:off x="3444" y="2276"/>
              <a:ext cx="4" cy="4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86"/>
            <xdr:cNvSpPr>
              <a:spLocks noChangeShapeType="1"/>
            </xdr:cNvSpPr>
          </xdr:nvSpPr>
          <xdr:spPr bwMode="auto">
            <a:xfrm>
              <a:off x="3452" y="2864"/>
              <a:ext cx="0" cy="1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287"/>
            <xdr:cNvSpPr>
              <a:spLocks noChangeShapeType="1"/>
            </xdr:cNvSpPr>
          </xdr:nvSpPr>
          <xdr:spPr bwMode="auto">
            <a:xfrm>
              <a:off x="3400" y="3004"/>
              <a:ext cx="10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88"/>
            <xdr:cNvSpPr>
              <a:spLocks noChangeShapeType="1"/>
            </xdr:cNvSpPr>
          </xdr:nvSpPr>
          <xdr:spPr bwMode="auto">
            <a:xfrm>
              <a:off x="3424" y="3024"/>
              <a:ext cx="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289"/>
            <xdr:cNvSpPr>
              <a:spLocks noChangeShapeType="1"/>
            </xdr:cNvSpPr>
          </xdr:nvSpPr>
          <xdr:spPr bwMode="auto">
            <a:xfrm>
              <a:off x="3440" y="3044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90"/>
            <xdr:cNvSpPr>
              <a:spLocks noChangeShapeType="1"/>
            </xdr:cNvSpPr>
          </xdr:nvSpPr>
          <xdr:spPr bwMode="auto">
            <a:xfrm>
              <a:off x="3448" y="2540"/>
              <a:ext cx="16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291"/>
            <xdr:cNvSpPr>
              <a:spLocks noChangeShapeType="1"/>
            </xdr:cNvSpPr>
          </xdr:nvSpPr>
          <xdr:spPr bwMode="auto">
            <a:xfrm flipV="1">
              <a:off x="3616" y="2320"/>
              <a:ext cx="0" cy="2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92"/>
            <xdr:cNvSpPr>
              <a:spLocks noChangeShapeType="1"/>
            </xdr:cNvSpPr>
          </xdr:nvSpPr>
          <xdr:spPr bwMode="auto">
            <a:xfrm flipV="1">
              <a:off x="3440" y="1904"/>
              <a:ext cx="0" cy="2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293"/>
            <xdr:cNvSpPr>
              <a:spLocks noChangeShapeType="1"/>
            </xdr:cNvSpPr>
          </xdr:nvSpPr>
          <xdr:spPr bwMode="auto">
            <a:xfrm flipV="1">
              <a:off x="3616" y="1828"/>
              <a:ext cx="0" cy="3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94"/>
            <xdr:cNvSpPr>
              <a:spLocks noChangeShapeType="1"/>
            </xdr:cNvSpPr>
          </xdr:nvSpPr>
          <xdr:spPr bwMode="auto">
            <a:xfrm>
              <a:off x="3208" y="1904"/>
              <a:ext cx="4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Rectangle 295"/>
            <xdr:cNvSpPr>
              <a:spLocks noChangeArrowheads="1"/>
            </xdr:cNvSpPr>
          </xdr:nvSpPr>
          <xdr:spPr bwMode="auto">
            <a:xfrm>
              <a:off x="2599" y="2752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6" name="Rectangle 296"/>
            <xdr:cNvSpPr>
              <a:spLocks noChangeArrowheads="1"/>
            </xdr:cNvSpPr>
          </xdr:nvSpPr>
          <xdr:spPr bwMode="auto">
            <a:xfrm>
              <a:off x="2612" y="2893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7" name="Rectangle 297"/>
            <xdr:cNvSpPr>
              <a:spLocks noChangeArrowheads="1"/>
            </xdr:cNvSpPr>
          </xdr:nvSpPr>
          <xdr:spPr bwMode="auto">
            <a:xfrm>
              <a:off x="3344" y="2752"/>
              <a:ext cx="102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R2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Rectangle 298"/>
            <xdr:cNvSpPr>
              <a:spLocks noChangeArrowheads="1"/>
            </xdr:cNvSpPr>
          </xdr:nvSpPr>
          <xdr:spPr bwMode="auto">
            <a:xfrm>
              <a:off x="3324" y="2188"/>
              <a:ext cx="98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R1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Rectangle 299"/>
            <xdr:cNvSpPr>
              <a:spLocks noChangeArrowheads="1"/>
            </xdr:cNvSpPr>
          </xdr:nvSpPr>
          <xdr:spPr bwMode="auto">
            <a:xfrm>
              <a:off x="3697" y="2196"/>
              <a:ext cx="119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C4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0" name="Oval 300"/>
            <xdr:cNvSpPr>
              <a:spLocks noChangeArrowheads="1"/>
            </xdr:cNvSpPr>
          </xdr:nvSpPr>
          <xdr:spPr bwMode="auto">
            <a:xfrm>
              <a:off x="3428" y="2520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Oval 301"/>
            <xdr:cNvSpPr>
              <a:spLocks noChangeArrowheads="1"/>
            </xdr:cNvSpPr>
          </xdr:nvSpPr>
          <xdr:spPr bwMode="auto">
            <a:xfrm>
              <a:off x="3596" y="18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302"/>
            <xdr:cNvSpPr>
              <a:spLocks noChangeArrowheads="1"/>
            </xdr:cNvSpPr>
          </xdr:nvSpPr>
          <xdr:spPr bwMode="auto">
            <a:xfrm>
              <a:off x="3529" y="1724"/>
              <a:ext cx="156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63" name="Group 303"/>
            <xdr:cNvGrpSpPr>
              <a:grpSpLocks/>
            </xdr:cNvGrpSpPr>
          </xdr:nvGrpSpPr>
          <xdr:grpSpPr bwMode="auto">
            <a:xfrm>
              <a:off x="1596" y="2368"/>
              <a:ext cx="293" cy="329"/>
              <a:chOff x="3083" y="3207"/>
              <a:chExt cx="289" cy="329"/>
            </a:xfrm>
          </xdr:grpSpPr>
          <xdr:sp macro="" textlink="">
            <xdr:nvSpPr>
              <xdr:cNvPr id="102" name="Freeform 30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30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64" name="Group 306"/>
            <xdr:cNvGrpSpPr>
              <a:grpSpLocks/>
            </xdr:cNvGrpSpPr>
          </xdr:nvGrpSpPr>
          <xdr:grpSpPr bwMode="auto">
            <a:xfrm>
              <a:off x="2492" y="3076"/>
              <a:ext cx="108" cy="40"/>
              <a:chOff x="3396" y="3040"/>
              <a:chExt cx="108" cy="40"/>
            </a:xfrm>
          </xdr:grpSpPr>
          <xdr:sp macro="" textlink="">
            <xdr:nvSpPr>
              <xdr:cNvPr id="99" name="Line 307"/>
              <xdr:cNvSpPr>
                <a:spLocks noChangeShapeType="1"/>
              </xdr:cNvSpPr>
            </xdr:nvSpPr>
            <xdr:spPr bwMode="auto">
              <a:xfrm>
                <a:off x="3396" y="3040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0" name="Line 308"/>
              <xdr:cNvSpPr>
                <a:spLocks noChangeShapeType="1"/>
              </xdr:cNvSpPr>
            </xdr:nvSpPr>
            <xdr:spPr bwMode="auto">
              <a:xfrm>
                <a:off x="3420" y="3060"/>
                <a:ext cx="5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" name="Line 309"/>
              <xdr:cNvSpPr>
                <a:spLocks noChangeShapeType="1"/>
              </xdr:cNvSpPr>
            </xdr:nvSpPr>
            <xdr:spPr bwMode="auto">
              <a:xfrm>
                <a:off x="3436" y="3080"/>
                <a:ext cx="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5" name="Oval 310"/>
            <xdr:cNvSpPr>
              <a:spLocks noChangeArrowheads="1"/>
            </xdr:cNvSpPr>
          </xdr:nvSpPr>
          <xdr:spPr bwMode="auto">
            <a:xfrm>
              <a:off x="2096" y="2196"/>
              <a:ext cx="225" cy="21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6" name="Rectangle 311"/>
            <xdr:cNvSpPr>
              <a:spLocks noChangeArrowheads="1"/>
            </xdr:cNvSpPr>
          </xdr:nvSpPr>
          <xdr:spPr bwMode="auto">
            <a:xfrm>
              <a:off x="1838" y="2577"/>
              <a:ext cx="3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67" name="Oval 312"/>
            <xdr:cNvSpPr>
              <a:spLocks noChangeArrowheads="1"/>
            </xdr:cNvSpPr>
          </xdr:nvSpPr>
          <xdr:spPr bwMode="auto">
            <a:xfrm>
              <a:off x="3420" y="188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313"/>
            <xdr:cNvSpPr>
              <a:spLocks noChangeShapeType="1"/>
            </xdr:cNvSpPr>
          </xdr:nvSpPr>
          <xdr:spPr bwMode="auto">
            <a:xfrm flipH="1">
              <a:off x="2323" y="2315"/>
              <a:ext cx="32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9" name="Group 314"/>
            <xdr:cNvGrpSpPr>
              <a:grpSpLocks/>
            </xdr:cNvGrpSpPr>
          </xdr:nvGrpSpPr>
          <xdr:grpSpPr bwMode="auto">
            <a:xfrm rot="10800000">
              <a:off x="2368" y="2732"/>
              <a:ext cx="104" cy="212"/>
              <a:chOff x="2272" y="2612"/>
              <a:chExt cx="104" cy="212"/>
            </a:xfrm>
          </xdr:grpSpPr>
          <xdr:sp macro="" textlink="">
            <xdr:nvSpPr>
              <xdr:cNvPr id="95" name="Line 315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316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317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318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0" name="Line 319"/>
            <xdr:cNvSpPr>
              <a:spLocks noChangeShapeType="1"/>
            </xdr:cNvSpPr>
          </xdr:nvSpPr>
          <xdr:spPr bwMode="auto">
            <a:xfrm>
              <a:off x="2420" y="2628"/>
              <a:ext cx="0" cy="1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Oval 320"/>
            <xdr:cNvSpPr>
              <a:spLocks noChangeArrowheads="1"/>
            </xdr:cNvSpPr>
          </xdr:nvSpPr>
          <xdr:spPr bwMode="auto">
            <a:xfrm>
              <a:off x="2400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" name="Line 321"/>
            <xdr:cNvSpPr>
              <a:spLocks noChangeShapeType="1"/>
            </xdr:cNvSpPr>
          </xdr:nvSpPr>
          <xdr:spPr bwMode="auto">
            <a:xfrm>
              <a:off x="2420" y="2936"/>
              <a:ext cx="0" cy="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22"/>
            <xdr:cNvSpPr>
              <a:spLocks noChangeShapeType="1"/>
            </xdr:cNvSpPr>
          </xdr:nvSpPr>
          <xdr:spPr bwMode="auto">
            <a:xfrm>
              <a:off x="2548" y="298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23"/>
            <xdr:cNvSpPr>
              <a:spLocks noChangeShapeType="1"/>
            </xdr:cNvSpPr>
          </xdr:nvSpPr>
          <xdr:spPr bwMode="auto">
            <a:xfrm>
              <a:off x="2424" y="3008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Oval 324"/>
            <xdr:cNvSpPr>
              <a:spLocks noChangeArrowheads="1"/>
            </xdr:cNvSpPr>
          </xdr:nvSpPr>
          <xdr:spPr bwMode="auto">
            <a:xfrm>
              <a:off x="2532" y="29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Rectangle 325"/>
            <xdr:cNvSpPr>
              <a:spLocks noChangeArrowheads="1"/>
            </xdr:cNvSpPr>
          </xdr:nvSpPr>
          <xdr:spPr bwMode="auto">
            <a:xfrm>
              <a:off x="2272" y="2794"/>
              <a:ext cx="65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C6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7" name="Line 326"/>
            <xdr:cNvSpPr>
              <a:spLocks noChangeShapeType="1"/>
            </xdr:cNvSpPr>
          </xdr:nvSpPr>
          <xdr:spPr bwMode="auto">
            <a:xfrm flipV="1">
              <a:off x="2212" y="2104"/>
              <a:ext cx="0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Rectangle 327"/>
            <xdr:cNvSpPr>
              <a:spLocks noChangeArrowheads="1"/>
            </xdr:cNvSpPr>
          </xdr:nvSpPr>
          <xdr:spPr bwMode="auto">
            <a:xfrm>
              <a:off x="2100" y="2025"/>
              <a:ext cx="8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9" name="Line 328"/>
            <xdr:cNvSpPr>
              <a:spLocks noChangeShapeType="1"/>
            </xdr:cNvSpPr>
          </xdr:nvSpPr>
          <xdr:spPr bwMode="auto">
            <a:xfrm flipH="1">
              <a:off x="1967" y="2299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329"/>
            <xdr:cNvSpPr>
              <a:spLocks noChangeShapeType="1"/>
            </xdr:cNvSpPr>
          </xdr:nvSpPr>
          <xdr:spPr bwMode="auto">
            <a:xfrm flipH="1">
              <a:off x="1887" y="2435"/>
              <a:ext cx="7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330"/>
            <xdr:cNvSpPr>
              <a:spLocks noChangeShapeType="1"/>
            </xdr:cNvSpPr>
          </xdr:nvSpPr>
          <xdr:spPr bwMode="auto">
            <a:xfrm rot="16200000" flipH="1">
              <a:off x="1903" y="2367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331"/>
            <xdr:cNvSpPr>
              <a:spLocks noChangeArrowheads="1"/>
            </xdr:cNvSpPr>
          </xdr:nvSpPr>
          <xdr:spPr bwMode="auto">
            <a:xfrm>
              <a:off x="2771" y="2573"/>
              <a:ext cx="10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gm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85" name="Line 338"/>
            <xdr:cNvSpPr>
              <a:spLocks noChangeShapeType="1"/>
            </xdr:cNvSpPr>
          </xdr:nvSpPr>
          <xdr:spPr bwMode="auto">
            <a:xfrm flipV="1">
              <a:off x="3615" y="2316"/>
              <a:ext cx="1" cy="21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Rectangle 343"/>
            <xdr:cNvSpPr>
              <a:spLocks noChangeArrowheads="1"/>
            </xdr:cNvSpPr>
          </xdr:nvSpPr>
          <xdr:spPr bwMode="auto">
            <a:xfrm>
              <a:off x="2403" y="2219"/>
              <a:ext cx="8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RT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4" name="Rectangle 344"/>
          <xdr:cNvSpPr>
            <a:spLocks noChangeArrowheads="1"/>
          </xdr:cNvSpPr>
        </xdr:nvSpPr>
        <xdr:spPr bwMode="auto">
          <a:xfrm>
            <a:off x="1576" y="1716"/>
            <a:ext cx="2272" cy="14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35</xdr:row>
      <xdr:rowOff>123825</xdr:rowOff>
    </xdr:from>
    <xdr:to>
      <xdr:col>8</xdr:col>
      <xdr:colOff>66675</xdr:colOff>
      <xdr:row>66</xdr:row>
      <xdr:rowOff>57150</xdr:rowOff>
    </xdr:to>
    <xdr:grpSp>
      <xdr:nvGrpSpPr>
        <xdr:cNvPr id="122" name="Group 121"/>
        <xdr:cNvGrpSpPr/>
      </xdr:nvGrpSpPr>
      <xdr:grpSpPr>
        <a:xfrm>
          <a:off x="0" y="7029450"/>
          <a:ext cx="6853238" cy="5886450"/>
          <a:chOff x="0" y="6953250"/>
          <a:chExt cx="6858000" cy="5848350"/>
        </a:xfrm>
      </xdr:grpSpPr>
      <xdr:grpSp>
        <xdr:nvGrpSpPr>
          <xdr:cNvPr id="2" name="Group 223"/>
          <xdr:cNvGrpSpPr>
            <a:grpSpLocks/>
          </xdr:cNvGrpSpPr>
        </xdr:nvGrpSpPr>
        <xdr:grpSpPr bwMode="auto">
          <a:xfrm>
            <a:off x="0" y="6953250"/>
            <a:ext cx="6858000" cy="5848350"/>
            <a:chOff x="869" y="25"/>
            <a:chExt cx="562" cy="481"/>
          </a:xfrm>
        </xdr:grpSpPr>
        <xdr:pic>
          <xdr:nvPicPr>
            <xdr:cNvPr id="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9" y="25"/>
              <a:ext cx="562" cy="48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Text Box 9"/>
            <xdr:cNvSpPr txBox="1">
              <a:spLocks noChangeArrowheads="1"/>
            </xdr:cNvSpPr>
          </xdr:nvSpPr>
          <xdr:spPr bwMode="auto">
            <a:xfrm>
              <a:off x="896" y="394"/>
              <a:ext cx="56" cy="4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  <a:r>
                <a:rPr lang="en-US" sz="18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  <a:p>
              <a:pPr algn="l" rtl="0"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120" name="Straight Arrow Connector 119"/>
          <xdr:cNvCxnSpPr>
            <a:stCxn id="4" idx="3"/>
          </xdr:cNvCxnSpPr>
        </xdr:nvCxnSpPr>
        <xdr:spPr>
          <a:xfrm>
            <a:off x="1003077" y="11683571"/>
            <a:ext cx="435167" cy="3604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323850</xdr:colOff>
      <xdr:row>11</xdr:row>
      <xdr:rowOff>104775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505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583405</xdr:colOff>
      <xdr:row>26</xdr:row>
      <xdr:rowOff>202405</xdr:rowOff>
    </xdr:from>
    <xdr:to>
      <xdr:col>15</xdr:col>
      <xdr:colOff>1479374</xdr:colOff>
      <xdr:row>30</xdr:row>
      <xdr:rowOff>32915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239624" y="5262561"/>
          <a:ext cx="1646063" cy="64013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0.49606</cdr:x>
      <cdr:y>0.50122</cdr:y>
    </cdr:from>
    <cdr:to>
      <cdr:x>0.5263</cdr:x>
      <cdr:y>0.55443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287" y="1702561"/>
          <a:ext cx="171050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</cdr:x>
      <cdr:y>0.5017</cdr:y>
    </cdr:from>
    <cdr:to>
      <cdr:x>0.53197</cdr:x>
      <cdr:y>0.5537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405" y="1703388"/>
          <a:ext cx="170022" cy="180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0.50614</cdr:x>
      <cdr:y>0.5017</cdr:y>
    </cdr:from>
    <cdr:to>
      <cdr:x>0.53516</cdr:x>
      <cdr:y>0.55419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66" y="1708150"/>
          <a:ext cx="170593" cy="181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0.49852</cdr:x>
      <cdr:y>0.54861</cdr:y>
    </cdr:from>
    <cdr:to>
      <cdr:x>0.52803</cdr:x>
      <cdr:y>0.59576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735" y="1879124"/>
          <a:ext cx="170307" cy="16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0.54885</cdr:y>
    </cdr:from>
    <cdr:to>
      <cdr:x>0.52433</cdr:x>
      <cdr:y>0.59576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147" y="1885196"/>
          <a:ext cx="170821" cy="16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M118"/>
  <sheetViews>
    <sheetView tabSelected="1" topLeftCell="A13" zoomScale="120" zoomScaleNormal="120" workbookViewId="0">
      <selection activeCell="B17" sqref="B17"/>
    </sheetView>
  </sheetViews>
  <sheetFormatPr defaultRowHeight="13"/>
  <cols>
    <col min="1" max="1" width="34.26953125" style="2" bestFit="1" customWidth="1"/>
    <col min="2" max="2" width="10.81640625" style="2" customWidth="1"/>
    <col min="3" max="3" width="7" style="2" customWidth="1"/>
    <col min="4" max="4" width="2.54296875" style="2" customWidth="1"/>
    <col min="5" max="5" width="26" style="2" customWidth="1"/>
    <col min="6" max="6" width="10.1796875" style="2" customWidth="1"/>
    <col min="7" max="9" width="9.1796875" style="2"/>
    <col min="10" max="10" width="14.26953125" style="2" bestFit="1" customWidth="1"/>
    <col min="11" max="11" width="15" style="2" bestFit="1" customWidth="1"/>
    <col min="12" max="12" width="13.7265625" style="2" bestFit="1" customWidth="1"/>
    <col min="13" max="256" width="9.1796875" style="2"/>
    <col min="257" max="257" width="34.26953125" style="2" bestFit="1" customWidth="1"/>
    <col min="258" max="258" width="10.81640625" style="2" customWidth="1"/>
    <col min="259" max="259" width="7" style="2" customWidth="1"/>
    <col min="260" max="260" width="2.54296875" style="2" customWidth="1"/>
    <col min="261" max="261" width="26" style="2" customWidth="1"/>
    <col min="262" max="262" width="10.1796875" style="2" customWidth="1"/>
    <col min="263" max="265" width="9.1796875" style="2"/>
    <col min="266" max="266" width="14.26953125" style="2" bestFit="1" customWidth="1"/>
    <col min="267" max="267" width="15" style="2" bestFit="1" customWidth="1"/>
    <col min="268" max="268" width="13.7265625" style="2" bestFit="1" customWidth="1"/>
    <col min="269" max="512" width="9.1796875" style="2"/>
    <col min="513" max="513" width="34.26953125" style="2" bestFit="1" customWidth="1"/>
    <col min="514" max="514" width="10.81640625" style="2" customWidth="1"/>
    <col min="515" max="515" width="7" style="2" customWidth="1"/>
    <col min="516" max="516" width="2.54296875" style="2" customWidth="1"/>
    <col min="517" max="517" width="26" style="2" customWidth="1"/>
    <col min="518" max="518" width="10.1796875" style="2" customWidth="1"/>
    <col min="519" max="521" width="9.1796875" style="2"/>
    <col min="522" max="522" width="14.26953125" style="2" bestFit="1" customWidth="1"/>
    <col min="523" max="523" width="15" style="2" bestFit="1" customWidth="1"/>
    <col min="524" max="524" width="13.7265625" style="2" bestFit="1" customWidth="1"/>
    <col min="525" max="768" width="9.1796875" style="2"/>
    <col min="769" max="769" width="34.26953125" style="2" bestFit="1" customWidth="1"/>
    <col min="770" max="770" width="10.81640625" style="2" customWidth="1"/>
    <col min="771" max="771" width="7" style="2" customWidth="1"/>
    <col min="772" max="772" width="2.54296875" style="2" customWidth="1"/>
    <col min="773" max="773" width="26" style="2" customWidth="1"/>
    <col min="774" max="774" width="10.1796875" style="2" customWidth="1"/>
    <col min="775" max="777" width="9.1796875" style="2"/>
    <col min="778" max="778" width="14.26953125" style="2" bestFit="1" customWidth="1"/>
    <col min="779" max="779" width="15" style="2" bestFit="1" customWidth="1"/>
    <col min="780" max="780" width="13.7265625" style="2" bestFit="1" customWidth="1"/>
    <col min="781" max="1024" width="9.1796875" style="2"/>
    <col min="1025" max="1025" width="34.26953125" style="2" bestFit="1" customWidth="1"/>
    <col min="1026" max="1026" width="10.81640625" style="2" customWidth="1"/>
    <col min="1027" max="1027" width="7" style="2" customWidth="1"/>
    <col min="1028" max="1028" width="2.54296875" style="2" customWidth="1"/>
    <col min="1029" max="1029" width="26" style="2" customWidth="1"/>
    <col min="1030" max="1030" width="10.1796875" style="2" customWidth="1"/>
    <col min="1031" max="1033" width="9.1796875" style="2"/>
    <col min="1034" max="1034" width="14.26953125" style="2" bestFit="1" customWidth="1"/>
    <col min="1035" max="1035" width="15" style="2" bestFit="1" customWidth="1"/>
    <col min="1036" max="1036" width="13.7265625" style="2" bestFit="1" customWidth="1"/>
    <col min="1037" max="1280" width="9.1796875" style="2"/>
    <col min="1281" max="1281" width="34.26953125" style="2" bestFit="1" customWidth="1"/>
    <col min="1282" max="1282" width="10.81640625" style="2" customWidth="1"/>
    <col min="1283" max="1283" width="7" style="2" customWidth="1"/>
    <col min="1284" max="1284" width="2.54296875" style="2" customWidth="1"/>
    <col min="1285" max="1285" width="26" style="2" customWidth="1"/>
    <col min="1286" max="1286" width="10.1796875" style="2" customWidth="1"/>
    <col min="1287" max="1289" width="9.1796875" style="2"/>
    <col min="1290" max="1290" width="14.26953125" style="2" bestFit="1" customWidth="1"/>
    <col min="1291" max="1291" width="15" style="2" bestFit="1" customWidth="1"/>
    <col min="1292" max="1292" width="13.7265625" style="2" bestFit="1" customWidth="1"/>
    <col min="1293" max="1536" width="9.1796875" style="2"/>
    <col min="1537" max="1537" width="34.26953125" style="2" bestFit="1" customWidth="1"/>
    <col min="1538" max="1538" width="10.81640625" style="2" customWidth="1"/>
    <col min="1539" max="1539" width="7" style="2" customWidth="1"/>
    <col min="1540" max="1540" width="2.54296875" style="2" customWidth="1"/>
    <col min="1541" max="1541" width="26" style="2" customWidth="1"/>
    <col min="1542" max="1542" width="10.1796875" style="2" customWidth="1"/>
    <col min="1543" max="1545" width="9.1796875" style="2"/>
    <col min="1546" max="1546" width="14.26953125" style="2" bestFit="1" customWidth="1"/>
    <col min="1547" max="1547" width="15" style="2" bestFit="1" customWidth="1"/>
    <col min="1548" max="1548" width="13.7265625" style="2" bestFit="1" customWidth="1"/>
    <col min="1549" max="1792" width="9.1796875" style="2"/>
    <col min="1793" max="1793" width="34.26953125" style="2" bestFit="1" customWidth="1"/>
    <col min="1794" max="1794" width="10.81640625" style="2" customWidth="1"/>
    <col min="1795" max="1795" width="7" style="2" customWidth="1"/>
    <col min="1796" max="1796" width="2.54296875" style="2" customWidth="1"/>
    <col min="1797" max="1797" width="26" style="2" customWidth="1"/>
    <col min="1798" max="1798" width="10.1796875" style="2" customWidth="1"/>
    <col min="1799" max="1801" width="9.1796875" style="2"/>
    <col min="1802" max="1802" width="14.26953125" style="2" bestFit="1" customWidth="1"/>
    <col min="1803" max="1803" width="15" style="2" bestFit="1" customWidth="1"/>
    <col min="1804" max="1804" width="13.7265625" style="2" bestFit="1" customWidth="1"/>
    <col min="1805" max="2048" width="9.1796875" style="2"/>
    <col min="2049" max="2049" width="34.26953125" style="2" bestFit="1" customWidth="1"/>
    <col min="2050" max="2050" width="10.81640625" style="2" customWidth="1"/>
    <col min="2051" max="2051" width="7" style="2" customWidth="1"/>
    <col min="2052" max="2052" width="2.54296875" style="2" customWidth="1"/>
    <col min="2053" max="2053" width="26" style="2" customWidth="1"/>
    <col min="2054" max="2054" width="10.1796875" style="2" customWidth="1"/>
    <col min="2055" max="2057" width="9.1796875" style="2"/>
    <col min="2058" max="2058" width="14.26953125" style="2" bestFit="1" customWidth="1"/>
    <col min="2059" max="2059" width="15" style="2" bestFit="1" customWidth="1"/>
    <col min="2060" max="2060" width="13.7265625" style="2" bestFit="1" customWidth="1"/>
    <col min="2061" max="2304" width="9.1796875" style="2"/>
    <col min="2305" max="2305" width="34.26953125" style="2" bestFit="1" customWidth="1"/>
    <col min="2306" max="2306" width="10.81640625" style="2" customWidth="1"/>
    <col min="2307" max="2307" width="7" style="2" customWidth="1"/>
    <col min="2308" max="2308" width="2.54296875" style="2" customWidth="1"/>
    <col min="2309" max="2309" width="26" style="2" customWidth="1"/>
    <col min="2310" max="2310" width="10.1796875" style="2" customWidth="1"/>
    <col min="2311" max="2313" width="9.1796875" style="2"/>
    <col min="2314" max="2314" width="14.26953125" style="2" bestFit="1" customWidth="1"/>
    <col min="2315" max="2315" width="15" style="2" bestFit="1" customWidth="1"/>
    <col min="2316" max="2316" width="13.7265625" style="2" bestFit="1" customWidth="1"/>
    <col min="2317" max="2560" width="9.1796875" style="2"/>
    <col min="2561" max="2561" width="34.26953125" style="2" bestFit="1" customWidth="1"/>
    <col min="2562" max="2562" width="10.81640625" style="2" customWidth="1"/>
    <col min="2563" max="2563" width="7" style="2" customWidth="1"/>
    <col min="2564" max="2564" width="2.54296875" style="2" customWidth="1"/>
    <col min="2565" max="2565" width="26" style="2" customWidth="1"/>
    <col min="2566" max="2566" width="10.1796875" style="2" customWidth="1"/>
    <col min="2567" max="2569" width="9.1796875" style="2"/>
    <col min="2570" max="2570" width="14.26953125" style="2" bestFit="1" customWidth="1"/>
    <col min="2571" max="2571" width="15" style="2" bestFit="1" customWidth="1"/>
    <col min="2572" max="2572" width="13.7265625" style="2" bestFit="1" customWidth="1"/>
    <col min="2573" max="2816" width="9.1796875" style="2"/>
    <col min="2817" max="2817" width="34.26953125" style="2" bestFit="1" customWidth="1"/>
    <col min="2818" max="2818" width="10.81640625" style="2" customWidth="1"/>
    <col min="2819" max="2819" width="7" style="2" customWidth="1"/>
    <col min="2820" max="2820" width="2.54296875" style="2" customWidth="1"/>
    <col min="2821" max="2821" width="26" style="2" customWidth="1"/>
    <col min="2822" max="2822" width="10.1796875" style="2" customWidth="1"/>
    <col min="2823" max="2825" width="9.1796875" style="2"/>
    <col min="2826" max="2826" width="14.26953125" style="2" bestFit="1" customWidth="1"/>
    <col min="2827" max="2827" width="15" style="2" bestFit="1" customWidth="1"/>
    <col min="2828" max="2828" width="13.7265625" style="2" bestFit="1" customWidth="1"/>
    <col min="2829" max="3072" width="9.1796875" style="2"/>
    <col min="3073" max="3073" width="34.26953125" style="2" bestFit="1" customWidth="1"/>
    <col min="3074" max="3074" width="10.81640625" style="2" customWidth="1"/>
    <col min="3075" max="3075" width="7" style="2" customWidth="1"/>
    <col min="3076" max="3076" width="2.54296875" style="2" customWidth="1"/>
    <col min="3077" max="3077" width="26" style="2" customWidth="1"/>
    <col min="3078" max="3078" width="10.1796875" style="2" customWidth="1"/>
    <col min="3079" max="3081" width="9.1796875" style="2"/>
    <col min="3082" max="3082" width="14.26953125" style="2" bestFit="1" customWidth="1"/>
    <col min="3083" max="3083" width="15" style="2" bestFit="1" customWidth="1"/>
    <col min="3084" max="3084" width="13.7265625" style="2" bestFit="1" customWidth="1"/>
    <col min="3085" max="3328" width="9.1796875" style="2"/>
    <col min="3329" max="3329" width="34.26953125" style="2" bestFit="1" customWidth="1"/>
    <col min="3330" max="3330" width="10.81640625" style="2" customWidth="1"/>
    <col min="3331" max="3331" width="7" style="2" customWidth="1"/>
    <col min="3332" max="3332" width="2.54296875" style="2" customWidth="1"/>
    <col min="3333" max="3333" width="26" style="2" customWidth="1"/>
    <col min="3334" max="3334" width="10.1796875" style="2" customWidth="1"/>
    <col min="3335" max="3337" width="9.1796875" style="2"/>
    <col min="3338" max="3338" width="14.26953125" style="2" bestFit="1" customWidth="1"/>
    <col min="3339" max="3339" width="15" style="2" bestFit="1" customWidth="1"/>
    <col min="3340" max="3340" width="13.7265625" style="2" bestFit="1" customWidth="1"/>
    <col min="3341" max="3584" width="9.1796875" style="2"/>
    <col min="3585" max="3585" width="34.26953125" style="2" bestFit="1" customWidth="1"/>
    <col min="3586" max="3586" width="10.81640625" style="2" customWidth="1"/>
    <col min="3587" max="3587" width="7" style="2" customWidth="1"/>
    <col min="3588" max="3588" width="2.54296875" style="2" customWidth="1"/>
    <col min="3589" max="3589" width="26" style="2" customWidth="1"/>
    <col min="3590" max="3590" width="10.1796875" style="2" customWidth="1"/>
    <col min="3591" max="3593" width="9.1796875" style="2"/>
    <col min="3594" max="3594" width="14.26953125" style="2" bestFit="1" customWidth="1"/>
    <col min="3595" max="3595" width="15" style="2" bestFit="1" customWidth="1"/>
    <col min="3596" max="3596" width="13.7265625" style="2" bestFit="1" customWidth="1"/>
    <col min="3597" max="3840" width="9.1796875" style="2"/>
    <col min="3841" max="3841" width="34.26953125" style="2" bestFit="1" customWidth="1"/>
    <col min="3842" max="3842" width="10.81640625" style="2" customWidth="1"/>
    <col min="3843" max="3843" width="7" style="2" customWidth="1"/>
    <col min="3844" max="3844" width="2.54296875" style="2" customWidth="1"/>
    <col min="3845" max="3845" width="26" style="2" customWidth="1"/>
    <col min="3846" max="3846" width="10.1796875" style="2" customWidth="1"/>
    <col min="3847" max="3849" width="9.1796875" style="2"/>
    <col min="3850" max="3850" width="14.26953125" style="2" bestFit="1" customWidth="1"/>
    <col min="3851" max="3851" width="15" style="2" bestFit="1" customWidth="1"/>
    <col min="3852" max="3852" width="13.7265625" style="2" bestFit="1" customWidth="1"/>
    <col min="3853" max="4096" width="9.1796875" style="2"/>
    <col min="4097" max="4097" width="34.26953125" style="2" bestFit="1" customWidth="1"/>
    <col min="4098" max="4098" width="10.81640625" style="2" customWidth="1"/>
    <col min="4099" max="4099" width="7" style="2" customWidth="1"/>
    <col min="4100" max="4100" width="2.54296875" style="2" customWidth="1"/>
    <col min="4101" max="4101" width="26" style="2" customWidth="1"/>
    <col min="4102" max="4102" width="10.1796875" style="2" customWidth="1"/>
    <col min="4103" max="4105" width="9.1796875" style="2"/>
    <col min="4106" max="4106" width="14.26953125" style="2" bestFit="1" customWidth="1"/>
    <col min="4107" max="4107" width="15" style="2" bestFit="1" customWidth="1"/>
    <col min="4108" max="4108" width="13.7265625" style="2" bestFit="1" customWidth="1"/>
    <col min="4109" max="4352" width="9.1796875" style="2"/>
    <col min="4353" max="4353" width="34.26953125" style="2" bestFit="1" customWidth="1"/>
    <col min="4354" max="4354" width="10.81640625" style="2" customWidth="1"/>
    <col min="4355" max="4355" width="7" style="2" customWidth="1"/>
    <col min="4356" max="4356" width="2.54296875" style="2" customWidth="1"/>
    <col min="4357" max="4357" width="26" style="2" customWidth="1"/>
    <col min="4358" max="4358" width="10.1796875" style="2" customWidth="1"/>
    <col min="4359" max="4361" width="9.1796875" style="2"/>
    <col min="4362" max="4362" width="14.26953125" style="2" bestFit="1" customWidth="1"/>
    <col min="4363" max="4363" width="15" style="2" bestFit="1" customWidth="1"/>
    <col min="4364" max="4364" width="13.7265625" style="2" bestFit="1" customWidth="1"/>
    <col min="4365" max="4608" width="9.1796875" style="2"/>
    <col min="4609" max="4609" width="34.26953125" style="2" bestFit="1" customWidth="1"/>
    <col min="4610" max="4610" width="10.81640625" style="2" customWidth="1"/>
    <col min="4611" max="4611" width="7" style="2" customWidth="1"/>
    <col min="4612" max="4612" width="2.54296875" style="2" customWidth="1"/>
    <col min="4613" max="4613" width="26" style="2" customWidth="1"/>
    <col min="4614" max="4614" width="10.1796875" style="2" customWidth="1"/>
    <col min="4615" max="4617" width="9.1796875" style="2"/>
    <col min="4618" max="4618" width="14.26953125" style="2" bestFit="1" customWidth="1"/>
    <col min="4619" max="4619" width="15" style="2" bestFit="1" customWidth="1"/>
    <col min="4620" max="4620" width="13.7265625" style="2" bestFit="1" customWidth="1"/>
    <col min="4621" max="4864" width="9.1796875" style="2"/>
    <col min="4865" max="4865" width="34.26953125" style="2" bestFit="1" customWidth="1"/>
    <col min="4866" max="4866" width="10.81640625" style="2" customWidth="1"/>
    <col min="4867" max="4867" width="7" style="2" customWidth="1"/>
    <col min="4868" max="4868" width="2.54296875" style="2" customWidth="1"/>
    <col min="4869" max="4869" width="26" style="2" customWidth="1"/>
    <col min="4870" max="4870" width="10.1796875" style="2" customWidth="1"/>
    <col min="4871" max="4873" width="9.1796875" style="2"/>
    <col min="4874" max="4874" width="14.26953125" style="2" bestFit="1" customWidth="1"/>
    <col min="4875" max="4875" width="15" style="2" bestFit="1" customWidth="1"/>
    <col min="4876" max="4876" width="13.7265625" style="2" bestFit="1" customWidth="1"/>
    <col min="4877" max="5120" width="9.1796875" style="2"/>
    <col min="5121" max="5121" width="34.26953125" style="2" bestFit="1" customWidth="1"/>
    <col min="5122" max="5122" width="10.81640625" style="2" customWidth="1"/>
    <col min="5123" max="5123" width="7" style="2" customWidth="1"/>
    <col min="5124" max="5124" width="2.54296875" style="2" customWidth="1"/>
    <col min="5125" max="5125" width="26" style="2" customWidth="1"/>
    <col min="5126" max="5126" width="10.1796875" style="2" customWidth="1"/>
    <col min="5127" max="5129" width="9.1796875" style="2"/>
    <col min="5130" max="5130" width="14.26953125" style="2" bestFit="1" customWidth="1"/>
    <col min="5131" max="5131" width="15" style="2" bestFit="1" customWidth="1"/>
    <col min="5132" max="5132" width="13.7265625" style="2" bestFit="1" customWidth="1"/>
    <col min="5133" max="5376" width="9.1796875" style="2"/>
    <col min="5377" max="5377" width="34.26953125" style="2" bestFit="1" customWidth="1"/>
    <col min="5378" max="5378" width="10.81640625" style="2" customWidth="1"/>
    <col min="5379" max="5379" width="7" style="2" customWidth="1"/>
    <col min="5380" max="5380" width="2.54296875" style="2" customWidth="1"/>
    <col min="5381" max="5381" width="26" style="2" customWidth="1"/>
    <col min="5382" max="5382" width="10.1796875" style="2" customWidth="1"/>
    <col min="5383" max="5385" width="9.1796875" style="2"/>
    <col min="5386" max="5386" width="14.26953125" style="2" bestFit="1" customWidth="1"/>
    <col min="5387" max="5387" width="15" style="2" bestFit="1" customWidth="1"/>
    <col min="5388" max="5388" width="13.7265625" style="2" bestFit="1" customWidth="1"/>
    <col min="5389" max="5632" width="9.1796875" style="2"/>
    <col min="5633" max="5633" width="34.26953125" style="2" bestFit="1" customWidth="1"/>
    <col min="5634" max="5634" width="10.81640625" style="2" customWidth="1"/>
    <col min="5635" max="5635" width="7" style="2" customWidth="1"/>
    <col min="5636" max="5636" width="2.54296875" style="2" customWidth="1"/>
    <col min="5637" max="5637" width="26" style="2" customWidth="1"/>
    <col min="5638" max="5638" width="10.1796875" style="2" customWidth="1"/>
    <col min="5639" max="5641" width="9.1796875" style="2"/>
    <col min="5642" max="5642" width="14.26953125" style="2" bestFit="1" customWidth="1"/>
    <col min="5643" max="5643" width="15" style="2" bestFit="1" customWidth="1"/>
    <col min="5644" max="5644" width="13.7265625" style="2" bestFit="1" customWidth="1"/>
    <col min="5645" max="5888" width="9.1796875" style="2"/>
    <col min="5889" max="5889" width="34.26953125" style="2" bestFit="1" customWidth="1"/>
    <col min="5890" max="5890" width="10.81640625" style="2" customWidth="1"/>
    <col min="5891" max="5891" width="7" style="2" customWidth="1"/>
    <col min="5892" max="5892" width="2.54296875" style="2" customWidth="1"/>
    <col min="5893" max="5893" width="26" style="2" customWidth="1"/>
    <col min="5894" max="5894" width="10.1796875" style="2" customWidth="1"/>
    <col min="5895" max="5897" width="9.1796875" style="2"/>
    <col min="5898" max="5898" width="14.26953125" style="2" bestFit="1" customWidth="1"/>
    <col min="5899" max="5899" width="15" style="2" bestFit="1" customWidth="1"/>
    <col min="5900" max="5900" width="13.7265625" style="2" bestFit="1" customWidth="1"/>
    <col min="5901" max="6144" width="9.1796875" style="2"/>
    <col min="6145" max="6145" width="34.26953125" style="2" bestFit="1" customWidth="1"/>
    <col min="6146" max="6146" width="10.81640625" style="2" customWidth="1"/>
    <col min="6147" max="6147" width="7" style="2" customWidth="1"/>
    <col min="6148" max="6148" width="2.54296875" style="2" customWidth="1"/>
    <col min="6149" max="6149" width="26" style="2" customWidth="1"/>
    <col min="6150" max="6150" width="10.1796875" style="2" customWidth="1"/>
    <col min="6151" max="6153" width="9.1796875" style="2"/>
    <col min="6154" max="6154" width="14.26953125" style="2" bestFit="1" customWidth="1"/>
    <col min="6155" max="6155" width="15" style="2" bestFit="1" customWidth="1"/>
    <col min="6156" max="6156" width="13.7265625" style="2" bestFit="1" customWidth="1"/>
    <col min="6157" max="6400" width="9.1796875" style="2"/>
    <col min="6401" max="6401" width="34.26953125" style="2" bestFit="1" customWidth="1"/>
    <col min="6402" max="6402" width="10.81640625" style="2" customWidth="1"/>
    <col min="6403" max="6403" width="7" style="2" customWidth="1"/>
    <col min="6404" max="6404" width="2.54296875" style="2" customWidth="1"/>
    <col min="6405" max="6405" width="26" style="2" customWidth="1"/>
    <col min="6406" max="6406" width="10.1796875" style="2" customWidth="1"/>
    <col min="6407" max="6409" width="9.1796875" style="2"/>
    <col min="6410" max="6410" width="14.26953125" style="2" bestFit="1" customWidth="1"/>
    <col min="6411" max="6411" width="15" style="2" bestFit="1" customWidth="1"/>
    <col min="6412" max="6412" width="13.7265625" style="2" bestFit="1" customWidth="1"/>
    <col min="6413" max="6656" width="9.1796875" style="2"/>
    <col min="6657" max="6657" width="34.26953125" style="2" bestFit="1" customWidth="1"/>
    <col min="6658" max="6658" width="10.81640625" style="2" customWidth="1"/>
    <col min="6659" max="6659" width="7" style="2" customWidth="1"/>
    <col min="6660" max="6660" width="2.54296875" style="2" customWidth="1"/>
    <col min="6661" max="6661" width="26" style="2" customWidth="1"/>
    <col min="6662" max="6662" width="10.1796875" style="2" customWidth="1"/>
    <col min="6663" max="6665" width="9.1796875" style="2"/>
    <col min="6666" max="6666" width="14.26953125" style="2" bestFit="1" customWidth="1"/>
    <col min="6667" max="6667" width="15" style="2" bestFit="1" customWidth="1"/>
    <col min="6668" max="6668" width="13.7265625" style="2" bestFit="1" customWidth="1"/>
    <col min="6669" max="6912" width="9.1796875" style="2"/>
    <col min="6913" max="6913" width="34.26953125" style="2" bestFit="1" customWidth="1"/>
    <col min="6914" max="6914" width="10.81640625" style="2" customWidth="1"/>
    <col min="6915" max="6915" width="7" style="2" customWidth="1"/>
    <col min="6916" max="6916" width="2.54296875" style="2" customWidth="1"/>
    <col min="6917" max="6917" width="26" style="2" customWidth="1"/>
    <col min="6918" max="6918" width="10.1796875" style="2" customWidth="1"/>
    <col min="6919" max="6921" width="9.1796875" style="2"/>
    <col min="6922" max="6922" width="14.26953125" style="2" bestFit="1" customWidth="1"/>
    <col min="6923" max="6923" width="15" style="2" bestFit="1" customWidth="1"/>
    <col min="6924" max="6924" width="13.7265625" style="2" bestFit="1" customWidth="1"/>
    <col min="6925" max="7168" width="9.1796875" style="2"/>
    <col min="7169" max="7169" width="34.26953125" style="2" bestFit="1" customWidth="1"/>
    <col min="7170" max="7170" width="10.81640625" style="2" customWidth="1"/>
    <col min="7171" max="7171" width="7" style="2" customWidth="1"/>
    <col min="7172" max="7172" width="2.54296875" style="2" customWidth="1"/>
    <col min="7173" max="7173" width="26" style="2" customWidth="1"/>
    <col min="7174" max="7174" width="10.1796875" style="2" customWidth="1"/>
    <col min="7175" max="7177" width="9.1796875" style="2"/>
    <col min="7178" max="7178" width="14.26953125" style="2" bestFit="1" customWidth="1"/>
    <col min="7179" max="7179" width="15" style="2" bestFit="1" customWidth="1"/>
    <col min="7180" max="7180" width="13.7265625" style="2" bestFit="1" customWidth="1"/>
    <col min="7181" max="7424" width="9.1796875" style="2"/>
    <col min="7425" max="7425" width="34.26953125" style="2" bestFit="1" customWidth="1"/>
    <col min="7426" max="7426" width="10.81640625" style="2" customWidth="1"/>
    <col min="7427" max="7427" width="7" style="2" customWidth="1"/>
    <col min="7428" max="7428" width="2.54296875" style="2" customWidth="1"/>
    <col min="7429" max="7429" width="26" style="2" customWidth="1"/>
    <col min="7430" max="7430" width="10.1796875" style="2" customWidth="1"/>
    <col min="7431" max="7433" width="9.1796875" style="2"/>
    <col min="7434" max="7434" width="14.26953125" style="2" bestFit="1" customWidth="1"/>
    <col min="7435" max="7435" width="15" style="2" bestFit="1" customWidth="1"/>
    <col min="7436" max="7436" width="13.7265625" style="2" bestFit="1" customWidth="1"/>
    <col min="7437" max="7680" width="9.1796875" style="2"/>
    <col min="7681" max="7681" width="34.26953125" style="2" bestFit="1" customWidth="1"/>
    <col min="7682" max="7682" width="10.81640625" style="2" customWidth="1"/>
    <col min="7683" max="7683" width="7" style="2" customWidth="1"/>
    <col min="7684" max="7684" width="2.54296875" style="2" customWidth="1"/>
    <col min="7685" max="7685" width="26" style="2" customWidth="1"/>
    <col min="7686" max="7686" width="10.1796875" style="2" customWidth="1"/>
    <col min="7687" max="7689" width="9.1796875" style="2"/>
    <col min="7690" max="7690" width="14.26953125" style="2" bestFit="1" customWidth="1"/>
    <col min="7691" max="7691" width="15" style="2" bestFit="1" customWidth="1"/>
    <col min="7692" max="7692" width="13.7265625" style="2" bestFit="1" customWidth="1"/>
    <col min="7693" max="7936" width="9.1796875" style="2"/>
    <col min="7937" max="7937" width="34.26953125" style="2" bestFit="1" customWidth="1"/>
    <col min="7938" max="7938" width="10.81640625" style="2" customWidth="1"/>
    <col min="7939" max="7939" width="7" style="2" customWidth="1"/>
    <col min="7940" max="7940" width="2.54296875" style="2" customWidth="1"/>
    <col min="7941" max="7941" width="26" style="2" customWidth="1"/>
    <col min="7942" max="7942" width="10.1796875" style="2" customWidth="1"/>
    <col min="7943" max="7945" width="9.1796875" style="2"/>
    <col min="7946" max="7946" width="14.26953125" style="2" bestFit="1" customWidth="1"/>
    <col min="7947" max="7947" width="15" style="2" bestFit="1" customWidth="1"/>
    <col min="7948" max="7948" width="13.7265625" style="2" bestFit="1" customWidth="1"/>
    <col min="7949" max="8192" width="9.1796875" style="2"/>
    <col min="8193" max="8193" width="34.26953125" style="2" bestFit="1" customWidth="1"/>
    <col min="8194" max="8194" width="10.81640625" style="2" customWidth="1"/>
    <col min="8195" max="8195" width="7" style="2" customWidth="1"/>
    <col min="8196" max="8196" width="2.54296875" style="2" customWidth="1"/>
    <col min="8197" max="8197" width="26" style="2" customWidth="1"/>
    <col min="8198" max="8198" width="10.1796875" style="2" customWidth="1"/>
    <col min="8199" max="8201" width="9.1796875" style="2"/>
    <col min="8202" max="8202" width="14.26953125" style="2" bestFit="1" customWidth="1"/>
    <col min="8203" max="8203" width="15" style="2" bestFit="1" customWidth="1"/>
    <col min="8204" max="8204" width="13.7265625" style="2" bestFit="1" customWidth="1"/>
    <col min="8205" max="8448" width="9.1796875" style="2"/>
    <col min="8449" max="8449" width="34.26953125" style="2" bestFit="1" customWidth="1"/>
    <col min="8450" max="8450" width="10.81640625" style="2" customWidth="1"/>
    <col min="8451" max="8451" width="7" style="2" customWidth="1"/>
    <col min="8452" max="8452" width="2.54296875" style="2" customWidth="1"/>
    <col min="8453" max="8453" width="26" style="2" customWidth="1"/>
    <col min="8454" max="8454" width="10.1796875" style="2" customWidth="1"/>
    <col min="8455" max="8457" width="9.1796875" style="2"/>
    <col min="8458" max="8458" width="14.26953125" style="2" bestFit="1" customWidth="1"/>
    <col min="8459" max="8459" width="15" style="2" bestFit="1" customWidth="1"/>
    <col min="8460" max="8460" width="13.7265625" style="2" bestFit="1" customWidth="1"/>
    <col min="8461" max="8704" width="9.1796875" style="2"/>
    <col min="8705" max="8705" width="34.26953125" style="2" bestFit="1" customWidth="1"/>
    <col min="8706" max="8706" width="10.81640625" style="2" customWidth="1"/>
    <col min="8707" max="8707" width="7" style="2" customWidth="1"/>
    <col min="8708" max="8708" width="2.54296875" style="2" customWidth="1"/>
    <col min="8709" max="8709" width="26" style="2" customWidth="1"/>
    <col min="8710" max="8710" width="10.1796875" style="2" customWidth="1"/>
    <col min="8711" max="8713" width="9.1796875" style="2"/>
    <col min="8714" max="8714" width="14.26953125" style="2" bestFit="1" customWidth="1"/>
    <col min="8715" max="8715" width="15" style="2" bestFit="1" customWidth="1"/>
    <col min="8716" max="8716" width="13.7265625" style="2" bestFit="1" customWidth="1"/>
    <col min="8717" max="8960" width="9.1796875" style="2"/>
    <col min="8961" max="8961" width="34.26953125" style="2" bestFit="1" customWidth="1"/>
    <col min="8962" max="8962" width="10.81640625" style="2" customWidth="1"/>
    <col min="8963" max="8963" width="7" style="2" customWidth="1"/>
    <col min="8964" max="8964" width="2.54296875" style="2" customWidth="1"/>
    <col min="8965" max="8965" width="26" style="2" customWidth="1"/>
    <col min="8966" max="8966" width="10.1796875" style="2" customWidth="1"/>
    <col min="8967" max="8969" width="9.1796875" style="2"/>
    <col min="8970" max="8970" width="14.26953125" style="2" bestFit="1" customWidth="1"/>
    <col min="8971" max="8971" width="15" style="2" bestFit="1" customWidth="1"/>
    <col min="8972" max="8972" width="13.7265625" style="2" bestFit="1" customWidth="1"/>
    <col min="8973" max="9216" width="9.1796875" style="2"/>
    <col min="9217" max="9217" width="34.26953125" style="2" bestFit="1" customWidth="1"/>
    <col min="9218" max="9218" width="10.81640625" style="2" customWidth="1"/>
    <col min="9219" max="9219" width="7" style="2" customWidth="1"/>
    <col min="9220" max="9220" width="2.54296875" style="2" customWidth="1"/>
    <col min="9221" max="9221" width="26" style="2" customWidth="1"/>
    <col min="9222" max="9222" width="10.1796875" style="2" customWidth="1"/>
    <col min="9223" max="9225" width="9.1796875" style="2"/>
    <col min="9226" max="9226" width="14.26953125" style="2" bestFit="1" customWidth="1"/>
    <col min="9227" max="9227" width="15" style="2" bestFit="1" customWidth="1"/>
    <col min="9228" max="9228" width="13.7265625" style="2" bestFit="1" customWidth="1"/>
    <col min="9229" max="9472" width="9.1796875" style="2"/>
    <col min="9473" max="9473" width="34.26953125" style="2" bestFit="1" customWidth="1"/>
    <col min="9474" max="9474" width="10.81640625" style="2" customWidth="1"/>
    <col min="9475" max="9475" width="7" style="2" customWidth="1"/>
    <col min="9476" max="9476" width="2.54296875" style="2" customWidth="1"/>
    <col min="9477" max="9477" width="26" style="2" customWidth="1"/>
    <col min="9478" max="9478" width="10.1796875" style="2" customWidth="1"/>
    <col min="9479" max="9481" width="9.1796875" style="2"/>
    <col min="9482" max="9482" width="14.26953125" style="2" bestFit="1" customWidth="1"/>
    <col min="9483" max="9483" width="15" style="2" bestFit="1" customWidth="1"/>
    <col min="9484" max="9484" width="13.7265625" style="2" bestFit="1" customWidth="1"/>
    <col min="9485" max="9728" width="9.1796875" style="2"/>
    <col min="9729" max="9729" width="34.26953125" style="2" bestFit="1" customWidth="1"/>
    <col min="9730" max="9730" width="10.81640625" style="2" customWidth="1"/>
    <col min="9731" max="9731" width="7" style="2" customWidth="1"/>
    <col min="9732" max="9732" width="2.54296875" style="2" customWidth="1"/>
    <col min="9733" max="9733" width="26" style="2" customWidth="1"/>
    <col min="9734" max="9734" width="10.1796875" style="2" customWidth="1"/>
    <col min="9735" max="9737" width="9.1796875" style="2"/>
    <col min="9738" max="9738" width="14.26953125" style="2" bestFit="1" customWidth="1"/>
    <col min="9739" max="9739" width="15" style="2" bestFit="1" customWidth="1"/>
    <col min="9740" max="9740" width="13.7265625" style="2" bestFit="1" customWidth="1"/>
    <col min="9741" max="9984" width="9.1796875" style="2"/>
    <col min="9985" max="9985" width="34.26953125" style="2" bestFit="1" customWidth="1"/>
    <col min="9986" max="9986" width="10.81640625" style="2" customWidth="1"/>
    <col min="9987" max="9987" width="7" style="2" customWidth="1"/>
    <col min="9988" max="9988" width="2.54296875" style="2" customWidth="1"/>
    <col min="9989" max="9989" width="26" style="2" customWidth="1"/>
    <col min="9990" max="9990" width="10.1796875" style="2" customWidth="1"/>
    <col min="9991" max="9993" width="9.1796875" style="2"/>
    <col min="9994" max="9994" width="14.26953125" style="2" bestFit="1" customWidth="1"/>
    <col min="9995" max="9995" width="15" style="2" bestFit="1" customWidth="1"/>
    <col min="9996" max="9996" width="13.7265625" style="2" bestFit="1" customWidth="1"/>
    <col min="9997" max="10240" width="9.1796875" style="2"/>
    <col min="10241" max="10241" width="34.26953125" style="2" bestFit="1" customWidth="1"/>
    <col min="10242" max="10242" width="10.81640625" style="2" customWidth="1"/>
    <col min="10243" max="10243" width="7" style="2" customWidth="1"/>
    <col min="10244" max="10244" width="2.54296875" style="2" customWidth="1"/>
    <col min="10245" max="10245" width="26" style="2" customWidth="1"/>
    <col min="10246" max="10246" width="10.1796875" style="2" customWidth="1"/>
    <col min="10247" max="10249" width="9.1796875" style="2"/>
    <col min="10250" max="10250" width="14.26953125" style="2" bestFit="1" customWidth="1"/>
    <col min="10251" max="10251" width="15" style="2" bestFit="1" customWidth="1"/>
    <col min="10252" max="10252" width="13.7265625" style="2" bestFit="1" customWidth="1"/>
    <col min="10253" max="10496" width="9.1796875" style="2"/>
    <col min="10497" max="10497" width="34.26953125" style="2" bestFit="1" customWidth="1"/>
    <col min="10498" max="10498" width="10.81640625" style="2" customWidth="1"/>
    <col min="10499" max="10499" width="7" style="2" customWidth="1"/>
    <col min="10500" max="10500" width="2.54296875" style="2" customWidth="1"/>
    <col min="10501" max="10501" width="26" style="2" customWidth="1"/>
    <col min="10502" max="10502" width="10.1796875" style="2" customWidth="1"/>
    <col min="10503" max="10505" width="9.1796875" style="2"/>
    <col min="10506" max="10506" width="14.26953125" style="2" bestFit="1" customWidth="1"/>
    <col min="10507" max="10507" width="15" style="2" bestFit="1" customWidth="1"/>
    <col min="10508" max="10508" width="13.7265625" style="2" bestFit="1" customWidth="1"/>
    <col min="10509" max="10752" width="9.1796875" style="2"/>
    <col min="10753" max="10753" width="34.26953125" style="2" bestFit="1" customWidth="1"/>
    <col min="10754" max="10754" width="10.81640625" style="2" customWidth="1"/>
    <col min="10755" max="10755" width="7" style="2" customWidth="1"/>
    <col min="10756" max="10756" width="2.54296875" style="2" customWidth="1"/>
    <col min="10757" max="10757" width="26" style="2" customWidth="1"/>
    <col min="10758" max="10758" width="10.1796875" style="2" customWidth="1"/>
    <col min="10759" max="10761" width="9.1796875" style="2"/>
    <col min="10762" max="10762" width="14.26953125" style="2" bestFit="1" customWidth="1"/>
    <col min="10763" max="10763" width="15" style="2" bestFit="1" customWidth="1"/>
    <col min="10764" max="10764" width="13.7265625" style="2" bestFit="1" customWidth="1"/>
    <col min="10765" max="11008" width="9.1796875" style="2"/>
    <col min="11009" max="11009" width="34.26953125" style="2" bestFit="1" customWidth="1"/>
    <col min="11010" max="11010" width="10.81640625" style="2" customWidth="1"/>
    <col min="11011" max="11011" width="7" style="2" customWidth="1"/>
    <col min="11012" max="11012" width="2.54296875" style="2" customWidth="1"/>
    <col min="11013" max="11013" width="26" style="2" customWidth="1"/>
    <col min="11014" max="11014" width="10.1796875" style="2" customWidth="1"/>
    <col min="11015" max="11017" width="9.1796875" style="2"/>
    <col min="11018" max="11018" width="14.26953125" style="2" bestFit="1" customWidth="1"/>
    <col min="11019" max="11019" width="15" style="2" bestFit="1" customWidth="1"/>
    <col min="11020" max="11020" width="13.7265625" style="2" bestFit="1" customWidth="1"/>
    <col min="11021" max="11264" width="9.1796875" style="2"/>
    <col min="11265" max="11265" width="34.26953125" style="2" bestFit="1" customWidth="1"/>
    <col min="11266" max="11266" width="10.81640625" style="2" customWidth="1"/>
    <col min="11267" max="11267" width="7" style="2" customWidth="1"/>
    <col min="11268" max="11268" width="2.54296875" style="2" customWidth="1"/>
    <col min="11269" max="11269" width="26" style="2" customWidth="1"/>
    <col min="11270" max="11270" width="10.1796875" style="2" customWidth="1"/>
    <col min="11271" max="11273" width="9.1796875" style="2"/>
    <col min="11274" max="11274" width="14.26953125" style="2" bestFit="1" customWidth="1"/>
    <col min="11275" max="11275" width="15" style="2" bestFit="1" customWidth="1"/>
    <col min="11276" max="11276" width="13.7265625" style="2" bestFit="1" customWidth="1"/>
    <col min="11277" max="11520" width="9.1796875" style="2"/>
    <col min="11521" max="11521" width="34.26953125" style="2" bestFit="1" customWidth="1"/>
    <col min="11522" max="11522" width="10.81640625" style="2" customWidth="1"/>
    <col min="11523" max="11523" width="7" style="2" customWidth="1"/>
    <col min="11524" max="11524" width="2.54296875" style="2" customWidth="1"/>
    <col min="11525" max="11525" width="26" style="2" customWidth="1"/>
    <col min="11526" max="11526" width="10.1796875" style="2" customWidth="1"/>
    <col min="11527" max="11529" width="9.1796875" style="2"/>
    <col min="11530" max="11530" width="14.26953125" style="2" bestFit="1" customWidth="1"/>
    <col min="11531" max="11531" width="15" style="2" bestFit="1" customWidth="1"/>
    <col min="11532" max="11532" width="13.7265625" style="2" bestFit="1" customWidth="1"/>
    <col min="11533" max="11776" width="9.1796875" style="2"/>
    <col min="11777" max="11777" width="34.26953125" style="2" bestFit="1" customWidth="1"/>
    <col min="11778" max="11778" width="10.81640625" style="2" customWidth="1"/>
    <col min="11779" max="11779" width="7" style="2" customWidth="1"/>
    <col min="11780" max="11780" width="2.54296875" style="2" customWidth="1"/>
    <col min="11781" max="11781" width="26" style="2" customWidth="1"/>
    <col min="11782" max="11782" width="10.1796875" style="2" customWidth="1"/>
    <col min="11783" max="11785" width="9.1796875" style="2"/>
    <col min="11786" max="11786" width="14.26953125" style="2" bestFit="1" customWidth="1"/>
    <col min="11787" max="11787" width="15" style="2" bestFit="1" customWidth="1"/>
    <col min="11788" max="11788" width="13.7265625" style="2" bestFit="1" customWidth="1"/>
    <col min="11789" max="12032" width="9.1796875" style="2"/>
    <col min="12033" max="12033" width="34.26953125" style="2" bestFit="1" customWidth="1"/>
    <col min="12034" max="12034" width="10.81640625" style="2" customWidth="1"/>
    <col min="12035" max="12035" width="7" style="2" customWidth="1"/>
    <col min="12036" max="12036" width="2.54296875" style="2" customWidth="1"/>
    <col min="12037" max="12037" width="26" style="2" customWidth="1"/>
    <col min="12038" max="12038" width="10.1796875" style="2" customWidth="1"/>
    <col min="12039" max="12041" width="9.1796875" style="2"/>
    <col min="12042" max="12042" width="14.26953125" style="2" bestFit="1" customWidth="1"/>
    <col min="12043" max="12043" width="15" style="2" bestFit="1" customWidth="1"/>
    <col min="12044" max="12044" width="13.7265625" style="2" bestFit="1" customWidth="1"/>
    <col min="12045" max="12288" width="9.1796875" style="2"/>
    <col min="12289" max="12289" width="34.26953125" style="2" bestFit="1" customWidth="1"/>
    <col min="12290" max="12290" width="10.81640625" style="2" customWidth="1"/>
    <col min="12291" max="12291" width="7" style="2" customWidth="1"/>
    <col min="12292" max="12292" width="2.54296875" style="2" customWidth="1"/>
    <col min="12293" max="12293" width="26" style="2" customWidth="1"/>
    <col min="12294" max="12294" width="10.1796875" style="2" customWidth="1"/>
    <col min="12295" max="12297" width="9.1796875" style="2"/>
    <col min="12298" max="12298" width="14.26953125" style="2" bestFit="1" customWidth="1"/>
    <col min="12299" max="12299" width="15" style="2" bestFit="1" customWidth="1"/>
    <col min="12300" max="12300" width="13.7265625" style="2" bestFit="1" customWidth="1"/>
    <col min="12301" max="12544" width="9.1796875" style="2"/>
    <col min="12545" max="12545" width="34.26953125" style="2" bestFit="1" customWidth="1"/>
    <col min="12546" max="12546" width="10.81640625" style="2" customWidth="1"/>
    <col min="12547" max="12547" width="7" style="2" customWidth="1"/>
    <col min="12548" max="12548" width="2.54296875" style="2" customWidth="1"/>
    <col min="12549" max="12549" width="26" style="2" customWidth="1"/>
    <col min="12550" max="12550" width="10.1796875" style="2" customWidth="1"/>
    <col min="12551" max="12553" width="9.1796875" style="2"/>
    <col min="12554" max="12554" width="14.26953125" style="2" bestFit="1" customWidth="1"/>
    <col min="12555" max="12555" width="15" style="2" bestFit="1" customWidth="1"/>
    <col min="12556" max="12556" width="13.7265625" style="2" bestFit="1" customWidth="1"/>
    <col min="12557" max="12800" width="9.1796875" style="2"/>
    <col min="12801" max="12801" width="34.26953125" style="2" bestFit="1" customWidth="1"/>
    <col min="12802" max="12802" width="10.81640625" style="2" customWidth="1"/>
    <col min="12803" max="12803" width="7" style="2" customWidth="1"/>
    <col min="12804" max="12804" width="2.54296875" style="2" customWidth="1"/>
    <col min="12805" max="12805" width="26" style="2" customWidth="1"/>
    <col min="12806" max="12806" width="10.1796875" style="2" customWidth="1"/>
    <col min="12807" max="12809" width="9.1796875" style="2"/>
    <col min="12810" max="12810" width="14.26953125" style="2" bestFit="1" customWidth="1"/>
    <col min="12811" max="12811" width="15" style="2" bestFit="1" customWidth="1"/>
    <col min="12812" max="12812" width="13.7265625" style="2" bestFit="1" customWidth="1"/>
    <col min="12813" max="13056" width="9.1796875" style="2"/>
    <col min="13057" max="13057" width="34.26953125" style="2" bestFit="1" customWidth="1"/>
    <col min="13058" max="13058" width="10.81640625" style="2" customWidth="1"/>
    <col min="13059" max="13059" width="7" style="2" customWidth="1"/>
    <col min="13060" max="13060" width="2.54296875" style="2" customWidth="1"/>
    <col min="13061" max="13061" width="26" style="2" customWidth="1"/>
    <col min="13062" max="13062" width="10.1796875" style="2" customWidth="1"/>
    <col min="13063" max="13065" width="9.1796875" style="2"/>
    <col min="13066" max="13066" width="14.26953125" style="2" bestFit="1" customWidth="1"/>
    <col min="13067" max="13067" width="15" style="2" bestFit="1" customWidth="1"/>
    <col min="13068" max="13068" width="13.7265625" style="2" bestFit="1" customWidth="1"/>
    <col min="13069" max="13312" width="9.1796875" style="2"/>
    <col min="13313" max="13313" width="34.26953125" style="2" bestFit="1" customWidth="1"/>
    <col min="13314" max="13314" width="10.81640625" style="2" customWidth="1"/>
    <col min="13315" max="13315" width="7" style="2" customWidth="1"/>
    <col min="13316" max="13316" width="2.54296875" style="2" customWidth="1"/>
    <col min="13317" max="13317" width="26" style="2" customWidth="1"/>
    <col min="13318" max="13318" width="10.1796875" style="2" customWidth="1"/>
    <col min="13319" max="13321" width="9.1796875" style="2"/>
    <col min="13322" max="13322" width="14.26953125" style="2" bestFit="1" customWidth="1"/>
    <col min="13323" max="13323" width="15" style="2" bestFit="1" customWidth="1"/>
    <col min="13324" max="13324" width="13.7265625" style="2" bestFit="1" customWidth="1"/>
    <col min="13325" max="13568" width="9.1796875" style="2"/>
    <col min="13569" max="13569" width="34.26953125" style="2" bestFit="1" customWidth="1"/>
    <col min="13570" max="13570" width="10.81640625" style="2" customWidth="1"/>
    <col min="13571" max="13571" width="7" style="2" customWidth="1"/>
    <col min="13572" max="13572" width="2.54296875" style="2" customWidth="1"/>
    <col min="13573" max="13573" width="26" style="2" customWidth="1"/>
    <col min="13574" max="13574" width="10.1796875" style="2" customWidth="1"/>
    <col min="13575" max="13577" width="9.1796875" style="2"/>
    <col min="13578" max="13578" width="14.26953125" style="2" bestFit="1" customWidth="1"/>
    <col min="13579" max="13579" width="15" style="2" bestFit="1" customWidth="1"/>
    <col min="13580" max="13580" width="13.7265625" style="2" bestFit="1" customWidth="1"/>
    <col min="13581" max="13824" width="9.1796875" style="2"/>
    <col min="13825" max="13825" width="34.26953125" style="2" bestFit="1" customWidth="1"/>
    <col min="13826" max="13826" width="10.81640625" style="2" customWidth="1"/>
    <col min="13827" max="13827" width="7" style="2" customWidth="1"/>
    <col min="13828" max="13828" width="2.54296875" style="2" customWidth="1"/>
    <col min="13829" max="13829" width="26" style="2" customWidth="1"/>
    <col min="13830" max="13830" width="10.1796875" style="2" customWidth="1"/>
    <col min="13831" max="13833" width="9.1796875" style="2"/>
    <col min="13834" max="13834" width="14.26953125" style="2" bestFit="1" customWidth="1"/>
    <col min="13835" max="13835" width="15" style="2" bestFit="1" customWidth="1"/>
    <col min="13836" max="13836" width="13.7265625" style="2" bestFit="1" customWidth="1"/>
    <col min="13837" max="14080" width="9.1796875" style="2"/>
    <col min="14081" max="14081" width="34.26953125" style="2" bestFit="1" customWidth="1"/>
    <col min="14082" max="14082" width="10.81640625" style="2" customWidth="1"/>
    <col min="14083" max="14083" width="7" style="2" customWidth="1"/>
    <col min="14084" max="14084" width="2.54296875" style="2" customWidth="1"/>
    <col min="14085" max="14085" width="26" style="2" customWidth="1"/>
    <col min="14086" max="14086" width="10.1796875" style="2" customWidth="1"/>
    <col min="14087" max="14089" width="9.1796875" style="2"/>
    <col min="14090" max="14090" width="14.26953125" style="2" bestFit="1" customWidth="1"/>
    <col min="14091" max="14091" width="15" style="2" bestFit="1" customWidth="1"/>
    <col min="14092" max="14092" width="13.7265625" style="2" bestFit="1" customWidth="1"/>
    <col min="14093" max="14336" width="9.1796875" style="2"/>
    <col min="14337" max="14337" width="34.26953125" style="2" bestFit="1" customWidth="1"/>
    <col min="14338" max="14338" width="10.81640625" style="2" customWidth="1"/>
    <col min="14339" max="14339" width="7" style="2" customWidth="1"/>
    <col min="14340" max="14340" width="2.54296875" style="2" customWidth="1"/>
    <col min="14341" max="14341" width="26" style="2" customWidth="1"/>
    <col min="14342" max="14342" width="10.1796875" style="2" customWidth="1"/>
    <col min="14343" max="14345" width="9.1796875" style="2"/>
    <col min="14346" max="14346" width="14.26953125" style="2" bestFit="1" customWidth="1"/>
    <col min="14347" max="14347" width="15" style="2" bestFit="1" customWidth="1"/>
    <col min="14348" max="14348" width="13.7265625" style="2" bestFit="1" customWidth="1"/>
    <col min="14349" max="14592" width="9.1796875" style="2"/>
    <col min="14593" max="14593" width="34.26953125" style="2" bestFit="1" customWidth="1"/>
    <col min="14594" max="14594" width="10.81640625" style="2" customWidth="1"/>
    <col min="14595" max="14595" width="7" style="2" customWidth="1"/>
    <col min="14596" max="14596" width="2.54296875" style="2" customWidth="1"/>
    <col min="14597" max="14597" width="26" style="2" customWidth="1"/>
    <col min="14598" max="14598" width="10.1796875" style="2" customWidth="1"/>
    <col min="14599" max="14601" width="9.1796875" style="2"/>
    <col min="14602" max="14602" width="14.26953125" style="2" bestFit="1" customWidth="1"/>
    <col min="14603" max="14603" width="15" style="2" bestFit="1" customWidth="1"/>
    <col min="14604" max="14604" width="13.7265625" style="2" bestFit="1" customWidth="1"/>
    <col min="14605" max="14848" width="9.1796875" style="2"/>
    <col min="14849" max="14849" width="34.26953125" style="2" bestFit="1" customWidth="1"/>
    <col min="14850" max="14850" width="10.81640625" style="2" customWidth="1"/>
    <col min="14851" max="14851" width="7" style="2" customWidth="1"/>
    <col min="14852" max="14852" width="2.54296875" style="2" customWidth="1"/>
    <col min="14853" max="14853" width="26" style="2" customWidth="1"/>
    <col min="14854" max="14854" width="10.1796875" style="2" customWidth="1"/>
    <col min="14855" max="14857" width="9.1796875" style="2"/>
    <col min="14858" max="14858" width="14.26953125" style="2" bestFit="1" customWidth="1"/>
    <col min="14859" max="14859" width="15" style="2" bestFit="1" customWidth="1"/>
    <col min="14860" max="14860" width="13.7265625" style="2" bestFit="1" customWidth="1"/>
    <col min="14861" max="15104" width="9.1796875" style="2"/>
    <col min="15105" max="15105" width="34.26953125" style="2" bestFit="1" customWidth="1"/>
    <col min="15106" max="15106" width="10.81640625" style="2" customWidth="1"/>
    <col min="15107" max="15107" width="7" style="2" customWidth="1"/>
    <col min="15108" max="15108" width="2.54296875" style="2" customWidth="1"/>
    <col min="15109" max="15109" width="26" style="2" customWidth="1"/>
    <col min="15110" max="15110" width="10.1796875" style="2" customWidth="1"/>
    <col min="15111" max="15113" width="9.1796875" style="2"/>
    <col min="15114" max="15114" width="14.26953125" style="2" bestFit="1" customWidth="1"/>
    <col min="15115" max="15115" width="15" style="2" bestFit="1" customWidth="1"/>
    <col min="15116" max="15116" width="13.7265625" style="2" bestFit="1" customWidth="1"/>
    <col min="15117" max="15360" width="9.1796875" style="2"/>
    <col min="15361" max="15361" width="34.26953125" style="2" bestFit="1" customWidth="1"/>
    <col min="15362" max="15362" width="10.81640625" style="2" customWidth="1"/>
    <col min="15363" max="15363" width="7" style="2" customWidth="1"/>
    <col min="15364" max="15364" width="2.54296875" style="2" customWidth="1"/>
    <col min="15365" max="15365" width="26" style="2" customWidth="1"/>
    <col min="15366" max="15366" width="10.1796875" style="2" customWidth="1"/>
    <col min="15367" max="15369" width="9.1796875" style="2"/>
    <col min="15370" max="15370" width="14.26953125" style="2" bestFit="1" customWidth="1"/>
    <col min="15371" max="15371" width="15" style="2" bestFit="1" customWidth="1"/>
    <col min="15372" max="15372" width="13.7265625" style="2" bestFit="1" customWidth="1"/>
    <col min="15373" max="15616" width="9.1796875" style="2"/>
    <col min="15617" max="15617" width="34.26953125" style="2" bestFit="1" customWidth="1"/>
    <col min="15618" max="15618" width="10.81640625" style="2" customWidth="1"/>
    <col min="15619" max="15619" width="7" style="2" customWidth="1"/>
    <col min="15620" max="15620" width="2.54296875" style="2" customWidth="1"/>
    <col min="15621" max="15621" width="26" style="2" customWidth="1"/>
    <col min="15622" max="15622" width="10.1796875" style="2" customWidth="1"/>
    <col min="15623" max="15625" width="9.1796875" style="2"/>
    <col min="15626" max="15626" width="14.26953125" style="2" bestFit="1" customWidth="1"/>
    <col min="15627" max="15627" width="15" style="2" bestFit="1" customWidth="1"/>
    <col min="15628" max="15628" width="13.7265625" style="2" bestFit="1" customWidth="1"/>
    <col min="15629" max="15872" width="9.1796875" style="2"/>
    <col min="15873" max="15873" width="34.26953125" style="2" bestFit="1" customWidth="1"/>
    <col min="15874" max="15874" width="10.81640625" style="2" customWidth="1"/>
    <col min="15875" max="15875" width="7" style="2" customWidth="1"/>
    <col min="15876" max="15876" width="2.54296875" style="2" customWidth="1"/>
    <col min="15877" max="15877" width="26" style="2" customWidth="1"/>
    <col min="15878" max="15878" width="10.1796875" style="2" customWidth="1"/>
    <col min="15879" max="15881" width="9.1796875" style="2"/>
    <col min="15882" max="15882" width="14.26953125" style="2" bestFit="1" customWidth="1"/>
    <col min="15883" max="15883" width="15" style="2" bestFit="1" customWidth="1"/>
    <col min="15884" max="15884" width="13.7265625" style="2" bestFit="1" customWidth="1"/>
    <col min="15885" max="16128" width="9.1796875" style="2"/>
    <col min="16129" max="16129" width="34.26953125" style="2" bestFit="1" customWidth="1"/>
    <col min="16130" max="16130" width="10.81640625" style="2" customWidth="1"/>
    <col min="16131" max="16131" width="7" style="2" customWidth="1"/>
    <col min="16132" max="16132" width="2.54296875" style="2" customWidth="1"/>
    <col min="16133" max="16133" width="26" style="2" customWidth="1"/>
    <col min="16134" max="16134" width="10.1796875" style="2" customWidth="1"/>
    <col min="16135" max="16137" width="9.1796875" style="2"/>
    <col min="16138" max="16138" width="14.26953125" style="2" bestFit="1" customWidth="1"/>
    <col min="16139" max="16139" width="15" style="2" bestFit="1" customWidth="1"/>
    <col min="16140" max="16140" width="13.7265625" style="2" bestFit="1" customWidth="1"/>
    <col min="16141" max="16384" width="9.1796875" style="2"/>
  </cols>
  <sheetData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252</v>
      </c>
    </row>
    <row r="16" spans="1:8" ht="18">
      <c r="A16" s="3" t="s">
        <v>0</v>
      </c>
      <c r="E16"/>
    </row>
    <row r="17" spans="1:13" ht="13" customHeight="1">
      <c r="A17" s="2" t="s">
        <v>254</v>
      </c>
      <c r="B17" s="114" t="s">
        <v>271</v>
      </c>
      <c r="F17" s="4" t="str">
        <f>IF(F18&lt;10,"Minimum On-Time Too Low. Reduce Operating Vin!","")</f>
        <v/>
      </c>
    </row>
    <row r="18" spans="1:13" ht="13" customHeight="1">
      <c r="A18" s="2" t="s">
        <v>1</v>
      </c>
      <c r="B18" s="7">
        <v>2000</v>
      </c>
      <c r="C18" s="6" t="s">
        <v>2</v>
      </c>
      <c r="E18" s="2" t="s">
        <v>3</v>
      </c>
      <c r="F18" s="7">
        <f>D*1000000000/(Fs*1000)</f>
        <v>62.255588073122112</v>
      </c>
      <c r="G18" s="6" t="s">
        <v>4</v>
      </c>
    </row>
    <row r="19" spans="1:13" ht="13" customHeight="1">
      <c r="A19" s="159" t="str">
        <f>IF(OR(Vin&lt;4.5,Vin&gt;40.1),"Input Voltage Out of Range","Input Voltage (4.5V-40V)")</f>
        <v>Input Voltage (4.5V-40V)</v>
      </c>
      <c r="B19" s="158">
        <v>12</v>
      </c>
      <c r="C19" s="6" t="s">
        <v>5</v>
      </c>
      <c r="D19" s="128"/>
      <c r="E19" s="2" t="s">
        <v>6</v>
      </c>
      <c r="F19" s="9">
        <f>(Vout + (Iout*((DCR+Ron_l)/1000)))/(Vin+(Iout*((Ron_l-Ron_u)/1000)))</f>
        <v>0.12451117614624423</v>
      </c>
      <c r="G19" s="6"/>
      <c r="H19" s="10"/>
      <c r="I19"/>
    </row>
    <row r="20" spans="1:13" ht="13" customHeight="1">
      <c r="A20" s="159" t="str">
        <f>IF(OR(Vout&lt;0.8,Vout&gt;Vin*0.9), "Voltage Out of Range", "Ouput Voltage")</f>
        <v>Ouput Voltage</v>
      </c>
      <c r="B20" s="158">
        <v>1.2</v>
      </c>
      <c r="C20" s="6" t="s">
        <v>5</v>
      </c>
      <c r="E20" s="2" t="s">
        <v>7</v>
      </c>
      <c r="F20" s="11">
        <f>Vout/Iout</f>
        <v>2.4</v>
      </c>
      <c r="G20" s="6" t="s">
        <v>8</v>
      </c>
    </row>
    <row r="21" spans="1:13" ht="13" customHeight="1">
      <c r="A21" s="2" t="s">
        <v>9</v>
      </c>
      <c r="B21" s="169">
        <v>0.5</v>
      </c>
      <c r="C21" s="6" t="s">
        <v>10</v>
      </c>
    </row>
    <row r="22" spans="1:13" ht="13" customHeight="1">
      <c r="A22" s="4" t="str">
        <f>IF(AND(B17="AP64350",Iout+0.5*Irip&gt;4.25),"Output Current Too High", IF(AND(B17="AP64500",Iout+Irip&gt;6.8),"Output Current Too High", " "))</f>
        <v xml:space="preserve"> </v>
      </c>
      <c r="B22" s="130"/>
      <c r="E22" s="2" t="s">
        <v>11</v>
      </c>
      <c r="F22" s="9">
        <f>Iout*SQRT(D)*SQRT(1+1/3*(Irip/2/Iout)^2)</f>
        <v>0.17651643054504754</v>
      </c>
      <c r="G22" s="6" t="s">
        <v>10</v>
      </c>
    </row>
    <row r="23" spans="1:13" ht="13" customHeight="1">
      <c r="A23" s="13" t="s">
        <v>12</v>
      </c>
      <c r="B23" s="120"/>
      <c r="E23" s="2" t="s">
        <v>13</v>
      </c>
      <c r="F23" s="9">
        <f>Iout*SQRT(1-D)*SQRT(1+1/3*(Irip/2/Iout)^2)</f>
        <v>0.46806511272218893</v>
      </c>
      <c r="G23" s="6" t="s">
        <v>10</v>
      </c>
    </row>
    <row r="24" spans="1:13" ht="13" customHeight="1">
      <c r="A24" s="14" t="s">
        <v>14</v>
      </c>
      <c r="B24" s="121">
        <v>20</v>
      </c>
      <c r="C24" s="15" t="s">
        <v>15</v>
      </c>
      <c r="F24" s="12"/>
    </row>
    <row r="25" spans="1:13" ht="13" customHeight="1">
      <c r="A25" s="14"/>
      <c r="B25" s="122"/>
      <c r="C25" s="14"/>
      <c r="F25" s="12"/>
    </row>
    <row r="26" spans="1:13" ht="13" customHeight="1">
      <c r="A26" s="14" t="s">
        <v>16</v>
      </c>
      <c r="B26" s="123">
        <f>IF(OR(B17="AP64060",B17="AP64060Q"),MAX((((Vin-Vout)*D)/((Fs*10^3)*0.6*(LIR/100)))*10^6,Vout*Dmax*1000000/(0.8*Se*Compensation!C28)),MAX((((Vin-Vout)*D)/((Fs*10^3)*0.6*(LIR/100)))*10^6,Vout*Dmax*1000000/(0.8*Se*Compensation!C28)))</f>
        <v>5.6030029265809906</v>
      </c>
      <c r="C26" s="15" t="s">
        <v>17</v>
      </c>
      <c r="E26" s="2" t="s">
        <v>18</v>
      </c>
      <c r="F26" s="9">
        <f>(Vin-Vout)*((Vout)/(Vin*Lout*10^(-6)*Fs*10^3))</f>
        <v>5.4000000000000006E-2</v>
      </c>
      <c r="G26" s="6" t="s">
        <v>19</v>
      </c>
      <c r="H26" s="10"/>
      <c r="J26" s="17"/>
      <c r="K26" s="17"/>
      <c r="L26" s="17"/>
      <c r="M26" s="4"/>
    </row>
    <row r="27" spans="1:13" ht="13" customHeight="1">
      <c r="A27" s="2" t="str">
        <f>IF(OR(B17="AP64060",B17="AP64060Q"),"Output Inductor (Isat &gt; 1.5A)","Output Inductor (Isat &gt; 1.5A)")</f>
        <v>Output Inductor (Isat &gt; 1.5A)</v>
      </c>
      <c r="B27" s="118">
        <v>10</v>
      </c>
      <c r="C27" s="6" t="s">
        <v>17</v>
      </c>
      <c r="E27" s="2" t="s">
        <v>246</v>
      </c>
      <c r="F27" s="7">
        <f>Irip*ESR/ncap+Irip/(8*Fs*ncap*Cap*0.000001)</f>
        <v>0.46852941176470597</v>
      </c>
      <c r="G27" s="6" t="s">
        <v>248</v>
      </c>
      <c r="J27" s="16"/>
      <c r="K27" s="16" t="s">
        <v>32</v>
      </c>
      <c r="L27" s="16" t="s">
        <v>21</v>
      </c>
      <c r="M27" s="4"/>
    </row>
    <row r="28" spans="1:13" ht="13" customHeight="1">
      <c r="A28" s="18" t="s">
        <v>22</v>
      </c>
      <c r="B28" s="124">
        <v>100</v>
      </c>
      <c r="C28" s="6" t="s">
        <v>23</v>
      </c>
      <c r="E28" s="4" t="str">
        <f>IF(Vout*Dmax/(Lout*0.000001)&gt;0.85*Se*Compensation!C28, "Must Increase L", " ")</f>
        <v xml:space="preserve"> </v>
      </c>
      <c r="G28" s="14"/>
      <c r="J28" s="16" t="s">
        <v>24</v>
      </c>
      <c r="K28" s="19">
        <f>B55</f>
        <v>2.6752301946680237E-2</v>
      </c>
      <c r="L28" s="19">
        <f>B56+B57+B58+B59</f>
        <v>0.17158229769392036</v>
      </c>
      <c r="M28" s="4"/>
    </row>
    <row r="29" spans="1:13" ht="13" customHeight="1">
      <c r="A29" s="18"/>
      <c r="B29" s="120"/>
      <c r="E29" s="170"/>
      <c r="F29" s="168"/>
      <c r="G29" s="159"/>
      <c r="J29" s="16" t="s">
        <v>25</v>
      </c>
      <c r="K29" s="19">
        <f>B72</f>
        <v>9.543340411006998E-2</v>
      </c>
      <c r="L29" s="19">
        <f>B73+B74+B75</f>
        <v>6.7773170247933875E-2</v>
      </c>
      <c r="M29" s="4"/>
    </row>
    <row r="30" spans="1:13" ht="13" customHeight="1">
      <c r="A30" s="13" t="s">
        <v>26</v>
      </c>
      <c r="B30" s="120"/>
      <c r="D30" s="14"/>
      <c r="E30" s="113" t="s">
        <v>249</v>
      </c>
      <c r="F30" s="14"/>
      <c r="G30" s="14"/>
      <c r="J30" s="16" t="s">
        <v>27</v>
      </c>
      <c r="K30" s="16"/>
      <c r="L30" s="19">
        <f>B82+B83</f>
        <v>4.0000000000000001E-3</v>
      </c>
      <c r="M30" s="4"/>
    </row>
    <row r="31" spans="1:13" ht="13" customHeight="1">
      <c r="A31" s="2" t="s">
        <v>28</v>
      </c>
      <c r="B31" s="124">
        <v>1</v>
      </c>
      <c r="D31" s="14"/>
      <c r="E31" s="117" t="s">
        <v>250</v>
      </c>
      <c r="F31" s="8">
        <v>4.5</v>
      </c>
      <c r="G31" s="6" t="str">
        <f>IF(F31&lt;4.4, "Too Low", "V")</f>
        <v>V</v>
      </c>
      <c r="J31" s="16" t="s">
        <v>20</v>
      </c>
      <c r="K31" s="19">
        <f>B89</f>
        <v>2.50972E-2</v>
      </c>
      <c r="L31" s="19">
        <f>B88</f>
        <v>5.4816011298155328E-5</v>
      </c>
      <c r="M31" s="4"/>
    </row>
    <row r="32" spans="1:13" ht="13" customHeight="1">
      <c r="A32" s="2" t="s">
        <v>29</v>
      </c>
      <c r="B32" s="124">
        <v>17</v>
      </c>
      <c r="C32" s="6" t="s">
        <v>30</v>
      </c>
      <c r="E32" s="162"/>
      <c r="F32" s="168"/>
      <c r="G32" s="164"/>
      <c r="J32" s="16" t="s">
        <v>31</v>
      </c>
      <c r="K32" s="95">
        <f>B93</f>
        <v>1.2150000000000004E-6</v>
      </c>
      <c r="L32" s="16"/>
      <c r="M32" s="4"/>
    </row>
    <row r="33" spans="1:13" ht="13" customHeight="1">
      <c r="A33" s="2" t="s">
        <v>33</v>
      </c>
      <c r="B33" s="124">
        <v>5</v>
      </c>
      <c r="C33" s="6" t="s">
        <v>23</v>
      </c>
      <c r="E33" s="117"/>
      <c r="J33" s="4"/>
      <c r="K33" s="4"/>
      <c r="L33" s="4"/>
      <c r="M33" s="4"/>
    </row>
    <row r="34" spans="1:13" ht="13" customHeight="1">
      <c r="B34" s="125"/>
      <c r="E34" s="117" t="s">
        <v>264</v>
      </c>
      <c r="F34" s="129">
        <f>IF(F31&lt;4.6,0,(480*(F31-1.21)/1.21))</f>
        <v>0</v>
      </c>
      <c r="G34" s="6" t="s">
        <v>251</v>
      </c>
      <c r="J34" s="4"/>
      <c r="K34" s="4"/>
      <c r="L34" s="4"/>
      <c r="M34" s="4"/>
    </row>
    <row r="35" spans="1:13" ht="13" customHeight="1">
      <c r="A35" s="13" t="s">
        <v>34</v>
      </c>
      <c r="B35" s="126"/>
      <c r="E35" s="160"/>
      <c r="F35" s="161"/>
      <c r="G35" s="159"/>
      <c r="J35" s="4"/>
      <c r="K35" s="4"/>
      <c r="L35" s="4"/>
      <c r="M35" s="4"/>
    </row>
    <row r="36" spans="1:13" ht="13" customHeight="1">
      <c r="A36" s="2" t="s">
        <v>35</v>
      </c>
      <c r="B36" s="119">
        <f>600*(1+0.005*(F40+600*0.001*Iout^2*Vout/Vin*F39-25))</f>
        <v>858.6</v>
      </c>
      <c r="C36" s="6" t="s">
        <v>23</v>
      </c>
      <c r="E36" s="162"/>
      <c r="F36" s="163"/>
      <c r="G36" s="164"/>
      <c r="J36" s="4"/>
      <c r="K36" s="4"/>
      <c r="L36" s="4"/>
      <c r="M36" s="4"/>
    </row>
    <row r="37" spans="1:13" ht="13" customHeight="1">
      <c r="B37" s="126"/>
      <c r="E37" s="165"/>
      <c r="F37" s="163"/>
      <c r="G37" s="164"/>
      <c r="H37" s="17">
        <f>IF(OR(B17="AP64352",B17="AP64352Q"),2.01,4)</f>
        <v>4</v>
      </c>
      <c r="I37" s="17"/>
      <c r="J37" s="17"/>
      <c r="K37" s="17"/>
    </row>
    <row r="38" spans="1:13" ht="13" customHeight="1">
      <c r="A38" s="13" t="s">
        <v>36</v>
      </c>
      <c r="B38" s="125"/>
      <c r="E38" s="10"/>
      <c r="H38" s="17"/>
      <c r="I38" s="17"/>
      <c r="J38" s="17"/>
      <c r="K38" s="17"/>
    </row>
    <row r="39" spans="1:13" ht="13" customHeight="1">
      <c r="A39" s="2" t="s">
        <v>35</v>
      </c>
      <c r="B39" s="119">
        <f>300*(1+0.005*(F40+300*0.001*Iout^2*(1-Vout/Vin)*F39-25))</f>
        <v>435.59999999999997</v>
      </c>
      <c r="C39" s="6" t="s">
        <v>23</v>
      </c>
      <c r="E39" s="116" t="s">
        <v>261</v>
      </c>
      <c r="F39" s="110">
        <v>80</v>
      </c>
      <c r="G39" s="22" t="s">
        <v>37</v>
      </c>
      <c r="H39" s="17"/>
      <c r="I39" s="17" t="s">
        <v>270</v>
      </c>
      <c r="J39" s="17" t="s">
        <v>255</v>
      </c>
      <c r="K39" s="17">
        <v>2</v>
      </c>
    </row>
    <row r="40" spans="1:13" ht="13" customHeight="1">
      <c r="B40" s="125"/>
      <c r="E40" s="21" t="s">
        <v>262</v>
      </c>
      <c r="F40" s="110">
        <v>110</v>
      </c>
      <c r="G40" s="22" t="s">
        <v>38</v>
      </c>
      <c r="H40" s="17"/>
      <c r="I40" s="17" t="s">
        <v>271</v>
      </c>
      <c r="J40" s="17" t="s">
        <v>256</v>
      </c>
      <c r="K40" s="17">
        <v>3.5</v>
      </c>
    </row>
    <row r="41" spans="1:13" ht="13" customHeight="1">
      <c r="A41" s="23" t="s">
        <v>39</v>
      </c>
      <c r="B41" s="127">
        <f>Tloss</f>
        <v>0.46269319000990261</v>
      </c>
      <c r="C41" s="24" t="s">
        <v>40</v>
      </c>
      <c r="E41" s="21" t="s">
        <v>272</v>
      </c>
      <c r="F41" s="25">
        <f>+F40+F39*F42</f>
        <v>139.24329391988834</v>
      </c>
      <c r="G41" s="22" t="str">
        <f>IF(F41&gt;H42,"Thermal too high","°C")</f>
        <v>°C</v>
      </c>
      <c r="H41" s="17"/>
      <c r="J41" s="17"/>
      <c r="K41" s="17"/>
    </row>
    <row r="42" spans="1:13" ht="13" customHeight="1">
      <c r="A42" s="23" t="s">
        <v>41</v>
      </c>
      <c r="B42" s="127">
        <f>Efficiency</f>
        <v>56.460322286850165</v>
      </c>
      <c r="C42" s="24" t="s">
        <v>15</v>
      </c>
      <c r="E42" s="2" t="s">
        <v>42</v>
      </c>
      <c r="F42" s="26">
        <f>+K28+L28+K29+L29+L30</f>
        <v>0.36554117399860447</v>
      </c>
      <c r="G42" s="27" t="s">
        <v>43</v>
      </c>
      <c r="H42" s="17">
        <f>IF(OR(B17="AP64060Q",B17="AP64070Q"),150,125)</f>
        <v>150</v>
      </c>
      <c r="J42" s="17"/>
      <c r="K42" s="17"/>
    </row>
    <row r="43" spans="1:13" ht="13" customHeight="1" thickBot="1">
      <c r="A43" s="1"/>
      <c r="B43" s="28"/>
      <c r="C43" s="1"/>
      <c r="D43" s="1"/>
      <c r="E43" s="1"/>
      <c r="F43" s="1"/>
      <c r="G43" s="1"/>
      <c r="H43" s="1"/>
      <c r="I43" s="4"/>
      <c r="J43" s="4"/>
      <c r="K43" s="4"/>
    </row>
    <row r="44" spans="1:13" s="29" customFormat="1" ht="13" customHeight="1">
      <c r="A44" s="2"/>
      <c r="B44" s="20"/>
      <c r="C44" s="2"/>
      <c r="D44" s="2"/>
      <c r="E44" s="2"/>
      <c r="F44" s="2"/>
      <c r="G44" s="2"/>
      <c r="H44" s="17"/>
      <c r="I44" s="4"/>
    </row>
    <row r="45" spans="1:13" s="30" customFormat="1" ht="13" customHeight="1">
      <c r="A45" s="135" t="s">
        <v>34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3" s="30" customFormat="1" ht="13" customHeight="1">
      <c r="A46" s="16" t="s">
        <v>44</v>
      </c>
      <c r="B46" s="136">
        <f>B36</f>
        <v>858.6</v>
      </c>
      <c r="C46" s="16" t="s">
        <v>23</v>
      </c>
      <c r="D46" s="16"/>
      <c r="E46" s="16"/>
      <c r="F46" s="16"/>
      <c r="G46" s="16"/>
      <c r="H46" s="16"/>
      <c r="I46" s="16"/>
      <c r="J46" s="16"/>
    </row>
    <row r="47" spans="1:13" s="30" customFormat="1" ht="13" customHeight="1">
      <c r="A47" s="16" t="s">
        <v>45</v>
      </c>
      <c r="B47" s="16">
        <v>1.2</v>
      </c>
      <c r="C47" s="16" t="s">
        <v>5</v>
      </c>
      <c r="D47" s="16"/>
      <c r="E47" s="16"/>
      <c r="F47" s="16"/>
      <c r="G47" s="16"/>
      <c r="H47" s="16"/>
      <c r="I47" s="16"/>
      <c r="J47" s="16"/>
    </row>
    <row r="48" spans="1:13" s="30" customFormat="1" ht="13" customHeight="1">
      <c r="A48" s="16" t="s">
        <v>46</v>
      </c>
      <c r="B48" s="16">
        <v>0.3</v>
      </c>
      <c r="C48" s="16" t="s">
        <v>47</v>
      </c>
      <c r="D48" s="16"/>
      <c r="E48" s="16"/>
      <c r="F48" s="16"/>
      <c r="G48" s="16"/>
      <c r="H48" s="16"/>
      <c r="I48" s="16"/>
      <c r="J48" s="16"/>
    </row>
    <row r="49" spans="1:10" s="30" customFormat="1" ht="13" customHeight="1">
      <c r="A49" s="16" t="s">
        <v>48</v>
      </c>
      <c r="B49" s="16">
        <v>0.2</v>
      </c>
      <c r="C49" s="16" t="s">
        <v>47</v>
      </c>
      <c r="D49" s="16"/>
      <c r="E49" s="16"/>
      <c r="F49" s="16"/>
      <c r="G49" s="16"/>
      <c r="H49" s="16"/>
      <c r="I49" s="16"/>
      <c r="J49"/>
    </row>
    <row r="50" spans="1:10" s="30" customFormat="1" ht="13" customHeight="1">
      <c r="A50" s="16" t="s">
        <v>49</v>
      </c>
      <c r="B50" s="137">
        <f>+E50/Ron_u</f>
        <v>3.4940600978336823E-2</v>
      </c>
      <c r="C50" s="16" t="s">
        <v>50</v>
      </c>
      <c r="D50" s="16" t="s">
        <v>51</v>
      </c>
      <c r="E50" s="96">
        <v>30</v>
      </c>
      <c r="F50" s="16" t="s">
        <v>52</v>
      </c>
      <c r="G50" s="16"/>
      <c r="H50" s="16"/>
      <c r="I50" s="16"/>
      <c r="J50" s="16"/>
    </row>
    <row r="51" spans="1:10" s="30" customFormat="1" ht="13" customHeight="1">
      <c r="A51" s="16" t="s">
        <v>53</v>
      </c>
      <c r="B51" s="138">
        <f>+E51/Ron_u</f>
        <v>2.3293733985557886E-2</v>
      </c>
      <c r="C51" s="16" t="s">
        <v>50</v>
      </c>
      <c r="D51" s="16" t="s">
        <v>54</v>
      </c>
      <c r="E51" s="96">
        <v>20</v>
      </c>
      <c r="F51" s="16" t="s">
        <v>52</v>
      </c>
      <c r="G51" s="16"/>
      <c r="H51" s="16"/>
      <c r="I51" s="16"/>
      <c r="J51" s="16"/>
    </row>
    <row r="52" spans="1:10" s="30" customFormat="1" ht="13" customHeight="1">
      <c r="A52" s="16" t="s">
        <v>55</v>
      </c>
      <c r="B52" s="16">
        <v>15</v>
      </c>
      <c r="C52" s="16" t="s">
        <v>4</v>
      </c>
      <c r="D52" s="16" t="s">
        <v>56</v>
      </c>
      <c r="E52" s="16"/>
      <c r="F52" s="16"/>
      <c r="G52" s="16"/>
      <c r="H52" s="16"/>
      <c r="I52" s="16"/>
      <c r="J52" s="16"/>
    </row>
    <row r="53" spans="1:10" s="30" customFormat="1" ht="13" customHeight="1">
      <c r="A53" s="31" t="s">
        <v>57</v>
      </c>
      <c r="B53" s="16">
        <v>12</v>
      </c>
      <c r="C53" s="31" t="s">
        <v>4</v>
      </c>
      <c r="D53" s="16" t="s">
        <v>58</v>
      </c>
      <c r="E53" s="16"/>
      <c r="F53" s="16"/>
      <c r="G53" s="16"/>
      <c r="H53" s="16"/>
      <c r="I53" s="16"/>
      <c r="J53" s="16"/>
    </row>
    <row r="54" spans="1:10" s="32" customFormat="1" ht="13" customHeight="1">
      <c r="A54" s="139" t="s">
        <v>59</v>
      </c>
      <c r="B54" s="140">
        <v>1</v>
      </c>
      <c r="C54" s="31"/>
      <c r="D54" s="31" t="s">
        <v>60</v>
      </c>
      <c r="E54" s="31"/>
      <c r="F54" s="31"/>
      <c r="G54" s="31"/>
      <c r="H54" s="31"/>
      <c r="I54" s="31"/>
      <c r="J54" s="31"/>
    </row>
    <row r="55" spans="1:10" s="30" customFormat="1" ht="13" customHeight="1">
      <c r="A55" s="16" t="s">
        <v>61</v>
      </c>
      <c r="B55" s="19">
        <f>Iu_rms^2*B46/B54/1000</f>
        <v>2.6752301946680237E-2</v>
      </c>
      <c r="C55" s="16" t="s">
        <v>43</v>
      </c>
      <c r="D55" s="16" t="s">
        <v>62</v>
      </c>
      <c r="E55" s="16"/>
      <c r="F55" s="16"/>
      <c r="G55" s="16"/>
      <c r="H55" s="16"/>
      <c r="I55" s="16"/>
      <c r="J55" s="16"/>
    </row>
    <row r="56" spans="1:10" s="30" customFormat="1" ht="13" customHeight="1">
      <c r="A56" s="16" t="s">
        <v>63</v>
      </c>
      <c r="B56" s="19">
        <f>Vin*(Iout-0.5*Irip)*B52*10^(-9)*Fs*10^(3)/2</f>
        <v>8.5140000000000007E-2</v>
      </c>
      <c r="C56" s="16" t="s">
        <v>43</v>
      </c>
      <c r="D56" s="16" t="s">
        <v>64</v>
      </c>
      <c r="E56" s="16"/>
      <c r="F56" s="16"/>
      <c r="G56" s="16"/>
      <c r="H56" s="16"/>
      <c r="I56" s="16"/>
      <c r="J56" s="16"/>
    </row>
    <row r="57" spans="1:10" s="30" customFormat="1" ht="13" customHeight="1">
      <c r="A57" s="16" t="s">
        <v>65</v>
      </c>
      <c r="B57" s="19">
        <f>Vin*(Iout+0.5*Irip)*B53*10^(-9)*Fs*10^(3)/2</f>
        <v>7.5888000000000011E-2</v>
      </c>
      <c r="C57" s="16" t="s">
        <v>43</v>
      </c>
      <c r="D57" s="16" t="s">
        <v>66</v>
      </c>
      <c r="E57" s="16"/>
      <c r="F57" s="16"/>
      <c r="G57" s="16"/>
      <c r="H57" s="16"/>
      <c r="I57" s="16"/>
      <c r="J57" s="16"/>
    </row>
    <row r="58" spans="1:10" s="30" customFormat="1" ht="13" customHeight="1">
      <c r="A58" s="16" t="s">
        <v>67</v>
      </c>
      <c r="B58" s="19">
        <f>Vin*Fs*10^3*B48*10^(-9)*B54</f>
        <v>7.2000000000000007E-3</v>
      </c>
      <c r="C58" s="16" t="s">
        <v>43</v>
      </c>
      <c r="D58" s="16" t="s">
        <v>68</v>
      </c>
      <c r="E58" s="16"/>
      <c r="F58" s="16"/>
      <c r="G58" s="16"/>
      <c r="H58" s="16"/>
      <c r="I58" s="16"/>
      <c r="J58" s="16"/>
    </row>
    <row r="59" spans="1:10" s="30" customFormat="1" ht="13" customHeight="1">
      <c r="A59" s="16" t="s">
        <v>69</v>
      </c>
      <c r="B59" s="19">
        <f>0.5*B51*10^(-9)*Vin^2*Fs*10^3*B54</f>
        <v>3.3542976939203357E-3</v>
      </c>
      <c r="C59" s="16" t="s">
        <v>43</v>
      </c>
      <c r="D59" s="16" t="s">
        <v>70</v>
      </c>
      <c r="E59" s="16"/>
      <c r="F59" s="16"/>
      <c r="G59" s="16"/>
      <c r="H59" s="16"/>
      <c r="I59" s="16"/>
      <c r="J59" s="16"/>
    </row>
    <row r="60" spans="1:10" s="30" customFormat="1" ht="13" customHeight="1">
      <c r="A60" s="16" t="s">
        <v>71</v>
      </c>
      <c r="B60" s="19">
        <f>SUM(B55:B59)</f>
        <v>0.19833459964060063</v>
      </c>
      <c r="C60" s="16" t="s">
        <v>43</v>
      </c>
      <c r="D60" s="16" t="s">
        <v>72</v>
      </c>
      <c r="E60" s="16"/>
      <c r="F60" s="16"/>
      <c r="G60" s="16"/>
      <c r="H60" s="16"/>
      <c r="I60" s="16"/>
      <c r="J60" s="19"/>
    </row>
    <row r="61" spans="1:10" s="30" customFormat="1" ht="1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30" customFormat="1" ht="13" customHeight="1">
      <c r="A62" s="135" t="s">
        <v>36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s="30" customFormat="1" ht="13" customHeight="1">
      <c r="A63" s="16" t="s">
        <v>44</v>
      </c>
      <c r="B63" s="136">
        <f>B39</f>
        <v>435.59999999999997</v>
      </c>
      <c r="C63" s="16" t="s">
        <v>23</v>
      </c>
      <c r="D63" s="16"/>
      <c r="E63" s="16"/>
      <c r="F63" s="16"/>
      <c r="G63" s="16"/>
      <c r="H63" s="16"/>
      <c r="I63" s="16"/>
      <c r="J63" s="16"/>
    </row>
    <row r="64" spans="1:10" s="30" customFormat="1" ht="13" customHeight="1">
      <c r="A64" s="16" t="s">
        <v>45</v>
      </c>
      <c r="B64" s="16">
        <v>1.2</v>
      </c>
      <c r="C64" s="16" t="s">
        <v>5</v>
      </c>
      <c r="D64" s="16"/>
      <c r="E64" s="16"/>
      <c r="F64" s="16"/>
      <c r="G64" s="16"/>
      <c r="H64" s="16"/>
      <c r="I64" s="16"/>
      <c r="J64" s="16"/>
    </row>
    <row r="65" spans="1:10" s="30" customFormat="1" ht="13" customHeight="1">
      <c r="A65" s="16" t="s">
        <v>46</v>
      </c>
      <c r="B65" s="16">
        <v>0.3</v>
      </c>
      <c r="C65" s="16" t="s">
        <v>47</v>
      </c>
      <c r="D65" s="16"/>
      <c r="E65" s="16"/>
      <c r="F65" s="16"/>
      <c r="G65" s="16"/>
      <c r="H65" s="16"/>
      <c r="I65" s="16"/>
      <c r="J65" s="16"/>
    </row>
    <row r="66" spans="1:10" s="30" customFormat="1" ht="13" customHeight="1">
      <c r="A66" s="16" t="s">
        <v>48</v>
      </c>
      <c r="B66" s="16">
        <v>0.2</v>
      </c>
      <c r="C66" s="16" t="s">
        <v>47</v>
      </c>
      <c r="D66" s="16"/>
      <c r="E66" s="16"/>
      <c r="F66" s="16"/>
      <c r="G66" s="16"/>
      <c r="H66" s="16"/>
      <c r="I66" s="16"/>
      <c r="J66" s="16"/>
    </row>
    <row r="67" spans="1:10" s="30" customFormat="1" ht="13" customHeight="1">
      <c r="A67" s="16" t="s">
        <v>49</v>
      </c>
      <c r="B67" s="141">
        <f>+E67/Ron_l</f>
        <v>6.8870523415977963E-2</v>
      </c>
      <c r="C67" s="16" t="s">
        <v>50</v>
      </c>
      <c r="D67" s="16" t="s">
        <v>51</v>
      </c>
      <c r="E67" s="96">
        <v>30</v>
      </c>
      <c r="F67" s="16" t="s">
        <v>52</v>
      </c>
      <c r="G67" s="16"/>
      <c r="H67" s="16"/>
      <c r="I67" s="16"/>
      <c r="J67" s="16"/>
    </row>
    <row r="68" spans="1:10" s="30" customFormat="1" ht="13" customHeight="1">
      <c r="A68" s="16" t="s">
        <v>53</v>
      </c>
      <c r="B68" s="138">
        <f>+E68/Ron_l</f>
        <v>4.5913682277318645E-2</v>
      </c>
      <c r="C68" s="16" t="s">
        <v>50</v>
      </c>
      <c r="D68" s="16" t="s">
        <v>54</v>
      </c>
      <c r="E68" s="96">
        <v>20</v>
      </c>
      <c r="F68" s="16" t="s">
        <v>52</v>
      </c>
      <c r="G68" s="16"/>
      <c r="H68" s="16"/>
      <c r="I68" s="16"/>
      <c r="J68" s="16"/>
    </row>
    <row r="69" spans="1:10" s="30" customFormat="1" ht="13" customHeight="1">
      <c r="A69" s="16" t="s">
        <v>73</v>
      </c>
      <c r="B69" s="16">
        <v>20.2</v>
      </c>
      <c r="C69" s="16" t="s">
        <v>4</v>
      </c>
      <c r="D69" s="16" t="s">
        <v>74</v>
      </c>
      <c r="E69" s="16"/>
      <c r="F69" s="16"/>
      <c r="G69" s="16"/>
      <c r="H69" s="16"/>
      <c r="I69" s="16"/>
      <c r="J69" s="16"/>
    </row>
    <row r="70" spans="1:10" s="30" customFormat="1" ht="13" customHeight="1">
      <c r="A70" s="31" t="s">
        <v>75</v>
      </c>
      <c r="B70" s="31">
        <v>28.2</v>
      </c>
      <c r="C70" s="31" t="s">
        <v>4</v>
      </c>
      <c r="D70" s="16" t="s">
        <v>76</v>
      </c>
      <c r="E70" s="16"/>
      <c r="F70" s="16"/>
      <c r="G70" s="16"/>
      <c r="H70" s="16"/>
      <c r="I70" s="16"/>
      <c r="J70" s="16"/>
    </row>
    <row r="71" spans="1:10" s="32" customFormat="1" ht="13" customHeight="1">
      <c r="A71" s="31" t="s">
        <v>59</v>
      </c>
      <c r="B71" s="140">
        <v>1</v>
      </c>
      <c r="C71" s="31"/>
      <c r="D71" s="31" t="s">
        <v>77</v>
      </c>
      <c r="E71" s="31"/>
      <c r="F71" s="31"/>
      <c r="G71" s="31"/>
      <c r="H71" s="31"/>
      <c r="I71" s="31"/>
      <c r="J71" s="31"/>
    </row>
    <row r="72" spans="1:10" s="30" customFormat="1" ht="13" customHeight="1">
      <c r="A72" s="16" t="s">
        <v>61</v>
      </c>
      <c r="B72" s="19">
        <f>Il_rms^2*B63/1000/B71</f>
        <v>9.543340411006998E-2</v>
      </c>
      <c r="C72" s="16" t="s">
        <v>43</v>
      </c>
      <c r="D72" s="16" t="s">
        <v>78</v>
      </c>
      <c r="E72" s="16"/>
      <c r="F72" s="16"/>
      <c r="G72" s="16"/>
      <c r="H72" s="16"/>
      <c r="I72" s="16"/>
      <c r="J72" s="16"/>
    </row>
    <row r="73" spans="1:10" s="30" customFormat="1" ht="12.75" customHeight="1">
      <c r="A73" s="16" t="s">
        <v>67</v>
      </c>
      <c r="B73" s="19">
        <f>B64*Fs*10^(-6)*((Iout+0.5*Irip)*B69+(Iout-0.5*Irip)*B70)</f>
        <v>5.7561599999999997E-2</v>
      </c>
      <c r="C73" s="16" t="s">
        <v>43</v>
      </c>
      <c r="D73" s="16" t="s">
        <v>79</v>
      </c>
      <c r="E73" s="16"/>
      <c r="F73" s="16"/>
      <c r="G73" s="16"/>
      <c r="H73" s="16"/>
      <c r="I73" s="16"/>
      <c r="J73" s="16"/>
    </row>
    <row r="74" spans="1:10" s="30" customFormat="1" ht="13" customHeight="1">
      <c r="A74" s="16" t="s">
        <v>80</v>
      </c>
      <c r="B74" s="19">
        <f>0.5*B65*Vin* Fs*10^(-6)*B71</f>
        <v>3.5999999999999995E-3</v>
      </c>
      <c r="C74" s="16" t="s">
        <v>43</v>
      </c>
      <c r="D74" s="16" t="s">
        <v>243</v>
      </c>
      <c r="E74" s="16"/>
      <c r="F74" s="16"/>
      <c r="G74" s="16"/>
      <c r="H74" s="16"/>
      <c r="I74" s="16"/>
      <c r="J74" s="16"/>
    </row>
    <row r="75" spans="1:10" s="30" customFormat="1" ht="13" customHeight="1">
      <c r="A75" s="16" t="s">
        <v>69</v>
      </c>
      <c r="B75" s="19">
        <f>B68*10^(-9)*B71*Vin^2*Fs*1000/2</f>
        <v>6.611570247933885E-3</v>
      </c>
      <c r="C75" s="16" t="s">
        <v>43</v>
      </c>
      <c r="D75" s="16" t="s">
        <v>70</v>
      </c>
      <c r="E75" s="16"/>
      <c r="F75" s="16"/>
      <c r="G75" s="16"/>
      <c r="H75" s="16"/>
      <c r="I75" s="16"/>
      <c r="J75" s="16"/>
    </row>
    <row r="76" spans="1:10" s="30" customFormat="1" ht="13" customHeight="1">
      <c r="A76" s="16" t="s">
        <v>81</v>
      </c>
      <c r="B76" s="19">
        <f>B72+B73+B74+B75</f>
        <v>0.16320657435800384</v>
      </c>
      <c r="C76" s="16" t="s">
        <v>43</v>
      </c>
      <c r="D76" s="16" t="s">
        <v>82</v>
      </c>
      <c r="E76" s="16"/>
      <c r="F76" s="16"/>
      <c r="G76" s="16"/>
      <c r="H76" s="16"/>
      <c r="I76" s="16"/>
      <c r="J76" s="16"/>
    </row>
    <row r="77" spans="1:10" s="30" customFormat="1" ht="1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30" customFormat="1" ht="13" customHeight="1">
      <c r="A78" s="142" t="s">
        <v>83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30" customFormat="1" ht="13" customHeight="1">
      <c r="A79" s="16" t="s">
        <v>84</v>
      </c>
      <c r="B79" s="16">
        <f>IF(Vin&lt;5.7, Vin, 5)</f>
        <v>5</v>
      </c>
      <c r="C79" s="16" t="s">
        <v>5</v>
      </c>
      <c r="D79" s="16"/>
      <c r="E79" s="16"/>
      <c r="F79" s="16"/>
      <c r="G79" s="16"/>
      <c r="H79" s="16"/>
      <c r="I79" s="16"/>
      <c r="J79" s="16"/>
    </row>
    <row r="80" spans="1:10" s="32" customFormat="1" ht="13" customHeight="1">
      <c r="A80" s="31" t="s">
        <v>85</v>
      </c>
      <c r="B80" s="16">
        <f>IF(Vin&lt;5.7, Vin, 5)</f>
        <v>5</v>
      </c>
      <c r="C80" s="31" t="s">
        <v>5</v>
      </c>
      <c r="D80" s="31"/>
      <c r="E80" s="31"/>
      <c r="F80" s="31"/>
      <c r="G80" s="31"/>
      <c r="H80" s="31"/>
      <c r="I80" s="31"/>
      <c r="J80" s="31"/>
    </row>
    <row r="81" spans="1:10" s="32" customFormat="1" ht="13" customHeight="1">
      <c r="A81" s="31" t="s">
        <v>86</v>
      </c>
      <c r="B81" s="31">
        <v>6</v>
      </c>
      <c r="C81" s="31" t="s">
        <v>87</v>
      </c>
      <c r="D81" s="31" t="s">
        <v>88</v>
      </c>
      <c r="E81" s="31"/>
      <c r="F81" s="31"/>
      <c r="G81" s="31"/>
      <c r="H81" s="31"/>
      <c r="I81" s="31"/>
      <c r="J81" s="31"/>
    </row>
    <row r="82" spans="1:10" s="30" customFormat="1" ht="13" customHeight="1">
      <c r="A82" s="16" t="s">
        <v>89</v>
      </c>
      <c r="B82" s="19">
        <f>Fs*B79*B49*10^(-6)*B54</f>
        <v>2E-3</v>
      </c>
      <c r="C82" s="16" t="s">
        <v>43</v>
      </c>
      <c r="D82" s="16" t="s">
        <v>90</v>
      </c>
      <c r="E82" s="16"/>
      <c r="F82" s="16"/>
      <c r="G82" s="16"/>
      <c r="H82" s="16"/>
      <c r="I82" s="16"/>
      <c r="J82" s="16"/>
    </row>
    <row r="83" spans="1:10" s="30" customFormat="1" ht="13" customHeight="1">
      <c r="A83" s="16" t="s">
        <v>91</v>
      </c>
      <c r="B83" s="19">
        <f>Fs*B80*B66*10^(-6)*B71</f>
        <v>2E-3</v>
      </c>
      <c r="C83" s="16" t="s">
        <v>43</v>
      </c>
      <c r="D83" s="16" t="s">
        <v>92</v>
      </c>
      <c r="E83" s="16"/>
      <c r="F83" s="16"/>
      <c r="G83" s="16"/>
      <c r="H83" s="16"/>
      <c r="I83" s="16"/>
      <c r="J83" s="16"/>
    </row>
    <row r="84" spans="1:10" s="30" customFormat="1" ht="13" customHeight="1">
      <c r="A84" s="143" t="s">
        <v>93</v>
      </c>
      <c r="B84" s="144">
        <f>+(Vin-B80)*B81/1000</f>
        <v>4.2000000000000003E-2</v>
      </c>
      <c r="C84" s="143" t="s">
        <v>43</v>
      </c>
      <c r="D84" s="143" t="s">
        <v>94</v>
      </c>
      <c r="E84" s="143"/>
      <c r="F84" s="16"/>
      <c r="G84" s="16"/>
      <c r="H84" s="16"/>
      <c r="I84" s="16"/>
      <c r="J84" s="16"/>
    </row>
    <row r="85" spans="1:10" s="30" customFormat="1" ht="13" customHeight="1">
      <c r="A85" s="16" t="s">
        <v>95</v>
      </c>
      <c r="B85" s="19">
        <f>B82+B83+B84+B81*B80*0.001</f>
        <v>7.5999999999999998E-2</v>
      </c>
      <c r="C85" s="16" t="s">
        <v>43</v>
      </c>
      <c r="D85" s="16" t="s">
        <v>96</v>
      </c>
      <c r="E85" s="16"/>
      <c r="F85" s="16"/>
      <c r="G85" s="16"/>
      <c r="H85" s="16"/>
      <c r="I85" s="16"/>
      <c r="J85" s="16"/>
    </row>
    <row r="86" spans="1:10" s="30" customFormat="1" ht="1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s="30" customFormat="1" ht="13" customHeight="1">
      <c r="A87" s="142" t="s">
        <v>97</v>
      </c>
      <c r="B87" s="16"/>
      <c r="C87" s="16"/>
      <c r="D87" s="16"/>
      <c r="E87" s="16"/>
      <c r="F87" s="16"/>
      <c r="G87" s="16"/>
      <c r="H87" s="16"/>
      <c r="I87" s="16"/>
      <c r="J87" s="16"/>
    </row>
    <row r="88" spans="1:10" s="30" customFormat="1" ht="13" customHeight="1">
      <c r="A88" s="16" t="s">
        <v>98</v>
      </c>
      <c r="B88" s="19">
        <f>0.7*10^(-9)*(Fs)^1.35*(57.8*0.5*Irip)^2.263</f>
        <v>5.4816011298155328E-5</v>
      </c>
      <c r="C88" s="16" t="s">
        <v>43</v>
      </c>
      <c r="D88" s="16" t="s">
        <v>99</v>
      </c>
      <c r="E88" s="16"/>
      <c r="F88" s="16"/>
      <c r="G88" s="16"/>
      <c r="H88" s="16"/>
      <c r="I88" s="16"/>
      <c r="J88" s="16"/>
    </row>
    <row r="89" spans="1:10" s="30" customFormat="1" ht="13" customHeight="1">
      <c r="A89" s="16" t="s">
        <v>100</v>
      </c>
      <c r="B89" s="19">
        <f>DCR/1000*(Iout*SQRT(1+1/3*(Irip/Iout)^2))^2</f>
        <v>2.50972E-2</v>
      </c>
      <c r="C89" s="16" t="s">
        <v>43</v>
      </c>
      <c r="D89" s="16" t="s">
        <v>101</v>
      </c>
      <c r="E89" s="16"/>
      <c r="F89" s="16"/>
      <c r="G89" s="16"/>
      <c r="H89" s="16"/>
      <c r="I89" s="16"/>
      <c r="J89" s="16"/>
    </row>
    <row r="90" spans="1:10" s="30" customFormat="1" ht="13" customHeight="1">
      <c r="A90" s="16" t="s">
        <v>102</v>
      </c>
      <c r="B90" s="19">
        <f>B88+B89</f>
        <v>2.5152016011298156E-2</v>
      </c>
      <c r="C90" s="16" t="s">
        <v>43</v>
      </c>
      <c r="D90" s="16" t="s">
        <v>103</v>
      </c>
      <c r="E90" s="16"/>
      <c r="F90" s="16"/>
      <c r="G90" s="16"/>
      <c r="H90" s="16"/>
      <c r="I90" s="16"/>
      <c r="J90" s="16"/>
    </row>
    <row r="91" spans="1:10" s="30" customFormat="1" ht="13" customHeight="1">
      <c r="A91" s="16"/>
      <c r="B91" s="19"/>
      <c r="C91" s="16"/>
      <c r="D91" s="16"/>
      <c r="E91" s="16"/>
      <c r="F91" s="16"/>
      <c r="G91" s="16"/>
      <c r="H91" s="16"/>
      <c r="I91" s="16"/>
      <c r="J91" s="16"/>
    </row>
    <row r="92" spans="1:10" s="30" customFormat="1" ht="13" customHeight="1">
      <c r="A92" s="142" t="s">
        <v>104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s="30" customFormat="1" ht="13" customHeight="1">
      <c r="A93" s="16" t="s">
        <v>105</v>
      </c>
      <c r="B93" s="145">
        <f>(0.5*Irip/SQRT(3))^2*B33/B31/1000</f>
        <v>1.2150000000000004E-6</v>
      </c>
      <c r="C93" s="16" t="s">
        <v>43</v>
      </c>
      <c r="D93" s="16" t="s">
        <v>106</v>
      </c>
      <c r="E93" s="16"/>
      <c r="F93" s="16"/>
      <c r="G93" s="16"/>
      <c r="H93" s="16"/>
      <c r="I93" s="16"/>
      <c r="J93" s="16"/>
    </row>
    <row r="94" spans="1:10" s="30" customFormat="1" ht="1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s="30" customFormat="1" ht="13" customHeight="1">
      <c r="A95" s="135" t="s">
        <v>39</v>
      </c>
      <c r="B95" s="146">
        <f>B85+B76+B60+B90</f>
        <v>0.46269319000990261</v>
      </c>
      <c r="C95" s="142" t="s">
        <v>43</v>
      </c>
      <c r="D95" s="16"/>
      <c r="E95" s="16"/>
      <c r="F95" s="16"/>
      <c r="G95" s="16"/>
      <c r="H95" s="16"/>
      <c r="I95" s="16"/>
      <c r="J95" s="16"/>
    </row>
    <row r="96" spans="1:10" s="30" customFormat="1" ht="13" customHeight="1">
      <c r="A96" s="135" t="s">
        <v>41</v>
      </c>
      <c r="B96" s="146">
        <f>Vout*Iout/(Vout*Iout+B95)*100</f>
        <v>56.460322286850165</v>
      </c>
      <c r="C96" s="142" t="s">
        <v>15</v>
      </c>
      <c r="D96" s="16"/>
      <c r="E96" s="16"/>
      <c r="F96" s="16"/>
      <c r="G96" s="16"/>
      <c r="H96" s="16"/>
      <c r="I96" s="16"/>
      <c r="J96" s="16"/>
    </row>
    <row r="97" spans="1:10" s="29" customFormat="1" ht="1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3" customHeight="1">
      <c r="A98" s="4"/>
      <c r="B98" s="4"/>
      <c r="C98" s="4"/>
      <c r="D98" s="4"/>
      <c r="E98" s="4"/>
      <c r="F98" s="4"/>
      <c r="G98" s="4"/>
      <c r="H98" s="17"/>
      <c r="I98" s="17"/>
      <c r="J98" s="17"/>
    </row>
    <row r="99" spans="1:10" ht="13" customHeight="1">
      <c r="A99" s="4"/>
      <c r="B99" s="4"/>
      <c r="C99" s="4"/>
      <c r="D99" s="4"/>
      <c r="E99" s="4"/>
      <c r="F99" s="4"/>
      <c r="G99" s="4"/>
      <c r="H99" s="17"/>
      <c r="I99" s="17"/>
      <c r="J99" s="17"/>
    </row>
    <row r="100" spans="1:10" ht="13" customHeight="1">
      <c r="A100" s="4"/>
      <c r="B100" s="33"/>
      <c r="C100" s="4"/>
      <c r="D100" s="4"/>
      <c r="E100" s="4"/>
      <c r="F100" s="4"/>
      <c r="G100" s="4"/>
      <c r="H100" s="17"/>
      <c r="I100" s="17"/>
      <c r="J100" s="17"/>
    </row>
    <row r="101" spans="1:10" ht="13" customHeight="1">
      <c r="A101" s="4"/>
      <c r="B101" s="4"/>
      <c r="C101" s="4"/>
      <c r="D101" s="4"/>
      <c r="E101" s="4"/>
      <c r="F101" s="4"/>
      <c r="G101" s="4"/>
      <c r="H101" s="17"/>
      <c r="I101" s="17"/>
      <c r="J101" s="17"/>
    </row>
    <row r="102" spans="1:10" ht="13" customHeight="1">
      <c r="A102" s="4"/>
      <c r="B102" s="4"/>
      <c r="C102" s="4"/>
      <c r="D102" s="4"/>
      <c r="E102" s="4"/>
      <c r="F102" s="4"/>
      <c r="G102" s="4"/>
      <c r="H102" s="17"/>
      <c r="I102" s="17"/>
      <c r="J102" s="17"/>
    </row>
    <row r="103" spans="1:10" ht="13" customHeight="1">
      <c r="A103" s="4"/>
      <c r="B103" s="4"/>
      <c r="C103" s="4"/>
      <c r="D103" s="4"/>
      <c r="E103" s="4"/>
      <c r="F103" s="4"/>
      <c r="G103" s="4"/>
      <c r="H103" s="17"/>
      <c r="I103" s="17"/>
      <c r="J103" s="17"/>
    </row>
    <row r="104" spans="1:10" ht="13" customHeight="1">
      <c r="A104" s="4"/>
      <c r="B104" s="4"/>
      <c r="C104" s="4"/>
      <c r="D104" s="4"/>
      <c r="E104" s="4"/>
      <c r="F104" s="4"/>
      <c r="G104" s="4"/>
      <c r="H104" s="17"/>
      <c r="I104" s="17"/>
      <c r="J104" s="17"/>
    </row>
    <row r="105" spans="1:10" ht="13" customHeight="1">
      <c r="A105" s="4"/>
      <c r="B105" s="4"/>
      <c r="C105" s="4"/>
      <c r="D105" s="4"/>
      <c r="E105" s="4"/>
      <c r="F105" s="4"/>
      <c r="G105" s="4"/>
      <c r="H105" s="17"/>
      <c r="I105" s="17"/>
      <c r="J105" s="17"/>
    </row>
    <row r="106" spans="1:10" ht="13" customHeight="1">
      <c r="A106" s="4"/>
      <c r="B106" s="4"/>
      <c r="C106" s="4"/>
      <c r="D106" s="4"/>
      <c r="E106" s="4"/>
      <c r="F106" s="4"/>
      <c r="G106" s="4"/>
      <c r="H106" s="17"/>
    </row>
    <row r="107" spans="1:10" ht="13" customHeight="1">
      <c r="A107" s="4"/>
      <c r="B107" s="4"/>
      <c r="C107" s="4"/>
      <c r="D107" s="4"/>
      <c r="E107" s="4"/>
      <c r="F107" s="4"/>
      <c r="G107" s="4"/>
    </row>
    <row r="108" spans="1:10" ht="13" customHeight="1">
      <c r="A108" s="4"/>
      <c r="B108" s="4"/>
      <c r="C108" s="4"/>
      <c r="D108" s="4"/>
      <c r="E108" s="4"/>
      <c r="F108" s="4"/>
      <c r="G108" s="4"/>
    </row>
    <row r="109" spans="1:10" ht="13" customHeight="1">
      <c r="A109" s="4"/>
      <c r="B109" s="4"/>
      <c r="C109" s="4"/>
      <c r="D109" s="4"/>
      <c r="E109" s="4"/>
      <c r="F109" s="4"/>
      <c r="G109" s="4"/>
    </row>
    <row r="110" spans="1:10" ht="13" customHeight="1">
      <c r="A110" s="4"/>
      <c r="B110" s="4"/>
      <c r="C110" s="4"/>
      <c r="D110" s="4"/>
      <c r="E110" s="4"/>
      <c r="F110" s="4"/>
      <c r="G110" s="4"/>
    </row>
    <row r="111" spans="1:10" ht="13" customHeight="1">
      <c r="A111" s="4"/>
      <c r="B111" s="4"/>
      <c r="C111" s="4"/>
      <c r="D111" s="4"/>
      <c r="E111" s="4"/>
      <c r="F111" s="4"/>
      <c r="G111" s="4"/>
    </row>
    <row r="112" spans="1:10" ht="13" customHeight="1">
      <c r="A112" s="4"/>
      <c r="B112" s="4"/>
      <c r="C112" s="4"/>
      <c r="D112" s="4"/>
      <c r="E112" s="4"/>
      <c r="F112" s="4"/>
      <c r="G112" s="4"/>
    </row>
    <row r="113" spans="1:7" ht="13" customHeight="1">
      <c r="A113" s="4"/>
      <c r="B113" s="4"/>
      <c r="C113" s="4"/>
      <c r="D113" s="4"/>
      <c r="E113" s="4"/>
      <c r="F113" s="4"/>
      <c r="G113" s="4"/>
    </row>
    <row r="114" spans="1:7" ht="13" customHeight="1">
      <c r="A114" s="4"/>
      <c r="B114" s="4"/>
      <c r="C114" s="4"/>
      <c r="D114" s="4"/>
      <c r="E114" s="4"/>
      <c r="F114" s="4"/>
      <c r="G114" s="4"/>
    </row>
    <row r="115" spans="1:7" ht="13" customHeight="1">
      <c r="A115" s="4"/>
      <c r="B115" s="4"/>
      <c r="C115" s="4"/>
      <c r="D115" s="4"/>
      <c r="E115" s="4"/>
      <c r="F115" s="4"/>
      <c r="G115" s="4"/>
    </row>
    <row r="116" spans="1:7" ht="13" customHeight="1">
      <c r="A116" s="4"/>
      <c r="B116" s="4"/>
      <c r="C116" s="4"/>
      <c r="D116" s="4"/>
      <c r="E116" s="4"/>
      <c r="F116" s="4"/>
      <c r="G116" s="4"/>
    </row>
    <row r="117" spans="1:7" ht="13" customHeight="1"/>
    <row r="118" spans="1:7" ht="13" customHeight="1"/>
  </sheetData>
  <sheetProtection password="C6F9" sheet="1" objects="1" scenarios="1" selectLockedCells="1"/>
  <conditionalFormatting sqref="B19">
    <cfRule type="cellIs" dxfId="8" priority="11" operator="between">
      <formula>4.5</formula>
      <formula>40</formula>
    </cfRule>
  </conditionalFormatting>
  <conditionalFormatting sqref="B20">
    <cfRule type="cellIs" dxfId="7" priority="9" operator="between">
      <formula>0.8</formula>
      <formula>$B$19</formula>
    </cfRule>
  </conditionalFormatting>
  <conditionalFormatting sqref="A20">
    <cfRule type="containsText" dxfId="6" priority="5" operator="containsText" text="Output Voltage">
      <formula>NOT(ISERROR(SEARCH("Output Voltage",A20)))</formula>
    </cfRule>
    <cfRule type="containsText" dxfId="5" priority="4" operator="containsText" text="Output Voltage">
      <formula>NOT(ISERROR(SEARCH("Output Voltage",A20)))</formula>
    </cfRule>
    <cfRule type="containsText" dxfId="4" priority="1" operator="containsText" text="Voltage Out of Range">
      <formula>NOT(ISERROR(SEARCH("Voltage Out of Range",A20)))</formula>
    </cfRule>
  </conditionalFormatting>
  <conditionalFormatting sqref="A19">
    <cfRule type="cellIs" dxfId="3" priority="3" operator="between">
      <formula>4.5</formula>
      <formula>40</formula>
    </cfRule>
    <cfRule type="containsText" dxfId="2" priority="2" operator="containsText" text="Input Voltage Out of Range">
      <formula>NOT(ISERROR(SEARCH("Input Voltage Out of Range",A19)))</formula>
    </cfRule>
  </conditionalFormatting>
  <dataValidations count="1">
    <dataValidation type="list" allowBlank="1" showInputMessage="1" showErrorMessage="1" sqref="B17">
      <formula1>$I$39:$I$40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49" r:id="rId4">
          <objectPr defaultSize="0" autoPict="0" r:id="rId5">
            <anchor moveWithCells="1">
              <from>
                <xdr:col>7</xdr:col>
                <xdr:colOff>69850</xdr:colOff>
                <xdr:row>15</xdr:row>
                <xdr:rowOff>165100</xdr:rowOff>
              </from>
              <to>
                <xdr:col>16</xdr:col>
                <xdr:colOff>12700</xdr:colOff>
                <xdr:row>32</xdr:row>
                <xdr:rowOff>127000</xdr:rowOff>
              </to>
            </anchor>
          </objectPr>
        </oleObject>
      </mc:Choice>
      <mc:Fallback>
        <oleObject progId="Visio.Drawing.11" shapeId="1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opLeftCell="A7" workbookViewId="0">
      <selection activeCell="B10" sqref="B10"/>
    </sheetView>
  </sheetViews>
  <sheetFormatPr defaultRowHeight="13" customHeight="1"/>
  <cols>
    <col min="1" max="1" width="15.7265625" style="2" customWidth="1"/>
    <col min="2" max="2" width="17.1796875" style="2" customWidth="1"/>
    <col min="3" max="3" width="11.81640625" style="2" customWidth="1"/>
    <col min="4" max="4" width="19.81640625" style="2" customWidth="1"/>
    <col min="5" max="5" width="12.1796875" style="2" customWidth="1"/>
    <col min="6" max="6" width="10.7265625" style="2" customWidth="1"/>
    <col min="7" max="7" width="27.1796875" style="2" customWidth="1"/>
    <col min="8" max="8" width="23.7265625" style="2" customWidth="1"/>
    <col min="9" max="13" width="9.26953125" style="2" bestFit="1" customWidth="1"/>
    <col min="14" max="15" width="12.26953125" style="2" bestFit="1" customWidth="1"/>
    <col min="16" max="17" width="9.26953125" style="2" bestFit="1" customWidth="1"/>
    <col min="18" max="256" width="9.1796875" style="2"/>
    <col min="257" max="257" width="15.7265625" style="2" customWidth="1"/>
    <col min="258" max="258" width="17.1796875" style="2" customWidth="1"/>
    <col min="259" max="259" width="11.81640625" style="2" customWidth="1"/>
    <col min="260" max="260" width="11" style="2" customWidth="1"/>
    <col min="261" max="261" width="24.7265625" style="2" customWidth="1"/>
    <col min="262" max="262" width="10.7265625" style="2" customWidth="1"/>
    <col min="263" max="263" width="27.1796875" style="2" customWidth="1"/>
    <col min="264" max="264" width="23.7265625" style="2" customWidth="1"/>
    <col min="265" max="512" width="9.1796875" style="2"/>
    <col min="513" max="513" width="15.7265625" style="2" customWidth="1"/>
    <col min="514" max="514" width="17.1796875" style="2" customWidth="1"/>
    <col min="515" max="515" width="11.81640625" style="2" customWidth="1"/>
    <col min="516" max="516" width="11" style="2" customWidth="1"/>
    <col min="517" max="517" width="24.7265625" style="2" customWidth="1"/>
    <col min="518" max="518" width="10.7265625" style="2" customWidth="1"/>
    <col min="519" max="519" width="27.1796875" style="2" customWidth="1"/>
    <col min="520" max="520" width="23.7265625" style="2" customWidth="1"/>
    <col min="521" max="768" width="9.1796875" style="2"/>
    <col min="769" max="769" width="15.7265625" style="2" customWidth="1"/>
    <col min="770" max="770" width="17.1796875" style="2" customWidth="1"/>
    <col min="771" max="771" width="11.81640625" style="2" customWidth="1"/>
    <col min="772" max="772" width="11" style="2" customWidth="1"/>
    <col min="773" max="773" width="24.7265625" style="2" customWidth="1"/>
    <col min="774" max="774" width="10.7265625" style="2" customWidth="1"/>
    <col min="775" max="775" width="27.1796875" style="2" customWidth="1"/>
    <col min="776" max="776" width="23.7265625" style="2" customWidth="1"/>
    <col min="777" max="1024" width="9.1796875" style="2"/>
    <col min="1025" max="1025" width="15.7265625" style="2" customWidth="1"/>
    <col min="1026" max="1026" width="17.1796875" style="2" customWidth="1"/>
    <col min="1027" max="1027" width="11.81640625" style="2" customWidth="1"/>
    <col min="1028" max="1028" width="11" style="2" customWidth="1"/>
    <col min="1029" max="1029" width="24.7265625" style="2" customWidth="1"/>
    <col min="1030" max="1030" width="10.7265625" style="2" customWidth="1"/>
    <col min="1031" max="1031" width="27.1796875" style="2" customWidth="1"/>
    <col min="1032" max="1032" width="23.7265625" style="2" customWidth="1"/>
    <col min="1033" max="1280" width="9.1796875" style="2"/>
    <col min="1281" max="1281" width="15.7265625" style="2" customWidth="1"/>
    <col min="1282" max="1282" width="17.1796875" style="2" customWidth="1"/>
    <col min="1283" max="1283" width="11.81640625" style="2" customWidth="1"/>
    <col min="1284" max="1284" width="11" style="2" customWidth="1"/>
    <col min="1285" max="1285" width="24.7265625" style="2" customWidth="1"/>
    <col min="1286" max="1286" width="10.7265625" style="2" customWidth="1"/>
    <col min="1287" max="1287" width="27.1796875" style="2" customWidth="1"/>
    <col min="1288" max="1288" width="23.7265625" style="2" customWidth="1"/>
    <col min="1289" max="1536" width="9.1796875" style="2"/>
    <col min="1537" max="1537" width="15.7265625" style="2" customWidth="1"/>
    <col min="1538" max="1538" width="17.1796875" style="2" customWidth="1"/>
    <col min="1539" max="1539" width="11.81640625" style="2" customWidth="1"/>
    <col min="1540" max="1540" width="11" style="2" customWidth="1"/>
    <col min="1541" max="1541" width="24.7265625" style="2" customWidth="1"/>
    <col min="1542" max="1542" width="10.7265625" style="2" customWidth="1"/>
    <col min="1543" max="1543" width="27.1796875" style="2" customWidth="1"/>
    <col min="1544" max="1544" width="23.7265625" style="2" customWidth="1"/>
    <col min="1545" max="1792" width="9.1796875" style="2"/>
    <col min="1793" max="1793" width="15.7265625" style="2" customWidth="1"/>
    <col min="1794" max="1794" width="17.1796875" style="2" customWidth="1"/>
    <col min="1795" max="1795" width="11.81640625" style="2" customWidth="1"/>
    <col min="1796" max="1796" width="11" style="2" customWidth="1"/>
    <col min="1797" max="1797" width="24.7265625" style="2" customWidth="1"/>
    <col min="1798" max="1798" width="10.7265625" style="2" customWidth="1"/>
    <col min="1799" max="1799" width="27.1796875" style="2" customWidth="1"/>
    <col min="1800" max="1800" width="23.7265625" style="2" customWidth="1"/>
    <col min="1801" max="2048" width="9.1796875" style="2"/>
    <col min="2049" max="2049" width="15.7265625" style="2" customWidth="1"/>
    <col min="2050" max="2050" width="17.1796875" style="2" customWidth="1"/>
    <col min="2051" max="2051" width="11.81640625" style="2" customWidth="1"/>
    <col min="2052" max="2052" width="11" style="2" customWidth="1"/>
    <col min="2053" max="2053" width="24.7265625" style="2" customWidth="1"/>
    <col min="2054" max="2054" width="10.7265625" style="2" customWidth="1"/>
    <col min="2055" max="2055" width="27.1796875" style="2" customWidth="1"/>
    <col min="2056" max="2056" width="23.7265625" style="2" customWidth="1"/>
    <col min="2057" max="2304" width="9.1796875" style="2"/>
    <col min="2305" max="2305" width="15.7265625" style="2" customWidth="1"/>
    <col min="2306" max="2306" width="17.1796875" style="2" customWidth="1"/>
    <col min="2307" max="2307" width="11.81640625" style="2" customWidth="1"/>
    <col min="2308" max="2308" width="11" style="2" customWidth="1"/>
    <col min="2309" max="2309" width="24.7265625" style="2" customWidth="1"/>
    <col min="2310" max="2310" width="10.7265625" style="2" customWidth="1"/>
    <col min="2311" max="2311" width="27.1796875" style="2" customWidth="1"/>
    <col min="2312" max="2312" width="23.7265625" style="2" customWidth="1"/>
    <col min="2313" max="2560" width="9.1796875" style="2"/>
    <col min="2561" max="2561" width="15.7265625" style="2" customWidth="1"/>
    <col min="2562" max="2562" width="17.1796875" style="2" customWidth="1"/>
    <col min="2563" max="2563" width="11.81640625" style="2" customWidth="1"/>
    <col min="2564" max="2564" width="11" style="2" customWidth="1"/>
    <col min="2565" max="2565" width="24.7265625" style="2" customWidth="1"/>
    <col min="2566" max="2566" width="10.7265625" style="2" customWidth="1"/>
    <col min="2567" max="2567" width="27.1796875" style="2" customWidth="1"/>
    <col min="2568" max="2568" width="23.7265625" style="2" customWidth="1"/>
    <col min="2569" max="2816" width="9.1796875" style="2"/>
    <col min="2817" max="2817" width="15.7265625" style="2" customWidth="1"/>
    <col min="2818" max="2818" width="17.1796875" style="2" customWidth="1"/>
    <col min="2819" max="2819" width="11.81640625" style="2" customWidth="1"/>
    <col min="2820" max="2820" width="11" style="2" customWidth="1"/>
    <col min="2821" max="2821" width="24.7265625" style="2" customWidth="1"/>
    <col min="2822" max="2822" width="10.7265625" style="2" customWidth="1"/>
    <col min="2823" max="2823" width="27.1796875" style="2" customWidth="1"/>
    <col min="2824" max="2824" width="23.7265625" style="2" customWidth="1"/>
    <col min="2825" max="3072" width="9.1796875" style="2"/>
    <col min="3073" max="3073" width="15.7265625" style="2" customWidth="1"/>
    <col min="3074" max="3074" width="17.1796875" style="2" customWidth="1"/>
    <col min="3075" max="3075" width="11.81640625" style="2" customWidth="1"/>
    <col min="3076" max="3076" width="11" style="2" customWidth="1"/>
    <col min="3077" max="3077" width="24.7265625" style="2" customWidth="1"/>
    <col min="3078" max="3078" width="10.7265625" style="2" customWidth="1"/>
    <col min="3079" max="3079" width="27.1796875" style="2" customWidth="1"/>
    <col min="3080" max="3080" width="23.7265625" style="2" customWidth="1"/>
    <col min="3081" max="3328" width="9.1796875" style="2"/>
    <col min="3329" max="3329" width="15.7265625" style="2" customWidth="1"/>
    <col min="3330" max="3330" width="17.1796875" style="2" customWidth="1"/>
    <col min="3331" max="3331" width="11.81640625" style="2" customWidth="1"/>
    <col min="3332" max="3332" width="11" style="2" customWidth="1"/>
    <col min="3333" max="3333" width="24.7265625" style="2" customWidth="1"/>
    <col min="3334" max="3334" width="10.7265625" style="2" customWidth="1"/>
    <col min="3335" max="3335" width="27.1796875" style="2" customWidth="1"/>
    <col min="3336" max="3336" width="23.7265625" style="2" customWidth="1"/>
    <col min="3337" max="3584" width="9.1796875" style="2"/>
    <col min="3585" max="3585" width="15.7265625" style="2" customWidth="1"/>
    <col min="3586" max="3586" width="17.1796875" style="2" customWidth="1"/>
    <col min="3587" max="3587" width="11.81640625" style="2" customWidth="1"/>
    <col min="3588" max="3588" width="11" style="2" customWidth="1"/>
    <col min="3589" max="3589" width="24.7265625" style="2" customWidth="1"/>
    <col min="3590" max="3590" width="10.7265625" style="2" customWidth="1"/>
    <col min="3591" max="3591" width="27.1796875" style="2" customWidth="1"/>
    <col min="3592" max="3592" width="23.7265625" style="2" customWidth="1"/>
    <col min="3593" max="3840" width="9.1796875" style="2"/>
    <col min="3841" max="3841" width="15.7265625" style="2" customWidth="1"/>
    <col min="3842" max="3842" width="17.1796875" style="2" customWidth="1"/>
    <col min="3843" max="3843" width="11.81640625" style="2" customWidth="1"/>
    <col min="3844" max="3844" width="11" style="2" customWidth="1"/>
    <col min="3845" max="3845" width="24.7265625" style="2" customWidth="1"/>
    <col min="3846" max="3846" width="10.7265625" style="2" customWidth="1"/>
    <col min="3847" max="3847" width="27.1796875" style="2" customWidth="1"/>
    <col min="3848" max="3848" width="23.7265625" style="2" customWidth="1"/>
    <col min="3849" max="4096" width="9.1796875" style="2"/>
    <col min="4097" max="4097" width="15.7265625" style="2" customWidth="1"/>
    <col min="4098" max="4098" width="17.1796875" style="2" customWidth="1"/>
    <col min="4099" max="4099" width="11.81640625" style="2" customWidth="1"/>
    <col min="4100" max="4100" width="11" style="2" customWidth="1"/>
    <col min="4101" max="4101" width="24.7265625" style="2" customWidth="1"/>
    <col min="4102" max="4102" width="10.7265625" style="2" customWidth="1"/>
    <col min="4103" max="4103" width="27.1796875" style="2" customWidth="1"/>
    <col min="4104" max="4104" width="23.7265625" style="2" customWidth="1"/>
    <col min="4105" max="4352" width="9.1796875" style="2"/>
    <col min="4353" max="4353" width="15.7265625" style="2" customWidth="1"/>
    <col min="4354" max="4354" width="17.1796875" style="2" customWidth="1"/>
    <col min="4355" max="4355" width="11.81640625" style="2" customWidth="1"/>
    <col min="4356" max="4356" width="11" style="2" customWidth="1"/>
    <col min="4357" max="4357" width="24.7265625" style="2" customWidth="1"/>
    <col min="4358" max="4358" width="10.7265625" style="2" customWidth="1"/>
    <col min="4359" max="4359" width="27.1796875" style="2" customWidth="1"/>
    <col min="4360" max="4360" width="23.7265625" style="2" customWidth="1"/>
    <col min="4361" max="4608" width="9.1796875" style="2"/>
    <col min="4609" max="4609" width="15.7265625" style="2" customWidth="1"/>
    <col min="4610" max="4610" width="17.1796875" style="2" customWidth="1"/>
    <col min="4611" max="4611" width="11.81640625" style="2" customWidth="1"/>
    <col min="4612" max="4612" width="11" style="2" customWidth="1"/>
    <col min="4613" max="4613" width="24.7265625" style="2" customWidth="1"/>
    <col min="4614" max="4614" width="10.7265625" style="2" customWidth="1"/>
    <col min="4615" max="4615" width="27.1796875" style="2" customWidth="1"/>
    <col min="4616" max="4616" width="23.7265625" style="2" customWidth="1"/>
    <col min="4617" max="4864" width="9.1796875" style="2"/>
    <col min="4865" max="4865" width="15.7265625" style="2" customWidth="1"/>
    <col min="4866" max="4866" width="17.1796875" style="2" customWidth="1"/>
    <col min="4867" max="4867" width="11.81640625" style="2" customWidth="1"/>
    <col min="4868" max="4868" width="11" style="2" customWidth="1"/>
    <col min="4869" max="4869" width="24.7265625" style="2" customWidth="1"/>
    <col min="4870" max="4870" width="10.7265625" style="2" customWidth="1"/>
    <col min="4871" max="4871" width="27.1796875" style="2" customWidth="1"/>
    <col min="4872" max="4872" width="23.7265625" style="2" customWidth="1"/>
    <col min="4873" max="5120" width="9.1796875" style="2"/>
    <col min="5121" max="5121" width="15.7265625" style="2" customWidth="1"/>
    <col min="5122" max="5122" width="17.1796875" style="2" customWidth="1"/>
    <col min="5123" max="5123" width="11.81640625" style="2" customWidth="1"/>
    <col min="5124" max="5124" width="11" style="2" customWidth="1"/>
    <col min="5125" max="5125" width="24.7265625" style="2" customWidth="1"/>
    <col min="5126" max="5126" width="10.7265625" style="2" customWidth="1"/>
    <col min="5127" max="5127" width="27.1796875" style="2" customWidth="1"/>
    <col min="5128" max="5128" width="23.7265625" style="2" customWidth="1"/>
    <col min="5129" max="5376" width="9.1796875" style="2"/>
    <col min="5377" max="5377" width="15.7265625" style="2" customWidth="1"/>
    <col min="5378" max="5378" width="17.1796875" style="2" customWidth="1"/>
    <col min="5379" max="5379" width="11.81640625" style="2" customWidth="1"/>
    <col min="5380" max="5380" width="11" style="2" customWidth="1"/>
    <col min="5381" max="5381" width="24.7265625" style="2" customWidth="1"/>
    <col min="5382" max="5382" width="10.7265625" style="2" customWidth="1"/>
    <col min="5383" max="5383" width="27.1796875" style="2" customWidth="1"/>
    <col min="5384" max="5384" width="23.7265625" style="2" customWidth="1"/>
    <col min="5385" max="5632" width="9.1796875" style="2"/>
    <col min="5633" max="5633" width="15.7265625" style="2" customWidth="1"/>
    <col min="5634" max="5634" width="17.1796875" style="2" customWidth="1"/>
    <col min="5635" max="5635" width="11.81640625" style="2" customWidth="1"/>
    <col min="5636" max="5636" width="11" style="2" customWidth="1"/>
    <col min="5637" max="5637" width="24.7265625" style="2" customWidth="1"/>
    <col min="5638" max="5638" width="10.7265625" style="2" customWidth="1"/>
    <col min="5639" max="5639" width="27.1796875" style="2" customWidth="1"/>
    <col min="5640" max="5640" width="23.7265625" style="2" customWidth="1"/>
    <col min="5641" max="5888" width="9.1796875" style="2"/>
    <col min="5889" max="5889" width="15.7265625" style="2" customWidth="1"/>
    <col min="5890" max="5890" width="17.1796875" style="2" customWidth="1"/>
    <col min="5891" max="5891" width="11.81640625" style="2" customWidth="1"/>
    <col min="5892" max="5892" width="11" style="2" customWidth="1"/>
    <col min="5893" max="5893" width="24.7265625" style="2" customWidth="1"/>
    <col min="5894" max="5894" width="10.7265625" style="2" customWidth="1"/>
    <col min="5895" max="5895" width="27.1796875" style="2" customWidth="1"/>
    <col min="5896" max="5896" width="23.7265625" style="2" customWidth="1"/>
    <col min="5897" max="6144" width="9.1796875" style="2"/>
    <col min="6145" max="6145" width="15.7265625" style="2" customWidth="1"/>
    <col min="6146" max="6146" width="17.1796875" style="2" customWidth="1"/>
    <col min="6147" max="6147" width="11.81640625" style="2" customWidth="1"/>
    <col min="6148" max="6148" width="11" style="2" customWidth="1"/>
    <col min="6149" max="6149" width="24.7265625" style="2" customWidth="1"/>
    <col min="6150" max="6150" width="10.7265625" style="2" customWidth="1"/>
    <col min="6151" max="6151" width="27.1796875" style="2" customWidth="1"/>
    <col min="6152" max="6152" width="23.7265625" style="2" customWidth="1"/>
    <col min="6153" max="6400" width="9.1796875" style="2"/>
    <col min="6401" max="6401" width="15.7265625" style="2" customWidth="1"/>
    <col min="6402" max="6402" width="17.1796875" style="2" customWidth="1"/>
    <col min="6403" max="6403" width="11.81640625" style="2" customWidth="1"/>
    <col min="6404" max="6404" width="11" style="2" customWidth="1"/>
    <col min="6405" max="6405" width="24.7265625" style="2" customWidth="1"/>
    <col min="6406" max="6406" width="10.7265625" style="2" customWidth="1"/>
    <col min="6407" max="6407" width="27.1796875" style="2" customWidth="1"/>
    <col min="6408" max="6408" width="23.7265625" style="2" customWidth="1"/>
    <col min="6409" max="6656" width="9.1796875" style="2"/>
    <col min="6657" max="6657" width="15.7265625" style="2" customWidth="1"/>
    <col min="6658" max="6658" width="17.1796875" style="2" customWidth="1"/>
    <col min="6659" max="6659" width="11.81640625" style="2" customWidth="1"/>
    <col min="6660" max="6660" width="11" style="2" customWidth="1"/>
    <col min="6661" max="6661" width="24.7265625" style="2" customWidth="1"/>
    <col min="6662" max="6662" width="10.7265625" style="2" customWidth="1"/>
    <col min="6663" max="6663" width="27.1796875" style="2" customWidth="1"/>
    <col min="6664" max="6664" width="23.7265625" style="2" customWidth="1"/>
    <col min="6665" max="6912" width="9.1796875" style="2"/>
    <col min="6913" max="6913" width="15.7265625" style="2" customWidth="1"/>
    <col min="6914" max="6914" width="17.1796875" style="2" customWidth="1"/>
    <col min="6915" max="6915" width="11.81640625" style="2" customWidth="1"/>
    <col min="6916" max="6916" width="11" style="2" customWidth="1"/>
    <col min="6917" max="6917" width="24.7265625" style="2" customWidth="1"/>
    <col min="6918" max="6918" width="10.7265625" style="2" customWidth="1"/>
    <col min="6919" max="6919" width="27.1796875" style="2" customWidth="1"/>
    <col min="6920" max="6920" width="23.7265625" style="2" customWidth="1"/>
    <col min="6921" max="7168" width="9.1796875" style="2"/>
    <col min="7169" max="7169" width="15.7265625" style="2" customWidth="1"/>
    <col min="7170" max="7170" width="17.1796875" style="2" customWidth="1"/>
    <col min="7171" max="7171" width="11.81640625" style="2" customWidth="1"/>
    <col min="7172" max="7172" width="11" style="2" customWidth="1"/>
    <col min="7173" max="7173" width="24.7265625" style="2" customWidth="1"/>
    <col min="7174" max="7174" width="10.7265625" style="2" customWidth="1"/>
    <col min="7175" max="7175" width="27.1796875" style="2" customWidth="1"/>
    <col min="7176" max="7176" width="23.7265625" style="2" customWidth="1"/>
    <col min="7177" max="7424" width="9.1796875" style="2"/>
    <col min="7425" max="7425" width="15.7265625" style="2" customWidth="1"/>
    <col min="7426" max="7426" width="17.1796875" style="2" customWidth="1"/>
    <col min="7427" max="7427" width="11.81640625" style="2" customWidth="1"/>
    <col min="7428" max="7428" width="11" style="2" customWidth="1"/>
    <col min="7429" max="7429" width="24.7265625" style="2" customWidth="1"/>
    <col min="7430" max="7430" width="10.7265625" style="2" customWidth="1"/>
    <col min="7431" max="7431" width="27.1796875" style="2" customWidth="1"/>
    <col min="7432" max="7432" width="23.7265625" style="2" customWidth="1"/>
    <col min="7433" max="7680" width="9.1796875" style="2"/>
    <col min="7681" max="7681" width="15.7265625" style="2" customWidth="1"/>
    <col min="7682" max="7682" width="17.1796875" style="2" customWidth="1"/>
    <col min="7683" max="7683" width="11.81640625" style="2" customWidth="1"/>
    <col min="7684" max="7684" width="11" style="2" customWidth="1"/>
    <col min="7685" max="7685" width="24.7265625" style="2" customWidth="1"/>
    <col min="7686" max="7686" width="10.7265625" style="2" customWidth="1"/>
    <col min="7687" max="7687" width="27.1796875" style="2" customWidth="1"/>
    <col min="7688" max="7688" width="23.7265625" style="2" customWidth="1"/>
    <col min="7689" max="7936" width="9.1796875" style="2"/>
    <col min="7937" max="7937" width="15.7265625" style="2" customWidth="1"/>
    <col min="7938" max="7938" width="17.1796875" style="2" customWidth="1"/>
    <col min="7939" max="7939" width="11.81640625" style="2" customWidth="1"/>
    <col min="7940" max="7940" width="11" style="2" customWidth="1"/>
    <col min="7941" max="7941" width="24.7265625" style="2" customWidth="1"/>
    <col min="7942" max="7942" width="10.7265625" style="2" customWidth="1"/>
    <col min="7943" max="7943" width="27.1796875" style="2" customWidth="1"/>
    <col min="7944" max="7944" width="23.7265625" style="2" customWidth="1"/>
    <col min="7945" max="8192" width="9.1796875" style="2"/>
    <col min="8193" max="8193" width="15.7265625" style="2" customWidth="1"/>
    <col min="8194" max="8194" width="17.1796875" style="2" customWidth="1"/>
    <col min="8195" max="8195" width="11.81640625" style="2" customWidth="1"/>
    <col min="8196" max="8196" width="11" style="2" customWidth="1"/>
    <col min="8197" max="8197" width="24.7265625" style="2" customWidth="1"/>
    <col min="8198" max="8198" width="10.7265625" style="2" customWidth="1"/>
    <col min="8199" max="8199" width="27.1796875" style="2" customWidth="1"/>
    <col min="8200" max="8200" width="23.7265625" style="2" customWidth="1"/>
    <col min="8201" max="8448" width="9.1796875" style="2"/>
    <col min="8449" max="8449" width="15.7265625" style="2" customWidth="1"/>
    <col min="8450" max="8450" width="17.1796875" style="2" customWidth="1"/>
    <col min="8451" max="8451" width="11.81640625" style="2" customWidth="1"/>
    <col min="8452" max="8452" width="11" style="2" customWidth="1"/>
    <col min="8453" max="8453" width="24.7265625" style="2" customWidth="1"/>
    <col min="8454" max="8454" width="10.7265625" style="2" customWidth="1"/>
    <col min="8455" max="8455" width="27.1796875" style="2" customWidth="1"/>
    <col min="8456" max="8456" width="23.7265625" style="2" customWidth="1"/>
    <col min="8457" max="8704" width="9.1796875" style="2"/>
    <col min="8705" max="8705" width="15.7265625" style="2" customWidth="1"/>
    <col min="8706" max="8706" width="17.1796875" style="2" customWidth="1"/>
    <col min="8707" max="8707" width="11.81640625" style="2" customWidth="1"/>
    <col min="8708" max="8708" width="11" style="2" customWidth="1"/>
    <col min="8709" max="8709" width="24.7265625" style="2" customWidth="1"/>
    <col min="8710" max="8710" width="10.7265625" style="2" customWidth="1"/>
    <col min="8711" max="8711" width="27.1796875" style="2" customWidth="1"/>
    <col min="8712" max="8712" width="23.7265625" style="2" customWidth="1"/>
    <col min="8713" max="8960" width="9.1796875" style="2"/>
    <col min="8961" max="8961" width="15.7265625" style="2" customWidth="1"/>
    <col min="8962" max="8962" width="17.1796875" style="2" customWidth="1"/>
    <col min="8963" max="8963" width="11.81640625" style="2" customWidth="1"/>
    <col min="8964" max="8964" width="11" style="2" customWidth="1"/>
    <col min="8965" max="8965" width="24.7265625" style="2" customWidth="1"/>
    <col min="8966" max="8966" width="10.7265625" style="2" customWidth="1"/>
    <col min="8967" max="8967" width="27.1796875" style="2" customWidth="1"/>
    <col min="8968" max="8968" width="23.7265625" style="2" customWidth="1"/>
    <col min="8969" max="9216" width="9.1796875" style="2"/>
    <col min="9217" max="9217" width="15.7265625" style="2" customWidth="1"/>
    <col min="9218" max="9218" width="17.1796875" style="2" customWidth="1"/>
    <col min="9219" max="9219" width="11.81640625" style="2" customWidth="1"/>
    <col min="9220" max="9220" width="11" style="2" customWidth="1"/>
    <col min="9221" max="9221" width="24.7265625" style="2" customWidth="1"/>
    <col min="9222" max="9222" width="10.7265625" style="2" customWidth="1"/>
    <col min="9223" max="9223" width="27.1796875" style="2" customWidth="1"/>
    <col min="9224" max="9224" width="23.7265625" style="2" customWidth="1"/>
    <col min="9225" max="9472" width="9.1796875" style="2"/>
    <col min="9473" max="9473" width="15.7265625" style="2" customWidth="1"/>
    <col min="9474" max="9474" width="17.1796875" style="2" customWidth="1"/>
    <col min="9475" max="9475" width="11.81640625" style="2" customWidth="1"/>
    <col min="9476" max="9476" width="11" style="2" customWidth="1"/>
    <col min="9477" max="9477" width="24.7265625" style="2" customWidth="1"/>
    <col min="9478" max="9478" width="10.7265625" style="2" customWidth="1"/>
    <col min="9479" max="9479" width="27.1796875" style="2" customWidth="1"/>
    <col min="9480" max="9480" width="23.7265625" style="2" customWidth="1"/>
    <col min="9481" max="9728" width="9.1796875" style="2"/>
    <col min="9729" max="9729" width="15.7265625" style="2" customWidth="1"/>
    <col min="9730" max="9730" width="17.1796875" style="2" customWidth="1"/>
    <col min="9731" max="9731" width="11.81640625" style="2" customWidth="1"/>
    <col min="9732" max="9732" width="11" style="2" customWidth="1"/>
    <col min="9733" max="9733" width="24.7265625" style="2" customWidth="1"/>
    <col min="9734" max="9734" width="10.7265625" style="2" customWidth="1"/>
    <col min="9735" max="9735" width="27.1796875" style="2" customWidth="1"/>
    <col min="9736" max="9736" width="23.7265625" style="2" customWidth="1"/>
    <col min="9737" max="9984" width="9.1796875" style="2"/>
    <col min="9985" max="9985" width="15.7265625" style="2" customWidth="1"/>
    <col min="9986" max="9986" width="17.1796875" style="2" customWidth="1"/>
    <col min="9987" max="9987" width="11.81640625" style="2" customWidth="1"/>
    <col min="9988" max="9988" width="11" style="2" customWidth="1"/>
    <col min="9989" max="9989" width="24.7265625" style="2" customWidth="1"/>
    <col min="9990" max="9990" width="10.7265625" style="2" customWidth="1"/>
    <col min="9991" max="9991" width="27.1796875" style="2" customWidth="1"/>
    <col min="9992" max="9992" width="23.7265625" style="2" customWidth="1"/>
    <col min="9993" max="10240" width="9.1796875" style="2"/>
    <col min="10241" max="10241" width="15.7265625" style="2" customWidth="1"/>
    <col min="10242" max="10242" width="17.1796875" style="2" customWidth="1"/>
    <col min="10243" max="10243" width="11.81640625" style="2" customWidth="1"/>
    <col min="10244" max="10244" width="11" style="2" customWidth="1"/>
    <col min="10245" max="10245" width="24.7265625" style="2" customWidth="1"/>
    <col min="10246" max="10246" width="10.7265625" style="2" customWidth="1"/>
    <col min="10247" max="10247" width="27.1796875" style="2" customWidth="1"/>
    <col min="10248" max="10248" width="23.7265625" style="2" customWidth="1"/>
    <col min="10249" max="10496" width="9.1796875" style="2"/>
    <col min="10497" max="10497" width="15.7265625" style="2" customWidth="1"/>
    <col min="10498" max="10498" width="17.1796875" style="2" customWidth="1"/>
    <col min="10499" max="10499" width="11.81640625" style="2" customWidth="1"/>
    <col min="10500" max="10500" width="11" style="2" customWidth="1"/>
    <col min="10501" max="10501" width="24.7265625" style="2" customWidth="1"/>
    <col min="10502" max="10502" width="10.7265625" style="2" customWidth="1"/>
    <col min="10503" max="10503" width="27.1796875" style="2" customWidth="1"/>
    <col min="10504" max="10504" width="23.7265625" style="2" customWidth="1"/>
    <col min="10505" max="10752" width="9.1796875" style="2"/>
    <col min="10753" max="10753" width="15.7265625" style="2" customWidth="1"/>
    <col min="10754" max="10754" width="17.1796875" style="2" customWidth="1"/>
    <col min="10755" max="10755" width="11.81640625" style="2" customWidth="1"/>
    <col min="10756" max="10756" width="11" style="2" customWidth="1"/>
    <col min="10757" max="10757" width="24.7265625" style="2" customWidth="1"/>
    <col min="10758" max="10758" width="10.7265625" style="2" customWidth="1"/>
    <col min="10759" max="10759" width="27.1796875" style="2" customWidth="1"/>
    <col min="10760" max="10760" width="23.7265625" style="2" customWidth="1"/>
    <col min="10761" max="11008" width="9.1796875" style="2"/>
    <col min="11009" max="11009" width="15.7265625" style="2" customWidth="1"/>
    <col min="11010" max="11010" width="17.1796875" style="2" customWidth="1"/>
    <col min="11011" max="11011" width="11.81640625" style="2" customWidth="1"/>
    <col min="11012" max="11012" width="11" style="2" customWidth="1"/>
    <col min="11013" max="11013" width="24.7265625" style="2" customWidth="1"/>
    <col min="11014" max="11014" width="10.7265625" style="2" customWidth="1"/>
    <col min="11015" max="11015" width="27.1796875" style="2" customWidth="1"/>
    <col min="11016" max="11016" width="23.7265625" style="2" customWidth="1"/>
    <col min="11017" max="11264" width="9.1796875" style="2"/>
    <col min="11265" max="11265" width="15.7265625" style="2" customWidth="1"/>
    <col min="11266" max="11266" width="17.1796875" style="2" customWidth="1"/>
    <col min="11267" max="11267" width="11.81640625" style="2" customWidth="1"/>
    <col min="11268" max="11268" width="11" style="2" customWidth="1"/>
    <col min="11269" max="11269" width="24.7265625" style="2" customWidth="1"/>
    <col min="11270" max="11270" width="10.7265625" style="2" customWidth="1"/>
    <col min="11271" max="11271" width="27.1796875" style="2" customWidth="1"/>
    <col min="11272" max="11272" width="23.7265625" style="2" customWidth="1"/>
    <col min="11273" max="11520" width="9.1796875" style="2"/>
    <col min="11521" max="11521" width="15.7265625" style="2" customWidth="1"/>
    <col min="11522" max="11522" width="17.1796875" style="2" customWidth="1"/>
    <col min="11523" max="11523" width="11.81640625" style="2" customWidth="1"/>
    <col min="11524" max="11524" width="11" style="2" customWidth="1"/>
    <col min="11525" max="11525" width="24.7265625" style="2" customWidth="1"/>
    <col min="11526" max="11526" width="10.7265625" style="2" customWidth="1"/>
    <col min="11527" max="11527" width="27.1796875" style="2" customWidth="1"/>
    <col min="11528" max="11528" width="23.7265625" style="2" customWidth="1"/>
    <col min="11529" max="11776" width="9.1796875" style="2"/>
    <col min="11777" max="11777" width="15.7265625" style="2" customWidth="1"/>
    <col min="11778" max="11778" width="17.1796875" style="2" customWidth="1"/>
    <col min="11779" max="11779" width="11.81640625" style="2" customWidth="1"/>
    <col min="11780" max="11780" width="11" style="2" customWidth="1"/>
    <col min="11781" max="11781" width="24.7265625" style="2" customWidth="1"/>
    <col min="11782" max="11782" width="10.7265625" style="2" customWidth="1"/>
    <col min="11783" max="11783" width="27.1796875" style="2" customWidth="1"/>
    <col min="11784" max="11784" width="23.7265625" style="2" customWidth="1"/>
    <col min="11785" max="12032" width="9.1796875" style="2"/>
    <col min="12033" max="12033" width="15.7265625" style="2" customWidth="1"/>
    <col min="12034" max="12034" width="17.1796875" style="2" customWidth="1"/>
    <col min="12035" max="12035" width="11.81640625" style="2" customWidth="1"/>
    <col min="12036" max="12036" width="11" style="2" customWidth="1"/>
    <col min="12037" max="12037" width="24.7265625" style="2" customWidth="1"/>
    <col min="12038" max="12038" width="10.7265625" style="2" customWidth="1"/>
    <col min="12039" max="12039" width="27.1796875" style="2" customWidth="1"/>
    <col min="12040" max="12040" width="23.7265625" style="2" customWidth="1"/>
    <col min="12041" max="12288" width="9.1796875" style="2"/>
    <col min="12289" max="12289" width="15.7265625" style="2" customWidth="1"/>
    <col min="12290" max="12290" width="17.1796875" style="2" customWidth="1"/>
    <col min="12291" max="12291" width="11.81640625" style="2" customWidth="1"/>
    <col min="12292" max="12292" width="11" style="2" customWidth="1"/>
    <col min="12293" max="12293" width="24.7265625" style="2" customWidth="1"/>
    <col min="12294" max="12294" width="10.7265625" style="2" customWidth="1"/>
    <col min="12295" max="12295" width="27.1796875" style="2" customWidth="1"/>
    <col min="12296" max="12296" width="23.7265625" style="2" customWidth="1"/>
    <col min="12297" max="12544" width="9.1796875" style="2"/>
    <col min="12545" max="12545" width="15.7265625" style="2" customWidth="1"/>
    <col min="12546" max="12546" width="17.1796875" style="2" customWidth="1"/>
    <col min="12547" max="12547" width="11.81640625" style="2" customWidth="1"/>
    <col min="12548" max="12548" width="11" style="2" customWidth="1"/>
    <col min="12549" max="12549" width="24.7265625" style="2" customWidth="1"/>
    <col min="12550" max="12550" width="10.7265625" style="2" customWidth="1"/>
    <col min="12551" max="12551" width="27.1796875" style="2" customWidth="1"/>
    <col min="12552" max="12552" width="23.7265625" style="2" customWidth="1"/>
    <col min="12553" max="12800" width="9.1796875" style="2"/>
    <col min="12801" max="12801" width="15.7265625" style="2" customWidth="1"/>
    <col min="12802" max="12802" width="17.1796875" style="2" customWidth="1"/>
    <col min="12803" max="12803" width="11.81640625" style="2" customWidth="1"/>
    <col min="12804" max="12804" width="11" style="2" customWidth="1"/>
    <col min="12805" max="12805" width="24.7265625" style="2" customWidth="1"/>
    <col min="12806" max="12806" width="10.7265625" style="2" customWidth="1"/>
    <col min="12807" max="12807" width="27.1796875" style="2" customWidth="1"/>
    <col min="12808" max="12808" width="23.7265625" style="2" customWidth="1"/>
    <col min="12809" max="13056" width="9.1796875" style="2"/>
    <col min="13057" max="13057" width="15.7265625" style="2" customWidth="1"/>
    <col min="13058" max="13058" width="17.1796875" style="2" customWidth="1"/>
    <col min="13059" max="13059" width="11.81640625" style="2" customWidth="1"/>
    <col min="13060" max="13060" width="11" style="2" customWidth="1"/>
    <col min="13061" max="13061" width="24.7265625" style="2" customWidth="1"/>
    <col min="13062" max="13062" width="10.7265625" style="2" customWidth="1"/>
    <col min="13063" max="13063" width="27.1796875" style="2" customWidth="1"/>
    <col min="13064" max="13064" width="23.7265625" style="2" customWidth="1"/>
    <col min="13065" max="13312" width="9.1796875" style="2"/>
    <col min="13313" max="13313" width="15.7265625" style="2" customWidth="1"/>
    <col min="13314" max="13314" width="17.1796875" style="2" customWidth="1"/>
    <col min="13315" max="13315" width="11.81640625" style="2" customWidth="1"/>
    <col min="13316" max="13316" width="11" style="2" customWidth="1"/>
    <col min="13317" max="13317" width="24.7265625" style="2" customWidth="1"/>
    <col min="13318" max="13318" width="10.7265625" style="2" customWidth="1"/>
    <col min="13319" max="13319" width="27.1796875" style="2" customWidth="1"/>
    <col min="13320" max="13320" width="23.7265625" style="2" customWidth="1"/>
    <col min="13321" max="13568" width="9.1796875" style="2"/>
    <col min="13569" max="13569" width="15.7265625" style="2" customWidth="1"/>
    <col min="13570" max="13570" width="17.1796875" style="2" customWidth="1"/>
    <col min="13571" max="13571" width="11.81640625" style="2" customWidth="1"/>
    <col min="13572" max="13572" width="11" style="2" customWidth="1"/>
    <col min="13573" max="13573" width="24.7265625" style="2" customWidth="1"/>
    <col min="13574" max="13574" width="10.7265625" style="2" customWidth="1"/>
    <col min="13575" max="13575" width="27.1796875" style="2" customWidth="1"/>
    <col min="13576" max="13576" width="23.7265625" style="2" customWidth="1"/>
    <col min="13577" max="13824" width="9.1796875" style="2"/>
    <col min="13825" max="13825" width="15.7265625" style="2" customWidth="1"/>
    <col min="13826" max="13826" width="17.1796875" style="2" customWidth="1"/>
    <col min="13827" max="13827" width="11.81640625" style="2" customWidth="1"/>
    <col min="13828" max="13828" width="11" style="2" customWidth="1"/>
    <col min="13829" max="13829" width="24.7265625" style="2" customWidth="1"/>
    <col min="13830" max="13830" width="10.7265625" style="2" customWidth="1"/>
    <col min="13831" max="13831" width="27.1796875" style="2" customWidth="1"/>
    <col min="13832" max="13832" width="23.7265625" style="2" customWidth="1"/>
    <col min="13833" max="14080" width="9.1796875" style="2"/>
    <col min="14081" max="14081" width="15.7265625" style="2" customWidth="1"/>
    <col min="14082" max="14082" width="17.1796875" style="2" customWidth="1"/>
    <col min="14083" max="14083" width="11.81640625" style="2" customWidth="1"/>
    <col min="14084" max="14084" width="11" style="2" customWidth="1"/>
    <col min="14085" max="14085" width="24.7265625" style="2" customWidth="1"/>
    <col min="14086" max="14086" width="10.7265625" style="2" customWidth="1"/>
    <col min="14087" max="14087" width="27.1796875" style="2" customWidth="1"/>
    <col min="14088" max="14088" width="23.7265625" style="2" customWidth="1"/>
    <col min="14089" max="14336" width="9.1796875" style="2"/>
    <col min="14337" max="14337" width="15.7265625" style="2" customWidth="1"/>
    <col min="14338" max="14338" width="17.1796875" style="2" customWidth="1"/>
    <col min="14339" max="14339" width="11.81640625" style="2" customWidth="1"/>
    <col min="14340" max="14340" width="11" style="2" customWidth="1"/>
    <col min="14341" max="14341" width="24.7265625" style="2" customWidth="1"/>
    <col min="14342" max="14342" width="10.7265625" style="2" customWidth="1"/>
    <col min="14343" max="14343" width="27.1796875" style="2" customWidth="1"/>
    <col min="14344" max="14344" width="23.7265625" style="2" customWidth="1"/>
    <col min="14345" max="14592" width="9.1796875" style="2"/>
    <col min="14593" max="14593" width="15.7265625" style="2" customWidth="1"/>
    <col min="14594" max="14594" width="17.1796875" style="2" customWidth="1"/>
    <col min="14595" max="14595" width="11.81640625" style="2" customWidth="1"/>
    <col min="14596" max="14596" width="11" style="2" customWidth="1"/>
    <col min="14597" max="14597" width="24.7265625" style="2" customWidth="1"/>
    <col min="14598" max="14598" width="10.7265625" style="2" customWidth="1"/>
    <col min="14599" max="14599" width="27.1796875" style="2" customWidth="1"/>
    <col min="14600" max="14600" width="23.7265625" style="2" customWidth="1"/>
    <col min="14601" max="14848" width="9.1796875" style="2"/>
    <col min="14849" max="14849" width="15.7265625" style="2" customWidth="1"/>
    <col min="14850" max="14850" width="17.1796875" style="2" customWidth="1"/>
    <col min="14851" max="14851" width="11.81640625" style="2" customWidth="1"/>
    <col min="14852" max="14852" width="11" style="2" customWidth="1"/>
    <col min="14853" max="14853" width="24.7265625" style="2" customWidth="1"/>
    <col min="14854" max="14854" width="10.7265625" style="2" customWidth="1"/>
    <col min="14855" max="14855" width="27.1796875" style="2" customWidth="1"/>
    <col min="14856" max="14856" width="23.7265625" style="2" customWidth="1"/>
    <col min="14857" max="15104" width="9.1796875" style="2"/>
    <col min="15105" max="15105" width="15.7265625" style="2" customWidth="1"/>
    <col min="15106" max="15106" width="17.1796875" style="2" customWidth="1"/>
    <col min="15107" max="15107" width="11.81640625" style="2" customWidth="1"/>
    <col min="15108" max="15108" width="11" style="2" customWidth="1"/>
    <col min="15109" max="15109" width="24.7265625" style="2" customWidth="1"/>
    <col min="15110" max="15110" width="10.7265625" style="2" customWidth="1"/>
    <col min="15111" max="15111" width="27.1796875" style="2" customWidth="1"/>
    <col min="15112" max="15112" width="23.7265625" style="2" customWidth="1"/>
    <col min="15113" max="15360" width="9.1796875" style="2"/>
    <col min="15361" max="15361" width="15.7265625" style="2" customWidth="1"/>
    <col min="15362" max="15362" width="17.1796875" style="2" customWidth="1"/>
    <col min="15363" max="15363" width="11.81640625" style="2" customWidth="1"/>
    <col min="15364" max="15364" width="11" style="2" customWidth="1"/>
    <col min="15365" max="15365" width="24.7265625" style="2" customWidth="1"/>
    <col min="15366" max="15366" width="10.7265625" style="2" customWidth="1"/>
    <col min="15367" max="15367" width="27.1796875" style="2" customWidth="1"/>
    <col min="15368" max="15368" width="23.7265625" style="2" customWidth="1"/>
    <col min="15369" max="15616" width="9.1796875" style="2"/>
    <col min="15617" max="15617" width="15.7265625" style="2" customWidth="1"/>
    <col min="15618" max="15618" width="17.1796875" style="2" customWidth="1"/>
    <col min="15619" max="15619" width="11.81640625" style="2" customWidth="1"/>
    <col min="15620" max="15620" width="11" style="2" customWidth="1"/>
    <col min="15621" max="15621" width="24.7265625" style="2" customWidth="1"/>
    <col min="15622" max="15622" width="10.7265625" style="2" customWidth="1"/>
    <col min="15623" max="15623" width="27.1796875" style="2" customWidth="1"/>
    <col min="15624" max="15624" width="23.7265625" style="2" customWidth="1"/>
    <col min="15625" max="15872" width="9.1796875" style="2"/>
    <col min="15873" max="15873" width="15.7265625" style="2" customWidth="1"/>
    <col min="15874" max="15874" width="17.1796875" style="2" customWidth="1"/>
    <col min="15875" max="15875" width="11.81640625" style="2" customWidth="1"/>
    <col min="15876" max="15876" width="11" style="2" customWidth="1"/>
    <col min="15877" max="15877" width="24.7265625" style="2" customWidth="1"/>
    <col min="15878" max="15878" width="10.7265625" style="2" customWidth="1"/>
    <col min="15879" max="15879" width="27.1796875" style="2" customWidth="1"/>
    <col min="15880" max="15880" width="23.7265625" style="2" customWidth="1"/>
    <col min="15881" max="16128" width="9.1796875" style="2"/>
    <col min="16129" max="16129" width="15.7265625" style="2" customWidth="1"/>
    <col min="16130" max="16130" width="17.1796875" style="2" customWidth="1"/>
    <col min="16131" max="16131" width="11.81640625" style="2" customWidth="1"/>
    <col min="16132" max="16132" width="11" style="2" customWidth="1"/>
    <col min="16133" max="16133" width="24.7265625" style="2" customWidth="1"/>
    <col min="16134" max="16134" width="10.7265625" style="2" customWidth="1"/>
    <col min="16135" max="16135" width="27.1796875" style="2" customWidth="1"/>
    <col min="16136" max="16136" width="23.7265625" style="2" customWidth="1"/>
    <col min="16137" max="16384" width="9.1796875" style="2"/>
  </cols>
  <sheetData>
    <row r="1" spans="1:16" ht="16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16" ht="13" customHeight="1">
      <c r="A7" s="35" t="s">
        <v>107</v>
      </c>
      <c r="B7" s="36"/>
      <c r="C7" s="36"/>
      <c r="D7" s="36"/>
      <c r="E7" s="36"/>
      <c r="F7" s="36"/>
    </row>
    <row r="9" spans="1:16" ht="13" customHeight="1">
      <c r="A9" s="2" t="s">
        <v>108</v>
      </c>
      <c r="B9" s="5">
        <v>1E-3</v>
      </c>
      <c r="C9" s="6" t="s">
        <v>10</v>
      </c>
      <c r="D9" s="2" t="s">
        <v>260</v>
      </c>
      <c r="E9" s="9">
        <f>Irip/2</f>
        <v>2.7000000000000003E-2</v>
      </c>
      <c r="F9" s="6" t="s">
        <v>10</v>
      </c>
      <c r="G9" s="29"/>
      <c r="H9" s="29"/>
      <c r="I9" s="29"/>
    </row>
    <row r="10" spans="1:16" ht="13" customHeight="1">
      <c r="A10" s="2" t="s">
        <v>109</v>
      </c>
      <c r="B10" s="5">
        <f>+Iout</f>
        <v>0.5</v>
      </c>
      <c r="C10" s="6" t="s">
        <v>10</v>
      </c>
      <c r="D10" s="29"/>
      <c r="E10" s="29"/>
      <c r="F10" s="29"/>
      <c r="G10" s="29"/>
      <c r="H10" s="29"/>
      <c r="I10" s="10" t="str">
        <f>IF(B10&gt;6,"Over Limit of IC!"," ")</f>
        <v xml:space="preserve"> </v>
      </c>
    </row>
    <row r="11" spans="1:16" s="37" customFormat="1" ht="16.5" customHeight="1">
      <c r="A11" s="97"/>
      <c r="B11" s="97"/>
      <c r="C11" s="97"/>
      <c r="D11" s="97"/>
      <c r="E11" s="97"/>
      <c r="F11" s="97"/>
      <c r="G11" s="97"/>
      <c r="H11" s="97"/>
    </row>
    <row r="12" spans="1:16" s="37" customFormat="1" ht="13" customHeight="1">
      <c r="A12" s="97" t="s">
        <v>9</v>
      </c>
      <c r="B12" s="97" t="s">
        <v>110</v>
      </c>
      <c r="C12" s="97" t="s">
        <v>41</v>
      </c>
      <c r="D12" s="97" t="s">
        <v>111</v>
      </c>
      <c r="E12" s="97" t="s">
        <v>112</v>
      </c>
      <c r="F12" s="97" t="s">
        <v>113</v>
      </c>
      <c r="G12" s="97" t="s">
        <v>114</v>
      </c>
      <c r="H12" s="97" t="s">
        <v>115</v>
      </c>
      <c r="I12" s="97"/>
      <c r="J12" s="38"/>
      <c r="K12" s="38"/>
    </row>
    <row r="13" spans="1:16" s="37" customFormat="1" ht="13" customHeight="1">
      <c r="A13" s="147">
        <f>Imin</f>
        <v>1E-3</v>
      </c>
      <c r="B13" s="148">
        <f t="shared" ref="B13:B24" si="0">SUM(D13:H13)</f>
        <v>4.0988517619397216E-2</v>
      </c>
      <c r="C13" s="149">
        <f>(Vout*A13)/((Vout*A13)+B13)*100</f>
        <v>2.8443758342631837</v>
      </c>
      <c r="D13" s="150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6.0617239217062475E-3</v>
      </c>
      <c r="E13" s="150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3.4482149985678948E-3</v>
      </c>
      <c r="F13" s="150">
        <f>B44*'Power Loss'!$B$79*'Power Loss'!$B$49*10^(-6)*'Power Loss'!$B$54+B44*'Power Loss'!$B$80*'Power Loss'!$B$66*10^(-6)*'Power Loss'!$B$71+'Power Loss'!$B$80*'Power Loss'!$B$81*0.001</f>
        <v>3.1367088607594934E-2</v>
      </c>
      <c r="G13" s="150">
        <f>0.7*10^(-9)*(B44)^1.35*(57.8*0.5*E44)^2.263+DCR/1000*(A13*SQRT(1+1/3*(E44/A13)^2))^2</f>
        <v>1.1027392095758479E-4</v>
      </c>
      <c r="H13" s="150">
        <f>(0.5*E44/SQRT(3))^2*'Power Loss'!$B$33/'Power Loss'!$B$31/1000</f>
        <v>1.2161705705583921E-6</v>
      </c>
      <c r="I13" s="97"/>
      <c r="J13" s="38"/>
      <c r="K13" s="38"/>
    </row>
    <row r="14" spans="1:16" s="37" customFormat="1" ht="13" customHeight="1">
      <c r="A14" s="147">
        <f>Imin+(Imax-Imin)*0.001</f>
        <v>1.4989999999999999E-3</v>
      </c>
      <c r="B14" s="148">
        <f t="shared" si="0"/>
        <v>4.1199133293870691E-2</v>
      </c>
      <c r="C14" s="149">
        <f t="shared" ref="C14:C24" si="1">Vout*A14/(Vout*A14+B14)*100</f>
        <v>4.1834568831623749</v>
      </c>
      <c r="D14" s="150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6.1910000006158931E-3</v>
      </c>
      <c r="E14" s="150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3.5116611890412962E-3</v>
      </c>
      <c r="F14" s="150">
        <f>B45*'Power Loss'!$B$79*'Power Loss'!$B$49*10^(-6)*'Power Loss'!$B$54+B45*'Power Loss'!$B$80*'Power Loss'!$B$66*10^(-6)*'Power Loss'!$B$71+'Power Loss'!$B$80*'Power Loss'!$B$81*0.001</f>
        <v>3.1384579882567112E-2</v>
      </c>
      <c r="G14" s="150">
        <f t="shared" ref="G14:G41" si="2">0.7*10^(-9)*(B45)^1.35*(57.8*0.5*E45)^2.263+DCR/1000*(A14*SQRT(1+1/3*(E45/A14)^2))^2</f>
        <v>1.1067546671945436E-4</v>
      </c>
      <c r="H14" s="150">
        <f>(0.5*E45/SQRT(3))^2*'Power Loss'!$B$33/'Power Loss'!$B$31/1000</f>
        <v>1.2167549269389376E-6</v>
      </c>
      <c r="I14" s="97"/>
      <c r="J14" s="38"/>
      <c r="K14" s="38"/>
    </row>
    <row r="15" spans="1:16" s="37" customFormat="1" ht="13" customHeight="1">
      <c r="A15" s="147">
        <f>Imin+(Imax-Imin)*0.002</f>
        <v>1.9979999999999998E-3</v>
      </c>
      <c r="B15" s="148">
        <f t="shared" si="0"/>
        <v>4.1413589063609535E-2</v>
      </c>
      <c r="C15" s="149">
        <f t="shared" si="1"/>
        <v>5.4725745893792572</v>
      </c>
      <c r="D15" s="150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6.3217799385292357E-3</v>
      </c>
      <c r="E15" s="150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3.5769333572039648E-3</v>
      </c>
      <c r="F15" s="150">
        <f>B46*'Power Loss'!$B$79*'Power Loss'!$B$49*10^(-6)*'Power Loss'!$B$54+B46*'Power Loss'!$B$80*'Power Loss'!$B$66*10^(-6)*'Power Loss'!$B$71+'Power Loss'!$B$80*'Power Loss'!$B$81*0.001</f>
        <v>3.1402524544179522E-2</v>
      </c>
      <c r="G15" s="150">
        <f t="shared" si="2"/>
        <v>1.1113388425257589E-4</v>
      </c>
      <c r="H15" s="150">
        <f>(0.5*E46/SQRT(3))^2*'Power Loss'!$B$33/'Power Loss'!$B$31/1000</f>
        <v>1.2173394442403436E-6</v>
      </c>
      <c r="I15" s="97"/>
      <c r="J15" s="38"/>
      <c r="K15" s="38"/>
    </row>
    <row r="16" spans="1:16" s="37" customFormat="1" ht="13" customHeight="1">
      <c r="A16" s="147">
        <f>Imin+(Imax-Imin)*0.004</f>
        <v>2.996E-3</v>
      </c>
      <c r="B16" s="148">
        <f t="shared" si="0"/>
        <v>4.1854588241247194E-2</v>
      </c>
      <c r="C16" s="149">
        <f t="shared" si="1"/>
        <v>7.9102678782939542</v>
      </c>
      <c r="D16" s="150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6.5880847770942068E-3</v>
      </c>
      <c r="E16" s="150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3.7132159388644742E-3</v>
      </c>
      <c r="F16" s="150">
        <f>B47*'Power Loss'!$B$79*'Power Loss'!$B$49*10^(-6)*'Power Loss'!$B$54+B47*'Power Loss'!$B$80*'Power Loss'!$B$66*10^(-6)*'Power Loss'!$B$71+'Power Loss'!$B$80*'Power Loss'!$B$81*0.001</f>
        <v>3.1439846416382249E-2</v>
      </c>
      <c r="G16" s="150">
        <f t="shared" si="2"/>
        <v>1.1222259994459857E-4</v>
      </c>
      <c r="H16" s="150">
        <f>(0.5*E47/SQRT(3))^2*'Power Loss'!$B$33/'Power Loss'!$B$31/1000</f>
        <v>1.2185089616693414E-6</v>
      </c>
      <c r="I16" s="97"/>
      <c r="J16" s="38"/>
      <c r="K16" s="38"/>
    </row>
    <row r="17" spans="1:11" s="37" customFormat="1" ht="13" customHeight="1">
      <c r="A17" s="147">
        <f>Imin+(Imax-Imin)*0.006</f>
        <v>3.9940000000000002E-3</v>
      </c>
      <c r="B17" s="148">
        <f t="shared" si="0"/>
        <v>4.2312727416140852E-2</v>
      </c>
      <c r="C17" s="149">
        <f t="shared" si="1"/>
        <v>10.174602138851613</v>
      </c>
      <c r="D17" s="150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6.8611370934783204E-3</v>
      </c>
      <c r="E17" s="150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3.8576189586733748E-3</v>
      </c>
      <c r="F17" s="150">
        <f>B48*'Power Loss'!$B$79*'Power Loss'!$B$49*10^(-6)*'Power Loss'!$B$54+B48*'Power Loss'!$B$80*'Power Loss'!$B$66*10^(-6)*'Power Loss'!$B$71+'Power Loss'!$B$80*'Power Loss'!$B$81*0.001</f>
        <v>3.1479208897167585E-2</v>
      </c>
      <c r="G17" s="150">
        <f t="shared" si="2"/>
        <v>1.1354278769860111E-4</v>
      </c>
      <c r="H17" s="150">
        <f>(0.5*E48/SQRT(3))^2*'Power Loss'!$B$33/'Power Loss'!$B$31/1000</f>
        <v>1.2196791229726052E-6</v>
      </c>
      <c r="I17" s="97"/>
      <c r="J17" s="38"/>
      <c r="K17" s="38"/>
    </row>
    <row r="18" spans="1:11" s="37" customFormat="1" ht="13" customHeight="1">
      <c r="A18" s="147">
        <f>Imin+(Imax-Imin)*0.008</f>
        <v>4.9919999999999999E-3</v>
      </c>
      <c r="B18" s="148">
        <f t="shared" si="0"/>
        <v>4.2789355156381437E-2</v>
      </c>
      <c r="C18" s="149">
        <f t="shared" si="1"/>
        <v>12.280504444508937</v>
      </c>
      <c r="D18" s="150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7.1414915776484332E-3</v>
      </c>
      <c r="E18" s="150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4.0107611784982473E-3</v>
      </c>
      <c r="F18" s="150">
        <f>B49*'Power Loss'!$B$79*'Power Loss'!$B$49*10^(-6)*'Power Loss'!$B$54+B49*'Power Loss'!$B$80*'Power Loss'!$B$66*10^(-6)*'Power Loss'!$B$71+'Power Loss'!$B$80*'Power Loss'!$B$81*0.001</f>
        <v>3.1520784048665089E-2</v>
      </c>
      <c r="G18" s="150">
        <f t="shared" si="2"/>
        <v>1.1509750164138693E-4</v>
      </c>
      <c r="H18" s="150">
        <f>(0.5*E49/SQRT(3))^2*'Power Loss'!$B$33/'Power Loss'!$B$31/1000</f>
        <v>1.2208499282773807E-6</v>
      </c>
      <c r="I18" s="97"/>
      <c r="J18" s="38"/>
      <c r="K18" s="38"/>
    </row>
    <row r="19" spans="1:11" s="37" customFormat="1" ht="13" customHeight="1">
      <c r="A19" s="147">
        <f>Imin+(Imax-Imin)*0.01</f>
        <v>5.9900000000000005E-3</v>
      </c>
      <c r="B19" s="148">
        <f t="shared" si="0"/>
        <v>4.3285976047011607E-2</v>
      </c>
      <c r="C19" s="149">
        <f t="shared" si="1"/>
        <v>14.241002122172972</v>
      </c>
      <c r="D19" s="150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7.4297670557194832E-3</v>
      </c>
      <c r="E19" s="150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4.1733329509473591E-3</v>
      </c>
      <c r="F19" s="150">
        <f>B50*'Power Loss'!$B$79*'Power Loss'!$B$49*10^(-6)*'Power Loss'!$B$54+B50*'Power Loss'!$B$80*'Power Loss'!$B$66*10^(-6)*'Power Loss'!$B$71+'Power Loss'!$B$80*'Power Loss'!$B$81*0.001</f>
        <v>3.1564763836569108E-2</v>
      </c>
      <c r="G19" s="150">
        <f t="shared" si="2"/>
        <v>1.1689018239794169E-4</v>
      </c>
      <c r="H19" s="150">
        <f>(0.5*E50/SQRT(3))^2*'Power Loss'!$B$33/'Power Loss'!$B$31/1000</f>
        <v>1.2220213777109398E-6</v>
      </c>
      <c r="I19" s="97"/>
      <c r="J19" s="38"/>
      <c r="K19" s="38"/>
    </row>
    <row r="20" spans="1:11" s="37" customFormat="1" ht="13" customHeight="1">
      <c r="A20" s="147">
        <f>Imin+(Imax-Imin)*0.02</f>
        <v>1.098E-2</v>
      </c>
      <c r="B20" s="148">
        <f t="shared" si="0"/>
        <v>4.6135883090157724E-2</v>
      </c>
      <c r="C20" s="149">
        <f t="shared" si="1"/>
        <v>22.214772678809855</v>
      </c>
      <c r="D20" s="150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9.0174738199772092E-3</v>
      </c>
      <c r="E20" s="150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5.1583335915396759E-3</v>
      </c>
      <c r="F20" s="150">
        <f>B51*'Power Loss'!$B$79*'Power Loss'!$B$49*10^(-6)*'Power Loss'!$B$54+B51*'Power Loss'!$B$80*'Power Loss'!$B$66*10^(-6)*'Power Loss'!$B$71+'Power Loss'!$B$80*'Power Loss'!$B$81*0.001</f>
        <v>3.1829268292682927E-2</v>
      </c>
      <c r="G20" s="150">
        <f t="shared" si="2"/>
        <v>1.2957949766663842E-4</v>
      </c>
      <c r="H20" s="150">
        <f>(0.5*E51/SQRT(3))^2*'Power Loss'!$B$33/'Power Loss'!$B$31/1000</f>
        <v>1.227888291266861E-6</v>
      </c>
      <c r="I20" s="97"/>
      <c r="J20" s="38"/>
      <c r="K20" s="38"/>
    </row>
    <row r="21" spans="1:11" s="37" customFormat="1" ht="13" customHeight="1">
      <c r="A21" s="147">
        <f>Imin+(Imax-Imin)*0.04</f>
        <v>2.0960000000000003E-2</v>
      </c>
      <c r="B21" s="148">
        <f t="shared" si="0"/>
        <v>5.5098426212164292E-2</v>
      </c>
      <c r="C21" s="149">
        <f t="shared" si="1"/>
        <v>31.341889616266588</v>
      </c>
      <c r="D21" s="150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1.3511928037298469E-2</v>
      </c>
      <c r="E21" s="150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8.6445509136918886E-3</v>
      </c>
      <c r="F21" s="150">
        <f>B52*'Power Loss'!$B$79*'Power Loss'!$B$49*10^(-6)*'Power Loss'!$B$54+B52*'Power Loss'!$B$80*'Power Loss'!$B$66*10^(-6)*'Power Loss'!$B$71+'Power Loss'!$B$80*'Power Loss'!$B$81*0.001</f>
        <v>3.2763561924257931E-2</v>
      </c>
      <c r="G21" s="150">
        <f t="shared" si="2"/>
        <v>1.7714566641471353E-4</v>
      </c>
      <c r="H21" s="150">
        <f>(0.5*E52/SQRT(3))^2*'Power Loss'!$B$33/'Power Loss'!$B$31/1000</f>
        <v>1.2396705012939071E-6</v>
      </c>
      <c r="I21" s="97"/>
      <c r="J21" s="38"/>
      <c r="K21" s="38"/>
    </row>
    <row r="22" spans="1:11" s="37" customFormat="1" ht="13" customHeight="1">
      <c r="A22" s="147">
        <f>Imin+(Imax-Imin)*0.06</f>
        <v>3.0939999999999999E-2</v>
      </c>
      <c r="B22" s="148">
        <f t="shared" si="0"/>
        <v>6.7703439753583061E-2</v>
      </c>
      <c r="C22" s="149">
        <f t="shared" si="1"/>
        <v>35.416855942523661</v>
      </c>
      <c r="D22" s="150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1.96975889127529E-2</v>
      </c>
      <c r="E22" s="150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1.3752065747167717E-2</v>
      </c>
      <c r="F22" s="150">
        <f>B53*'Power Loss'!$B$79*'Power Loss'!$B$49*10^(-6)*'Power Loss'!$B$54+B53*'Power Loss'!$B$80*'Power Loss'!$B$66*10^(-6)*'Power Loss'!$B$71+'Power Loss'!$B$80*'Power Loss'!$B$81*0.001</f>
        <v>3.4000000000000002E-2</v>
      </c>
      <c r="G22" s="150">
        <f t="shared" si="2"/>
        <v>2.5253357633423206E-4</v>
      </c>
      <c r="H22" s="150">
        <f>(0.5*E53/SQRT(3))^2*'Power Loss'!$B$33/'Power Loss'!$B$31/1000</f>
        <v>1.2515173282141644E-6</v>
      </c>
      <c r="I22" s="97"/>
      <c r="J22" s="38"/>
      <c r="K22" s="38"/>
    </row>
    <row r="23" spans="1:11" s="37" customFormat="1" ht="13" customHeight="1">
      <c r="A23" s="147">
        <f>Imin+(Imax-Imin)*0.08</f>
        <v>4.0920000000000005E-2</v>
      </c>
      <c r="B23" s="148">
        <f>SUM(D23:H23)</f>
        <v>7.2503003418861192E-2</v>
      </c>
      <c r="C23" s="149">
        <f>Vout*A23/(Vout*A23+B23)*100</f>
        <v>40.37925334848272</v>
      </c>
      <c r="D23" s="150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2.2986246138385239E-2</v>
      </c>
      <c r="E23" s="150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1.5188095236620042E-2</v>
      </c>
      <c r="F23" s="150">
        <f>B54*'Power Loss'!$B$79*'Power Loss'!$B$49*10^(-6)*'Power Loss'!$B$54+B54*'Power Loss'!$B$80*'Power Loss'!$B$66*10^(-6)*'Power Loss'!$B$71+'Power Loss'!$B$80*'Power Loss'!$B$81*0.001</f>
        <v>3.4000000000000002E-2</v>
      </c>
      <c r="G23" s="150">
        <f t="shared" si="2"/>
        <v>3.2738663851155758E-4</v>
      </c>
      <c r="H23" s="150">
        <f>(0.5*E54/SQRT(3))^2*'Power Loss'!$B$33/'Power Loss'!$B$31/1000</f>
        <v>1.2754053443513247E-6</v>
      </c>
      <c r="I23" s="97"/>
      <c r="J23" s="38"/>
      <c r="K23" s="38"/>
    </row>
    <row r="24" spans="1:11" s="29" customFormat="1" ht="13" customHeight="1">
      <c r="A24" s="147">
        <f>Imin+(Imax-Imin)*0.1</f>
        <v>5.0900000000000001E-2</v>
      </c>
      <c r="B24" s="148">
        <f t="shared" si="0"/>
        <v>7.7416685249036929E-2</v>
      </c>
      <c r="C24" s="149">
        <f t="shared" si="1"/>
        <v>44.102138538672889</v>
      </c>
      <c r="D24" s="150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2.6292132956815636E-2</v>
      </c>
      <c r="E24" s="150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1.6700250331108436E-2</v>
      </c>
      <c r="F24" s="150">
        <f>B55*'Power Loss'!$B$79*'Power Loss'!$B$49*10^(-6)*'Power Loss'!$B$54+B55*'Power Loss'!$B$80*'Power Loss'!$B$66*10^(-6)*'Power Loss'!$B$71+'Power Loss'!$B$80*'Power Loss'!$B$81*0.001</f>
        <v>3.4000000000000002E-2</v>
      </c>
      <c r="G24" s="150">
        <f t="shared" si="2"/>
        <v>4.2299632999558644E-4</v>
      </c>
      <c r="H24" s="150">
        <f>(0.5*E55/SQRT(3))^2*'Power Loss'!$B$33/'Power Loss'!$B$31/1000</f>
        <v>1.3056311172759419E-6</v>
      </c>
      <c r="I24" s="4"/>
      <c r="J24" s="4"/>
      <c r="K24" s="4"/>
    </row>
    <row r="25" spans="1:11" s="29" customFormat="1" ht="13" customHeight="1">
      <c r="A25" s="147">
        <f>Imin+(Imax-Imin)*0.15</f>
        <v>7.5850000000000001E-2</v>
      </c>
      <c r="B25" s="148">
        <f t="shared" ref="B25:B38" si="3">SUM(D25:H25)</f>
        <v>9.0223194005877971E-2</v>
      </c>
      <c r="C25" s="149">
        <f t="shared" ref="C25:C38" si="4">Vout*A25/(Vout*A25+B25)*100</f>
        <v>50.219816804292307</v>
      </c>
      <c r="D25" s="150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3.465244563119433E-2</v>
      </c>
      <c r="E25" s="150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2.0826142690364417E-2</v>
      </c>
      <c r="F25" s="150">
        <f>B56*'Power Loss'!$B$79*'Power Loss'!$B$49*10^(-6)*'Power Loss'!$B$54+B56*'Power Loss'!$B$80*'Power Loss'!$B$66*10^(-6)*'Power Loss'!$B$71+'Power Loss'!$B$80*'Power Loss'!$B$81*0.001</f>
        <v>3.4000000000000002E-2</v>
      </c>
      <c r="G25" s="150">
        <f t="shared" si="2"/>
        <v>7.4326941915778722E-4</v>
      </c>
      <c r="H25" s="150">
        <f>(0.5*E56/SQRT(3))^2*'Power Loss'!$B$33/'Power Loss'!$B$31/1000</f>
        <v>1.3362651614399069E-6</v>
      </c>
      <c r="I25" s="4"/>
      <c r="J25" s="4"/>
      <c r="K25" s="4"/>
    </row>
    <row r="26" spans="1:11" s="29" customFormat="1" ht="13" customHeight="1">
      <c r="A26" s="147">
        <f>Imin+(Imax-Imin)*0.2</f>
        <v>0.1008</v>
      </c>
      <c r="B26" s="148">
        <f t="shared" si="3"/>
        <v>0.10375571080023209</v>
      </c>
      <c r="C26" s="149">
        <f t="shared" si="4"/>
        <v>53.828012099933275</v>
      </c>
      <c r="D26" s="150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4.3132738912159102E-2</v>
      </c>
      <c r="E26" s="150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2.5433502700118595E-2</v>
      </c>
      <c r="F26" s="150">
        <f>B57*'Power Loss'!$B$79*'Power Loss'!$B$49*10^(-6)*'Power Loss'!$B$54+B57*'Power Loss'!$B$80*'Power Loss'!$B$66*10^(-6)*'Power Loss'!$B$71+'Power Loss'!$B$80*'Power Loss'!$B$81*0.001</f>
        <v>3.4000000000000002E-2</v>
      </c>
      <c r="G26" s="150">
        <f t="shared" si="2"/>
        <v>1.1881018784541068E-3</v>
      </c>
      <c r="H26" s="150">
        <f>(0.5*E57/SQRT(3))^2*'Power Loss'!$B$33/'Power Loss'!$B$31/1000</f>
        <v>1.3673095002787244E-6</v>
      </c>
      <c r="I26" s="4"/>
      <c r="J26" s="4"/>
      <c r="K26" s="4"/>
    </row>
    <row r="27" spans="1:11" s="29" customFormat="1" ht="13" customHeight="1">
      <c r="A27" s="147">
        <f>Imin+(Imax-Imin)*0.25</f>
        <v>0.12575</v>
      </c>
      <c r="B27" s="148">
        <f t="shared" si="3"/>
        <v>0.11801363090047902</v>
      </c>
      <c r="C27" s="149">
        <f t="shared" si="4"/>
        <v>56.114671277428052</v>
      </c>
      <c r="D27" s="150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5.1742495695708039E-2</v>
      </c>
      <c r="E27" s="150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3.0508000951952538E-2</v>
      </c>
      <c r="F27" s="150">
        <f>B58*'Power Loss'!$B$79*'Power Loss'!$B$49*10^(-6)*'Power Loss'!$B$54+B58*'Power Loss'!$B$80*'Power Loss'!$B$66*10^(-6)*'Power Loss'!$B$71+'Power Loss'!$B$80*'Power Loss'!$B$81*0.001</f>
        <v>3.4000000000000002E-2</v>
      </c>
      <c r="G27" s="150">
        <f t="shared" si="2"/>
        <v>1.7617036156102252E-3</v>
      </c>
      <c r="H27" s="150">
        <f>(0.5*E58/SQRT(3))^2*'Power Loss'!$B$33/'Power Loss'!$B$31/1000</f>
        <v>1.4306372082286011E-6</v>
      </c>
      <c r="I27" s="4"/>
      <c r="J27" s="4"/>
      <c r="K27" s="4"/>
    </row>
    <row r="28" spans="1:11" s="29" customFormat="1" ht="13" customHeight="1">
      <c r="A28" s="147">
        <f>Imin+(Imax-Imin)*0.35</f>
        <v>0.17565</v>
      </c>
      <c r="B28" s="148">
        <f t="shared" si="3"/>
        <v>0.14872860555255626</v>
      </c>
      <c r="C28" s="149">
        <f t="shared" si="4"/>
        <v>58.630029085405646</v>
      </c>
      <c r="D28" s="150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6.9332659571796074E-2</v>
      </c>
      <c r="E28" s="150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4.2124523929313665E-2</v>
      </c>
      <c r="F28" s="150">
        <f>B59*'Power Loss'!$B$79*'Power Loss'!$B$49*10^(-6)*'Power Loss'!$B$54+B59*'Power Loss'!$B$80*'Power Loss'!$B$66*10^(-6)*'Power Loss'!$B$71+'Power Loss'!$B$80*'Power Loss'!$B$81*0.001</f>
        <v>3.4000000000000002E-2</v>
      </c>
      <c r="G28" s="150">
        <f t="shared" si="2"/>
        <v>3.2699591267696107E-3</v>
      </c>
      <c r="H28" s="150">
        <f>(0.5*E59/SQRT(3))^2*'Power Loss'!$B$33/'Power Loss'!$B$31/1000</f>
        <v>1.4629246769002526E-6</v>
      </c>
      <c r="I28" s="4"/>
      <c r="J28" s="4"/>
      <c r="K28" s="4"/>
    </row>
    <row r="29" spans="1:11" s="29" customFormat="1" ht="13" customHeight="1">
      <c r="A29" s="147">
        <f>Imin+(Imax-Imin)*0.4</f>
        <v>0.2006</v>
      </c>
      <c r="B29" s="148">
        <f t="shared" si="3"/>
        <v>0.16518448486245504</v>
      </c>
      <c r="C29" s="149">
        <f t="shared" si="4"/>
        <v>59.304592330772223</v>
      </c>
      <c r="D29" s="150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7.8332101893699255E-2</v>
      </c>
      <c r="E29" s="150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4.8637854613420586E-2</v>
      </c>
      <c r="F29" s="150">
        <f>B60*'Power Loss'!$B$79*'Power Loss'!$B$49*10^(-6)*'Power Loss'!$B$54+B60*'Power Loss'!$B$80*'Power Loss'!$B$66*10^(-6)*'Power Loss'!$B$71+'Power Loss'!$B$80*'Power Loss'!$B$81*0.001</f>
        <v>3.4000000000000002E-2</v>
      </c>
      <c r="G29" s="150">
        <f t="shared" si="2"/>
        <v>4.2130327246956848E-3</v>
      </c>
      <c r="H29" s="150">
        <f>(0.5*E60/SQRT(3))^2*'Power Loss'!$B$33/'Power Loss'!$B$31/1000</f>
        <v>1.4956306394914936E-6</v>
      </c>
      <c r="I29" s="4"/>
      <c r="J29" s="4"/>
      <c r="K29" s="4"/>
    </row>
    <row r="30" spans="1:11" s="29" customFormat="1" ht="13" customHeight="1">
      <c r="A30" s="147">
        <f>Imin+(Imax-Imin)*0.45</f>
        <v>0.22555</v>
      </c>
      <c r="B30" s="148">
        <f t="shared" si="3"/>
        <v>0.18237607172025702</v>
      </c>
      <c r="C30" s="149">
        <f t="shared" si="4"/>
        <v>59.743587077350533</v>
      </c>
      <c r="D30" s="150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8.7471207782540153E-2</v>
      </c>
      <c r="E30" s="150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5.5622667650212079E-2</v>
      </c>
      <c r="F30" s="150">
        <f>B61*'Power Loss'!$B$79*'Power Loss'!$B$49*10^(-6)*'Power Loss'!$B$54+B61*'Power Loss'!$B$80*'Power Loss'!$B$66*10^(-6)*'Power Loss'!$B$71+'Power Loss'!$B$80*'Power Loss'!$B$81*0.001</f>
        <v>3.4000000000000002E-2</v>
      </c>
      <c r="G30" s="150">
        <f t="shared" si="2"/>
        <v>5.2806675303322913E-3</v>
      </c>
      <c r="H30" s="150">
        <f>(0.5*E61/SQRT(3))^2*'Power Loss'!$B$33/'Power Loss'!$B$31/1000</f>
        <v>1.5287571724980816E-6</v>
      </c>
      <c r="I30" s="4"/>
      <c r="J30" s="4"/>
      <c r="K30" s="4"/>
    </row>
    <row r="31" spans="1:11" s="29" customFormat="1" ht="13" customHeight="1">
      <c r="A31" s="147">
        <f>Imin+(Imax-Imin)*0.5</f>
        <v>0.2505</v>
      </c>
      <c r="B31" s="148">
        <f t="shared" si="3"/>
        <v>0.20030532673141466</v>
      </c>
      <c r="C31" s="149">
        <f t="shared" si="4"/>
        <v>60.011340258951094</v>
      </c>
      <c r="D31" s="150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9.6753955838828204E-2</v>
      </c>
      <c r="E31" s="150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6.3076944669852489E-2</v>
      </c>
      <c r="F31" s="150">
        <f>B62*'Power Loss'!$B$79*'Power Loss'!$B$49*10^(-6)*'Power Loss'!$B$54+B62*'Power Loss'!$B$80*'Power Loss'!$B$66*10^(-6)*'Power Loss'!$B$71+'Power Loss'!$B$80*'Power Loss'!$B$81*0.001</f>
        <v>3.4000000000000002E-2</v>
      </c>
      <c r="G31" s="150">
        <f t="shared" si="2"/>
        <v>6.4728639163707264E-3</v>
      </c>
      <c r="H31" s="150">
        <f>(0.5*E62/SQRT(3))^2*'Power Loss'!$B$33/'Power Loss'!$B$31/1000</f>
        <v>1.5623063632145934E-6</v>
      </c>
      <c r="I31" s="4"/>
      <c r="J31" s="4"/>
      <c r="K31" s="4"/>
    </row>
    <row r="32" spans="1:11" s="29" customFormat="1" ht="13" customHeight="1">
      <c r="A32" s="147">
        <f>Imin+(Imax-Imin)*0.55</f>
        <v>0.27545000000000003</v>
      </c>
      <c r="B32" s="148">
        <f t="shared" si="3"/>
        <v>0.21897421747415255</v>
      </c>
      <c r="C32" s="149">
        <f t="shared" si="4"/>
        <v>60.151309918664218</v>
      </c>
      <c r="D32" s="150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0.10618433881121472</v>
      </c>
      <c r="E32" s="150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7.0998660125361795E-2</v>
      </c>
      <c r="F32" s="150">
        <f>B63*'Power Loss'!$B$79*'Power Loss'!$B$49*10^(-6)*'Power Loss'!$B$54+B63*'Power Loss'!$B$80*'Power Loss'!$B$66*10^(-6)*'Power Loss'!$B$71+'Power Loss'!$B$80*'Power Loss'!$B$81*0.001</f>
        <v>3.4000000000000002E-2</v>
      </c>
      <c r="G32" s="150">
        <f t="shared" si="2"/>
        <v>7.7896222572662243E-3</v>
      </c>
      <c r="H32" s="150">
        <f>(0.5*E63/SQRT(3))^2*'Power Loss'!$B$33/'Power Loss'!$B$31/1000</f>
        <v>1.5962803097976413E-6</v>
      </c>
      <c r="I32" s="4"/>
      <c r="J32" s="4"/>
      <c r="K32" s="4"/>
    </row>
    <row r="33" spans="1:23" s="29" customFormat="1" ht="13" customHeight="1">
      <c r="A33" s="147">
        <f>Imin+(Imax-Imin)*0.6</f>
        <v>0.3004</v>
      </c>
      <c r="B33" s="148">
        <f t="shared" si="3"/>
        <v>0.2383847185305015</v>
      </c>
      <c r="C33" s="149">
        <f t="shared" si="4"/>
        <v>60.193895022660271</v>
      </c>
      <c r="D33" s="150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0.1157663636594421</v>
      </c>
      <c r="E33" s="150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7.9385781260683658E-2</v>
      </c>
      <c r="F33" s="150">
        <f>B64*'Power Loss'!$B$79*'Power Loss'!$B$49*10^(-6)*'Power Loss'!$B$54+B64*'Power Loss'!$B$80*'Power Loss'!$B$66*10^(-6)*'Power Loss'!$B$71+'Power Loss'!$B$80*'Power Loss'!$B$81*0.001</f>
        <v>3.4000000000000002E-2</v>
      </c>
      <c r="G33" s="150">
        <f t="shared" si="2"/>
        <v>9.2309429292544033E-3</v>
      </c>
      <c r="H33" s="150">
        <f>(0.5*E64/SQRT(3))^2*'Power Loss'!$B$33/'Power Loss'!$B$31/1000</f>
        <v>1.6306811213295144E-6</v>
      </c>
      <c r="I33" s="4"/>
      <c r="J33" s="4"/>
      <c r="K33" s="4"/>
    </row>
    <row r="34" spans="1:23" s="29" customFormat="1" ht="13" customHeight="1">
      <c r="A34" s="147">
        <f>Imin+(Imax-Imin)*0.65</f>
        <v>0.32535000000000003</v>
      </c>
      <c r="B34" s="148">
        <f t="shared" si="3"/>
        <v>0.25853881151749769</v>
      </c>
      <c r="C34" s="149">
        <f t="shared" si="4"/>
        <v>60.160982957771772</v>
      </c>
      <c r="D34" s="150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0.1255040516176292</v>
      </c>
      <c r="E34" s="150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8.8236268078582911E-2</v>
      </c>
      <c r="F34" s="150">
        <f>B65*'Power Loss'!$B$79*'Power Loss'!$B$49*10^(-6)*'Power Loss'!$B$54+B65*'Power Loss'!$B$80*'Power Loss'!$B$66*10^(-6)*'Power Loss'!$B$71+'Power Loss'!$B$80*'Power Loss'!$B$81*0.001</f>
        <v>3.4000000000000002E-2</v>
      </c>
      <c r="G34" s="150">
        <f t="shared" si="2"/>
        <v>1.0796826310367678E-2</v>
      </c>
      <c r="H34" s="150">
        <f>(0.5*E65/SQRT(3))^2*'Power Loss'!$B$33/'Power Loss'!$B$31/1000</f>
        <v>1.6655109178822342E-6</v>
      </c>
      <c r="I34" s="4"/>
      <c r="J34" s="4"/>
      <c r="K34" s="4"/>
    </row>
    <row r="35" spans="1:23" s="29" customFormat="1" ht="13" customHeight="1">
      <c r="A35" s="147">
        <f>Imin+(Imax-Imin)*0.7</f>
        <v>0.3503</v>
      </c>
      <c r="B35" s="148">
        <f t="shared" si="3"/>
        <v>0.27943848511854941</v>
      </c>
      <c r="C35" s="149">
        <f t="shared" si="4"/>
        <v>60.06872105886152</v>
      </c>
      <c r="D35" s="150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0.13540143825789563</v>
      </c>
      <c r="E35" s="150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9.7548073308371563E-2</v>
      </c>
      <c r="F35" s="150">
        <f>B66*'Power Loss'!$B$79*'Power Loss'!$B$49*10^(-6)*'Power Loss'!$B$54+B66*'Power Loss'!$B$80*'Power Loss'!$B$66*10^(-6)*'Power Loss'!$B$71+'Power Loss'!$B$80*'Power Loss'!$B$81*0.001</f>
        <v>3.4000000000000002E-2</v>
      </c>
      <c r="G35" s="150">
        <f t="shared" si="2"/>
        <v>1.2487272780451572E-2</v>
      </c>
      <c r="H35" s="150">
        <f>(0.5*E66/SQRT(3))^2*'Power Loss'!$B$33/'Power Loss'!$B$31/1000</f>
        <v>1.7007718305820408E-6</v>
      </c>
      <c r="I35" s="4"/>
      <c r="J35" s="4"/>
      <c r="K35" s="4"/>
    </row>
    <row r="36" spans="1:23" s="29" customFormat="1" ht="13" customHeight="1">
      <c r="A36" s="147">
        <f>Imin+(Imax-Imin)*0.75</f>
        <v>0.37524999999999997</v>
      </c>
      <c r="B36" s="148">
        <f t="shared" si="3"/>
        <v>0.30108573511497078</v>
      </c>
      <c r="C36" s="149">
        <f t="shared" si="4"/>
        <v>59.929271871404225</v>
      </c>
      <c r="D36" s="150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0.14546257355432635</v>
      </c>
      <c r="E36" s="150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0.10731914237346162</v>
      </c>
      <c r="F36" s="150">
        <f>B67*'Power Loss'!$B$79*'Power Loss'!$B$49*10^(-6)*'Power Loss'!$B$54+B67*'Power Loss'!$B$80*'Power Loss'!$B$66*10^(-6)*'Power Loss'!$B$71+'Power Loss'!$B$80*'Power Loss'!$B$81*0.001</f>
        <v>3.4000000000000002E-2</v>
      </c>
      <c r="G36" s="150">
        <f t="shared" si="2"/>
        <v>1.430228272118114E-2</v>
      </c>
      <c r="H36" s="150">
        <f>(0.5*E67/SQRT(3))^2*'Power Loss'!$B$33/'Power Loss'!$B$31/1000</f>
        <v>1.7364660016743073E-6</v>
      </c>
      <c r="I36" s="4"/>
      <c r="J36" s="4"/>
      <c r="K36" s="4"/>
    </row>
    <row r="37" spans="1:23" s="29" customFormat="1" ht="13" customHeight="1">
      <c r="A37" s="147">
        <f>Imin+(Imax-Imin)*0.8</f>
        <v>0.4002</v>
      </c>
      <c r="B37" s="148">
        <f t="shared" si="3"/>
        <v>0.32348256441768525</v>
      </c>
      <c r="C37" s="149">
        <f t="shared" si="4"/>
        <v>59.751961841203801</v>
      </c>
      <c r="D37" s="150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0.155691521947279</v>
      </c>
      <c r="E37" s="150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0.11754741335874436</v>
      </c>
      <c r="F37" s="150">
        <f>B68*'Power Loss'!$B$79*'Power Loss'!$B$49*10^(-6)*'Power Loss'!$B$54+B68*'Power Loss'!$B$80*'Power Loss'!$B$66*10^(-6)*'Power Loss'!$B$71+'Power Loss'!$B$80*'Power Loss'!$B$81*0.001</f>
        <v>3.4000000000000002E-2</v>
      </c>
      <c r="G37" s="150">
        <f t="shared" si="2"/>
        <v>1.6241856516077208E-2</v>
      </c>
      <c r="H37" s="150">
        <f>(0.5*E68/SQRT(3))^2*'Power Loss'!$B$33/'Power Loss'!$B$31/1000</f>
        <v>1.7725955845888823E-6</v>
      </c>
      <c r="I37" s="4"/>
      <c r="J37" s="4"/>
      <c r="K37" s="4"/>
    </row>
    <row r="38" spans="1:23" s="29" customFormat="1" ht="13" customHeight="1">
      <c r="A38" s="147">
        <f>Imin+(Imax-Imin)*0.85</f>
        <v>0.42514999999999997</v>
      </c>
      <c r="B38" s="148">
        <f t="shared" si="3"/>
        <v>0.34663098309909768</v>
      </c>
      <c r="C38" s="149">
        <f t="shared" si="4"/>
        <v>59.544054647230546</v>
      </c>
      <c r="D38" s="150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0.16609236240803649</v>
      </c>
      <c r="E38" s="150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0.12823081697779445</v>
      </c>
      <c r="F38" s="150">
        <f>B69*'Power Loss'!$B$79*'Power Loss'!$B$49*10^(-6)*'Power Loss'!$B$54+B69*'Power Loss'!$B$80*'Power Loss'!$B$66*10^(-6)*'Power Loss'!$B$71+'Power Loss'!$B$80*'Power Loss'!$B$81*0.001</f>
        <v>3.4000000000000002E-2</v>
      </c>
      <c r="G38" s="150">
        <f t="shared" si="2"/>
        <v>1.8305994550522682E-2</v>
      </c>
      <c r="H38" s="150">
        <f>(0.5*E69/SQRT(3))^2*'Power Loss'!$B$33/'Power Loss'!$B$31/1000</f>
        <v>1.8091627440058694E-6</v>
      </c>
      <c r="I38" s="4"/>
      <c r="J38" s="4"/>
      <c r="K38" s="4"/>
    </row>
    <row r="39" spans="1:23" s="29" customFormat="1" ht="13" customHeight="1">
      <c r="A39" s="147">
        <f>Imin+(Imax-Imin)*0.9</f>
        <v>0.4501</v>
      </c>
      <c r="B39" s="148">
        <f>SUM(D39:H39)</f>
        <v>0.37053300842513937</v>
      </c>
      <c r="C39" s="149">
        <f>Vout*A39/(Vout*A39+B39)*100</f>
        <v>59.311284869532258</v>
      </c>
      <c r="D39" s="150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0.17666918850380636</v>
      </c>
      <c r="E39" s="150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0.13936727653989814</v>
      </c>
      <c r="F39" s="150">
        <f>B70*'Power Loss'!$B$79*'Power Loss'!$B$49*10^(-6)*'Power Loss'!$B$54+B70*'Power Loss'!$B$80*'Power Loss'!$B$66*10^(-6)*'Power Loss'!$B$71+'Power Loss'!$B$80*'Power Loss'!$B$81*0.001</f>
        <v>3.4000000000000002E-2</v>
      </c>
      <c r="G39" s="150">
        <f t="shared" si="2"/>
        <v>2.0494697211778858E-2</v>
      </c>
      <c r="H39" s="150">
        <f>(0.5*E70/SQRT(3))^2*'Power Loss'!$B$33/'Power Loss'!$B$31/1000</f>
        <v>1.8461696559218441E-6</v>
      </c>
      <c r="I39" s="4"/>
      <c r="J39" s="4"/>
      <c r="K39" s="4"/>
    </row>
    <row r="40" spans="1:23" ht="15" customHeight="1">
      <c r="A40" s="147">
        <f>Imin+(Imax-Imin)*0.95</f>
        <v>0.47504999999999997</v>
      </c>
      <c r="B40" s="148">
        <f>SUM(D40:H40)</f>
        <v>0.39519066488748311</v>
      </c>
      <c r="C40" s="149">
        <f>Vout*A40/(Vout*A40+B40)*100</f>
        <v>59.058234377538653</v>
      </c>
      <c r="D40" s="150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0.18742610846306923</v>
      </c>
      <c r="E40" s="150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0.15095470791690457</v>
      </c>
      <c r="F40" s="150">
        <f>B71*'Power Loss'!$B$79*'Power Loss'!$B$49*10^(-6)*'Power Loss'!$B$54+B71*'Power Loss'!$B$80*'Power Loss'!$B$66*10^(-6)*'Power Loss'!$B$71+'Power Loss'!$B$80*'Power Loss'!$B$81*0.001</f>
        <v>3.4000000000000002E-2</v>
      </c>
      <c r="G40" s="150">
        <f t="shared" si="2"/>
        <v>2.2807964889001588E-2</v>
      </c>
      <c r="H40" s="150">
        <f>(0.5*E71/SQRT(3))^2*'Power Loss'!$B$33/'Power Loss'!$B$31/1000</f>
        <v>1.88361850771651E-6</v>
      </c>
      <c r="I40" s="4"/>
      <c r="J40" s="4"/>
      <c r="K40" s="4"/>
    </row>
    <row r="41" spans="1:23" ht="14.25" customHeight="1">
      <c r="A41" s="147">
        <f>Imin+(Imax-Imin)*1</f>
        <v>0.5</v>
      </c>
      <c r="B41" s="148">
        <f>SUM(D41:H41)</f>
        <v>0.41809982865315237</v>
      </c>
      <c r="C41" s="149">
        <f>Vout*A41/(Vout*A41+B41)*100</f>
        <v>58.933317059265391</v>
      </c>
      <c r="D41" s="150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0.19306816167392038</v>
      </c>
      <c r="E41" s="150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0.16587843596793383</v>
      </c>
      <c r="F41" s="150">
        <f>B72*'Power Loss'!$B$79*'Power Loss'!$B$49*10^(-6)*'Power Loss'!$B$54+B72*'Power Loss'!$B$80*'Power Loss'!$B$66*10^(-6)*'Power Loss'!$B$71+'Power Loss'!$B$80*'Power Loss'!$B$81*0.001</f>
        <v>3.4000000000000002E-2</v>
      </c>
      <c r="G41" s="150">
        <f t="shared" si="2"/>
        <v>2.5152016011298156E-2</v>
      </c>
      <c r="H41" s="150">
        <f>(0.5*E72/SQRT(3))^2*'Power Loss'!$B$33/'Power Loss'!$B$31/1000</f>
        <v>1.2150000000000004E-6</v>
      </c>
    </row>
    <row r="42" spans="1:23" ht="13" customHeight="1">
      <c r="A42" s="17"/>
      <c r="B42" s="17"/>
      <c r="C42" s="17"/>
      <c r="D42" s="17"/>
      <c r="E42" s="17"/>
      <c r="F42" s="17"/>
      <c r="G42" s="17"/>
      <c r="H42" s="17"/>
      <c r="I42" s="111"/>
      <c r="J42" s="111"/>
      <c r="K42" s="111"/>
      <c r="L42" s="111"/>
      <c r="M42" s="111"/>
      <c r="N42" s="111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3" customHeight="1">
      <c r="A43" s="17" t="s">
        <v>257</v>
      </c>
      <c r="B43" s="17" t="s">
        <v>258</v>
      </c>
      <c r="C43" s="17" t="s">
        <v>259</v>
      </c>
      <c r="D43" s="17" t="s">
        <v>116</v>
      </c>
      <c r="E43" s="17" t="s">
        <v>117</v>
      </c>
      <c r="F43" s="17" t="s">
        <v>118</v>
      </c>
      <c r="G43" s="17" t="s">
        <v>119</v>
      </c>
      <c r="H43" s="17"/>
      <c r="I43" s="100"/>
      <c r="J43" s="100"/>
      <c r="K43" s="100"/>
      <c r="L43" s="100"/>
      <c r="M43" s="111"/>
      <c r="N43" s="111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3" customHeight="1">
      <c r="A44" s="17">
        <f>IF(OR('Power Loss'!$B$17="AP63206",'Power Loss'!$B$17="AP63356"), 0, IF(A13&gt;$E$9, 0, 2/((Vin-Vout)*Vout/(2*Vin*Lout*0.000001*($E$9-A13)))))</f>
        <v>9.62962962962963E-7</v>
      </c>
      <c r="B44" s="151">
        <f t="shared" ref="B44:B72" si="5">1/(1000/(Fs*1000)+A44*1000)</f>
        <v>683.54430379746839</v>
      </c>
      <c r="C44" s="147">
        <f>Imin</f>
        <v>1E-3</v>
      </c>
      <c r="D44" s="17">
        <f t="shared" ref="D44:D53" si="6">Vout/Vin*(1+(Ron_l+DCR)/1000*A13/Vout)/(1-A13*(Ron_u-Ron_l)/1000/Vin)</f>
        <v>0.10004816003097443</v>
      </c>
      <c r="E44" s="17">
        <f t="shared" ref="E44:E54" si="7">(Vin-Vout)/Lout/10^(-6)*D44/Fs/10^3</f>
        <v>5.4026006416726204E-2</v>
      </c>
      <c r="F44" s="17">
        <f>A13*SQRT(D44)*SQRT(1+1/3*(E44/2/A13)^2)</f>
        <v>4.9431946890314236E-3</v>
      </c>
      <c r="G44" s="17">
        <f>A13*SQRT(1-D44)*SQRT(1+1/3*(E44/2/A13)^2)</f>
        <v>1.4825617706456955E-2</v>
      </c>
      <c r="H44" s="17"/>
      <c r="I44" s="100"/>
      <c r="J44" s="112" t="s">
        <v>120</v>
      </c>
      <c r="K44" s="100">
        <v>1</v>
      </c>
      <c r="L44" s="100" t="s">
        <v>5</v>
      </c>
      <c r="M44" s="111"/>
      <c r="N44" s="111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3" customHeight="1">
      <c r="A45" s="17">
        <f>IF(OR('Power Loss'!$B$17="AP63206",'Power Loss'!$B$17="AP63356"), 0, IF(A14&gt;$E$9, 0, 2/((Vin-Vout)*Vout/(2*Vin*Lout*0.000001*($E$9-A14)))))</f>
        <v>9.4448148148148145E-7</v>
      </c>
      <c r="B45" s="151">
        <f t="shared" si="5"/>
        <v>692.2899412835568</v>
      </c>
      <c r="C45" s="147">
        <f>Imin+(Imax-Imin)*0.001</f>
        <v>1.4989999999999999E-3</v>
      </c>
      <c r="D45" s="17">
        <f t="shared" si="6"/>
        <v>0.100072193156335</v>
      </c>
      <c r="E45" s="17">
        <f t="shared" si="7"/>
        <v>5.4038984304420917E-2</v>
      </c>
      <c r="F45" s="17">
        <f t="shared" ref="F45:F72" si="8">A14*SQRT(D45)*SQRT(1+1/3*(E45/2/A14)^2)</f>
        <v>4.957572907442271E-3</v>
      </c>
      <c r="G45" s="17">
        <f t="shared" ref="G45:G72" si="9">A14*SQRT(1-D45)*SQRT(1+1/3*(E45/2/A14)^2)</f>
        <v>1.4866756783346594E-2</v>
      </c>
      <c r="H45" s="17"/>
      <c r="I45" s="100"/>
      <c r="J45" s="112" t="s">
        <v>121</v>
      </c>
      <c r="K45" s="100">
        <v>5</v>
      </c>
      <c r="L45" s="100" t="s">
        <v>122</v>
      </c>
      <c r="M45" s="111"/>
      <c r="N45" s="111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3" customHeight="1">
      <c r="A46" s="17">
        <f>IF(OR('Power Loss'!$B$17="AP63206",'Power Loss'!$B$17="AP63356"), 0, IF(A15&gt;$E$9, 0, 2/((Vin-Vout)*Vout/(2*Vin*Lout*0.000001*($E$9-A15)))))</f>
        <v>9.2600000000000001E-7</v>
      </c>
      <c r="B46" s="151">
        <f t="shared" si="5"/>
        <v>701.26227208976161</v>
      </c>
      <c r="C46" s="147">
        <f>Imin+(Imax-Imin)*0.002</f>
        <v>1.9979999999999998E-3</v>
      </c>
      <c r="D46" s="17">
        <f t="shared" si="6"/>
        <v>0.10009622712722845</v>
      </c>
      <c r="E46" s="17">
        <f t="shared" si="7"/>
        <v>5.4051962648703371E-2</v>
      </c>
      <c r="F46" s="17">
        <f t="shared" si="8"/>
        <v>4.9769269272714762E-3</v>
      </c>
      <c r="G46" s="17">
        <f t="shared" si="9"/>
        <v>1.4922804401608593E-2</v>
      </c>
      <c r="H46" s="17"/>
      <c r="I46" s="100"/>
      <c r="J46" s="100" t="s">
        <v>86</v>
      </c>
      <c r="K46" s="100">
        <v>80</v>
      </c>
      <c r="L46" s="100" t="s">
        <v>123</v>
      </c>
      <c r="M46" s="111"/>
      <c r="N46" s="111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39" customFormat="1" ht="13" customHeight="1">
      <c r="A47" s="17">
        <f>IF(OR('Power Loss'!$B$17="AP63206",'Power Loss'!$B$17="AP63356"), 0, IF(A16&gt;$E$9, 0, 2/((Vin-Vout)*Vout/(2*Vin*Lout*0.000001*($E$9-A16)))))</f>
        <v>8.8903703703703702E-7</v>
      </c>
      <c r="B47" s="151">
        <f t="shared" si="5"/>
        <v>719.92320819112626</v>
      </c>
      <c r="C47" s="147">
        <f>Imin+(Imax-Imin)*0.004</f>
        <v>2.996E-3</v>
      </c>
      <c r="D47" s="17">
        <f t="shared" si="6"/>
        <v>0.10014429760579249</v>
      </c>
      <c r="E47" s="17">
        <f t="shared" si="7"/>
        <v>5.4077920707127962E-2</v>
      </c>
      <c r="F47" s="17">
        <f t="shared" si="8"/>
        <v>5.0303321596258726E-3</v>
      </c>
      <c r="G47" s="17">
        <f t="shared" si="9"/>
        <v>1.5078911323358262E-2</v>
      </c>
      <c r="H47" s="17"/>
      <c r="I47" s="111"/>
      <c r="J47" s="111"/>
      <c r="K47" s="111"/>
      <c r="L47" s="111"/>
      <c r="M47" s="111"/>
      <c r="N47" s="111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39" customFormat="1" ht="13" customHeight="1">
      <c r="A48" s="17">
        <f>IF(OR('Power Loss'!$B$17="AP63206",'Power Loss'!$B$17="AP63356"), 0, IF(A17&gt;$E$9, 0, 2/((Vin-Vout)*Vout/(2*Vin*Lout*0.000001*($E$9-A17)))))</f>
        <v>8.5207407407407413E-7</v>
      </c>
      <c r="B48" s="151">
        <f t="shared" si="5"/>
        <v>739.60444858379446</v>
      </c>
      <c r="C48" s="147">
        <f>Imin+(Imax-Imin)*0.006</f>
        <v>3.9940000000000002E-3</v>
      </c>
      <c r="D48" s="17">
        <f t="shared" si="6"/>
        <v>0.1001923714670236</v>
      </c>
      <c r="E48" s="17">
        <f t="shared" si="7"/>
        <v>5.410388059219276E-2</v>
      </c>
      <c r="F48" s="17">
        <f t="shared" si="8"/>
        <v>5.1028208932370235E-3</v>
      </c>
      <c r="G48" s="17">
        <f t="shared" si="9"/>
        <v>1.5292124755117084E-2</v>
      </c>
      <c r="H48" s="17"/>
      <c r="I48" s="111" t="s">
        <v>124</v>
      </c>
      <c r="J48" s="111"/>
      <c r="K48" s="111"/>
      <c r="L48" s="111"/>
      <c r="M48" s="111"/>
      <c r="N48" s="111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39" customFormat="1" ht="13" customHeight="1">
      <c r="A49" s="17">
        <f>IF(OR('Power Loss'!$B$17="AP63206",'Power Loss'!$B$17="AP63356"), 0, IF(A18&gt;$E$9, 0, 2/((Vin-Vout)*Vout/(2*Vin*Lout*0.000001*($E$9-A18)))))</f>
        <v>8.1511111111111114E-7</v>
      </c>
      <c r="B49" s="151">
        <f t="shared" si="5"/>
        <v>760.39202433254479</v>
      </c>
      <c r="C49" s="147">
        <f>Imin+(Imax-Imin)*0.008</f>
        <v>4.9919999999999999E-3</v>
      </c>
      <c r="D49" s="17">
        <f t="shared" si="6"/>
        <v>0.10024044871127882</v>
      </c>
      <c r="E49" s="17">
        <f t="shared" si="7"/>
        <v>5.4129842304090577E-2</v>
      </c>
      <c r="F49" s="17">
        <f t="shared" si="8"/>
        <v>5.1936217922761013E-3</v>
      </c>
      <c r="G49" s="17">
        <f t="shared" si="9"/>
        <v>1.556008812103167E-2</v>
      </c>
      <c r="H49" s="17"/>
      <c r="I49" s="111" t="s">
        <v>125</v>
      </c>
      <c r="J49" s="111"/>
      <c r="K49" s="111"/>
      <c r="L49" s="111"/>
      <c r="M49" s="111"/>
      <c r="N49" s="111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39" customFormat="1" ht="13" customHeight="1">
      <c r="A50" s="17">
        <f>IF(OR('Power Loss'!$B$17="AP63206",'Power Loss'!$B$17="AP63356"), 0, IF(A19&gt;$E$9, 0, 2/((Vin-Vout)*Vout/(2*Vin*Lout*0.000001*($E$9-A19)))))</f>
        <v>7.7814814814814794E-7</v>
      </c>
      <c r="B50" s="151">
        <f t="shared" si="5"/>
        <v>782.38191828455524</v>
      </c>
      <c r="C50" s="147">
        <f>Imin+(Imax-Imin)*0.01</f>
        <v>5.9900000000000005E-3</v>
      </c>
      <c r="D50" s="17">
        <f t="shared" si="6"/>
        <v>0.10028852933891524</v>
      </c>
      <c r="E50" s="17">
        <f t="shared" si="7"/>
        <v>5.4155805843014243E-2</v>
      </c>
      <c r="F50" s="17">
        <f t="shared" si="8"/>
        <v>5.3018211795384284E-3</v>
      </c>
      <c r="G50" s="17">
        <f t="shared" si="9"/>
        <v>1.5880021023990672E-2</v>
      </c>
      <c r="H50" s="17"/>
      <c r="I50" s="98" t="s">
        <v>127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39" customFormat="1" ht="13" customHeight="1">
      <c r="A51" s="17">
        <f>IF(OR('Power Loss'!$B$17="AP63206",'Power Loss'!$B$17="AP63356"), 0, IF(A20&gt;$E$9, 0, 2/((Vin-Vout)*Vout/(2*Vin*Lout*0.000001*($E$9-A20)))))</f>
        <v>5.933333333333333E-7</v>
      </c>
      <c r="B51" s="151">
        <f t="shared" si="5"/>
        <v>914.63414634146341</v>
      </c>
      <c r="C51" s="147">
        <f>Imin+(Imax-Imin)*0.02</f>
        <v>1.098E-2</v>
      </c>
      <c r="D51" s="17">
        <f t="shared" si="6"/>
        <v>0.10052898324031824</v>
      </c>
      <c r="E51" s="17">
        <f t="shared" si="7"/>
        <v>5.4285650949771856E-2</v>
      </c>
      <c r="F51" s="17">
        <f t="shared" si="8"/>
        <v>6.0669173986297115E-3</v>
      </c>
      <c r="G51" s="17">
        <f t="shared" si="9"/>
        <v>1.8147467358603408E-2</v>
      </c>
      <c r="H51" s="17"/>
      <c r="I51" s="98" t="s">
        <v>128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39" customFormat="1" ht="13" customHeight="1">
      <c r="A52" s="17">
        <f>IF(OR('Power Loss'!$B$17="AP63206",'Power Loss'!$B$17="AP63356"), 0, IF(A21&gt;$E$9, 0, 2/((Vin-Vout)*Vout/(2*Vin*Lout*0.000001*($E$9-A21)))))</f>
        <v>2.2370370370370368E-7</v>
      </c>
      <c r="B52" s="151">
        <f t="shared" si="5"/>
        <v>1381.7809621289662</v>
      </c>
      <c r="C52" s="147">
        <f>Imin+(Imax-Imin)*0.04</f>
        <v>2.0960000000000003E-2</v>
      </c>
      <c r="D52" s="17">
        <f t="shared" si="6"/>
        <v>0.10101014500220008</v>
      </c>
      <c r="E52" s="17">
        <f t="shared" si="7"/>
        <v>5.4545478301188055E-2</v>
      </c>
      <c r="F52" s="17">
        <f t="shared" si="8"/>
        <v>8.3318544116377895E-3</v>
      </c>
      <c r="G52" s="17">
        <f t="shared" si="9"/>
        <v>2.4856305081851032E-2</v>
      </c>
      <c r="H52" s="17"/>
      <c r="I52" s="16" t="s">
        <v>129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39" customFormat="1" ht="13" customHeight="1">
      <c r="A53" s="17">
        <f>IF(OR('Power Loss'!$B$17="AP63206",'Power Loss'!$B$17="AP63356"), 0, IF(A22&gt;$E$9, 0, 2/((Vin-Vout)*Vout/(2*Vin*Lout*0.000001*($E$9-A22)))))</f>
        <v>0</v>
      </c>
      <c r="B53" s="151">
        <f t="shared" si="5"/>
        <v>2000</v>
      </c>
      <c r="C53" s="147">
        <f>Imin+(Imax-Imin)*0.06</f>
        <v>3.0939999999999999E-2</v>
      </c>
      <c r="D53" s="17">
        <f t="shared" si="6"/>
        <v>0.10149164567431333</v>
      </c>
      <c r="E53" s="17">
        <f t="shared" si="7"/>
        <v>5.4805488664129209E-2</v>
      </c>
      <c r="F53" s="17">
        <f t="shared" si="8"/>
        <v>1.1070681938666026E-2</v>
      </c>
      <c r="G53" s="17">
        <f t="shared" si="9"/>
        <v>3.2939749043605762E-2</v>
      </c>
      <c r="H53" s="17"/>
      <c r="I53" s="16" t="s">
        <v>129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39" customFormat="1" ht="13" customHeight="1">
      <c r="A54" s="17">
        <f>IF(OR('Power Loss'!$B$17="AP63206",'Power Loss'!$B$17="AP63356"), 0, IF(A23&gt;$E$9, 0, 2/((Vin-Vout)*Vout/(2*Vin*Lout*0.000001*($E$9-A23)))))</f>
        <v>0</v>
      </c>
      <c r="B54" s="151">
        <f t="shared" si="5"/>
        <v>2000</v>
      </c>
      <c r="C54" s="147">
        <f>Imin+(Imax-Imin)*0.08</f>
        <v>4.0920000000000005E-2</v>
      </c>
      <c r="D54" s="17">
        <f t="shared" ref="D54:D72" si="10">Vout/Vin*(1+(Ron_l+DCR)/1000*A24/Vout)/(1-A24*(Ron_u-Ron_l)/1000/Vin)</f>
        <v>0.10245566518252879</v>
      </c>
      <c r="E54" s="17">
        <f t="shared" si="7"/>
        <v>5.532605919856555E-2</v>
      </c>
      <c r="F54" s="17">
        <f t="shared" si="8"/>
        <v>1.4060263877718089E-2</v>
      </c>
      <c r="G54" s="17">
        <f t="shared" si="9"/>
        <v>4.1615339101816785E-2</v>
      </c>
      <c r="H54" s="17"/>
      <c r="I54" s="16" t="s">
        <v>131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39" customFormat="1" ht="13" customHeight="1">
      <c r="A55" s="17">
        <f>IF(OR('Power Loss'!$B$17="AP63206",'Power Loss'!$B$17="AP63356"), 0, IF(A24&gt;$E$9, 0, 2/((Vin-Vout)*Vout/(2*Vin*Lout*0.000001*($E$9-A24)))))</f>
        <v>0</v>
      </c>
      <c r="B55" s="151">
        <f t="shared" si="5"/>
        <v>2000</v>
      </c>
      <c r="C55" s="147">
        <f>Imin+(Imax-Imin)*0.1</f>
        <v>5.0900000000000001E-2</v>
      </c>
      <c r="D55" s="17">
        <f t="shared" si="10"/>
        <v>0.10366260232896281</v>
      </c>
      <c r="E55" s="17">
        <f t="shared" ref="E55:E71" si="11">(Vin-Vout)/Lout/10^(-6)*D55/Fs/10^3</f>
        <v>5.5977805257639929E-2</v>
      </c>
      <c r="F55" s="17">
        <f t="shared" si="8"/>
        <v>1.719415978172819E-2</v>
      </c>
      <c r="G55" s="17">
        <f t="shared" si="9"/>
        <v>5.0559836756615316E-2</v>
      </c>
      <c r="H55" s="17"/>
      <c r="I55" s="16" t="s">
        <v>133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39" customFormat="1" ht="13" customHeight="1">
      <c r="A56" s="17">
        <f>IF(OR('Power Loss'!$B$17="AP63206",'Power Loss'!$B$17="AP63356"), 0, IF(A25&gt;$E$9, 0, 2/((Vin-Vout)*Vout/(2*Vin*Lout*0.000001*($E$9-A25)))))</f>
        <v>0</v>
      </c>
      <c r="B56" s="151">
        <f t="shared" si="5"/>
        <v>2000</v>
      </c>
      <c r="C56" s="147">
        <f>Imin+(Imax-Imin)*0.15</f>
        <v>7.5850000000000001E-2</v>
      </c>
      <c r="D56" s="17">
        <f t="shared" si="10"/>
        <v>0.10487167001790763</v>
      </c>
      <c r="E56" s="17">
        <f t="shared" si="11"/>
        <v>5.6630701809670135E-2</v>
      </c>
      <c r="F56" s="17">
        <f t="shared" si="8"/>
        <v>2.512722275487269E-2</v>
      </c>
      <c r="G56" s="17">
        <f t="shared" si="9"/>
        <v>7.3410477514555025E-2</v>
      </c>
      <c r="H56" s="17"/>
      <c r="I56" s="16" t="s">
        <v>135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39" customFormat="1" ht="13" customHeight="1">
      <c r="A57" s="17">
        <f>IF(OR('Power Loss'!$B$17="AP63206",'Power Loss'!$B$17="AP63356"), 0, IF(A26&gt;$E$9, 0, 2/((Vin-Vout)*Vout/(2*Vin*Lout*0.000001*($E$9-A26)))))</f>
        <v>0</v>
      </c>
      <c r="B57" s="151">
        <f t="shared" si="5"/>
        <v>2000</v>
      </c>
      <c r="C57" s="147">
        <f>Imin+(Imax-Imin)*0.2</f>
        <v>0.1008</v>
      </c>
      <c r="D57" s="17">
        <f t="shared" si="10"/>
        <v>0.10608287389574843</v>
      </c>
      <c r="E57" s="17">
        <f t="shared" si="11"/>
        <v>5.7284751903704162E-2</v>
      </c>
      <c r="F57" s="17">
        <f t="shared" si="8"/>
        <v>3.3269798858409153E-2</v>
      </c>
      <c r="G57" s="17">
        <f t="shared" si="9"/>
        <v>9.6577545961661002E-2</v>
      </c>
      <c r="H57" s="17"/>
      <c r="I57" s="16" t="s">
        <v>137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39" customFormat="1" ht="13" customHeight="1">
      <c r="A58" s="17">
        <f>IF(OR('Power Loss'!$B$17="AP63206",'Power Loss'!$B$17="AP63356"), 0, IF(A27&gt;$E$9, 0, 2/((Vin-Vout)*Vout/(2*Vin*Lout*0.000001*($E$9-A27)))))</f>
        <v>0</v>
      </c>
      <c r="B58" s="151">
        <f t="shared" si="5"/>
        <v>2000</v>
      </c>
      <c r="C58" s="147">
        <f>Imin+(Imax-Imin)*0.25</f>
        <v>0.12575</v>
      </c>
      <c r="D58" s="17">
        <f t="shared" si="10"/>
        <v>0.10851171290359594</v>
      </c>
      <c r="E58" s="17">
        <f t="shared" si="11"/>
        <v>5.8596324967941822E-2</v>
      </c>
      <c r="F58" s="17">
        <f t="shared" si="8"/>
        <v>4.1796539054427935E-2</v>
      </c>
      <c r="G58" s="17">
        <f t="shared" si="9"/>
        <v>0.11980083165286207</v>
      </c>
      <c r="H58" s="17"/>
      <c r="I58" s="16" t="s">
        <v>139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39" customFormat="1" ht="13" customHeight="1">
      <c r="A59" s="17">
        <f>IF(OR('Power Loss'!$B$17="AP63206",'Power Loss'!$B$17="AP63356"), 0, IF(A28&gt;$E$9, 0, 2/((Vin-Vout)*Vout/(2*Vin*Lout*0.000001*($E$9-A28)))))</f>
        <v>0</v>
      </c>
      <c r="B59" s="151">
        <f t="shared" si="5"/>
        <v>2000</v>
      </c>
      <c r="C59" s="147">
        <f>Imin+(Imax-Imin)*0.35</f>
        <v>0.17565</v>
      </c>
      <c r="D59" s="17">
        <f t="shared" si="10"/>
        <v>0.1097293594265759</v>
      </c>
      <c r="E59" s="17">
        <f t="shared" si="11"/>
        <v>5.9253854090350999E-2</v>
      </c>
      <c r="F59" s="17">
        <f t="shared" si="8"/>
        <v>5.8460042592354558E-2</v>
      </c>
      <c r="G59" s="17">
        <f t="shared" si="9"/>
        <v>0.16651705875218953</v>
      </c>
      <c r="H59" s="17"/>
      <c r="I59" s="16" t="s">
        <v>141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39" customFormat="1" ht="13" customHeight="1">
      <c r="A60" s="17">
        <f>IF(OR('Power Loss'!$B$17="AP63206",'Power Loss'!$B$17="AP63356"), 0, IF(A29&gt;$E$9, 0, 2/((Vin-Vout)*Vout/(2*Vin*Lout*0.000001*($E$9-A29)))))</f>
        <v>0</v>
      </c>
      <c r="B60" s="151">
        <f t="shared" si="5"/>
        <v>2000</v>
      </c>
      <c r="C60" s="147">
        <f>Imin+(Imax-Imin)*0.4</f>
        <v>0.2006</v>
      </c>
      <c r="D60" s="17">
        <f t="shared" si="10"/>
        <v>0.11094916492457636</v>
      </c>
      <c r="E60" s="17">
        <f t="shared" si="11"/>
        <v>5.991254905927125E-2</v>
      </c>
      <c r="F60" s="17">
        <f t="shared" si="8"/>
        <v>6.7065804493510434E-2</v>
      </c>
      <c r="G60" s="17">
        <f t="shared" si="9"/>
        <v>0.1898464221299325</v>
      </c>
      <c r="H60" s="17"/>
      <c r="I60" s="16" t="s">
        <v>143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39" customFormat="1" ht="13" customHeight="1">
      <c r="A61" s="17">
        <f>IF(OR('Power Loss'!$B$17="AP63206",'Power Loss'!$B$17="AP63356"), 0, IF(A30&gt;$E$9, 0, 2/((Vin-Vout)*Vout/(2*Vin*Lout*0.000001*($E$9-A30)))))</f>
        <v>0</v>
      </c>
      <c r="B61" s="151">
        <f t="shared" si="5"/>
        <v>2000</v>
      </c>
      <c r="C61" s="147">
        <f>Imin+(Imax-Imin)*0.45</f>
        <v>0.22555</v>
      </c>
      <c r="D61" s="17">
        <f t="shared" si="10"/>
        <v>0.11217113514471976</v>
      </c>
      <c r="E61" s="17">
        <f t="shared" si="11"/>
        <v>6.0572412978148686E-2</v>
      </c>
      <c r="F61" s="17">
        <f t="shared" si="8"/>
        <v>7.5767780024876566E-2</v>
      </c>
      <c r="G61" s="17">
        <f t="shared" si="9"/>
        <v>0.21316143517203465</v>
      </c>
      <c r="H61" s="17"/>
      <c r="I61" s="16" t="s">
        <v>145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39" customFormat="1" ht="13" customHeight="1">
      <c r="A62" s="17">
        <f>IF(OR('Power Loss'!$B$17="AP63206",'Power Loss'!$B$17="AP63356"), 0, IF(A31&gt;$E$9, 0, 2/((Vin-Vout)*Vout/(2*Vin*Lout*0.000001*($E$9-A31)))))</f>
        <v>0</v>
      </c>
      <c r="B62" s="151">
        <f t="shared" si="5"/>
        <v>2000</v>
      </c>
      <c r="C62" s="147">
        <f>Imin+(Imax-Imin)*0.5</f>
        <v>0.2505</v>
      </c>
      <c r="D62" s="17">
        <f t="shared" si="10"/>
        <v>0.1133952758545449</v>
      </c>
      <c r="E62" s="17">
        <f t="shared" si="11"/>
        <v>6.1233448961454259E-2</v>
      </c>
      <c r="F62" s="17">
        <f t="shared" si="8"/>
        <v>8.456366560702569E-2</v>
      </c>
      <c r="G62" s="17">
        <f t="shared" si="9"/>
        <v>0.236456545123509</v>
      </c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39" customFormat="1" ht="13" customHeight="1">
      <c r="A63" s="17">
        <f>IF(OR('Power Loss'!$B$17="AP63206",'Power Loss'!$B$17="AP63356"), 0, IF(A32&gt;$E$9, 0, 2/((Vin-Vout)*Vout/(2*Vin*Lout*0.000001*($E$9-A32)))))</f>
        <v>0</v>
      </c>
      <c r="B63" s="151">
        <f t="shared" si="5"/>
        <v>2000</v>
      </c>
      <c r="C63" s="147">
        <f>Imin+(Imax-Imin)*0.55</f>
        <v>0.27545000000000003</v>
      </c>
      <c r="D63" s="17">
        <f t="shared" si="10"/>
        <v>0.11462159284209757</v>
      </c>
      <c r="E63" s="17">
        <f t="shared" si="11"/>
        <v>6.1895660134732702E-2</v>
      </c>
      <c r="F63" s="17">
        <f t="shared" si="8"/>
        <v>9.3451825301226185E-2</v>
      </c>
      <c r="G63" s="17">
        <f t="shared" si="9"/>
        <v>0.25972815578952668</v>
      </c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39" customFormat="1" ht="13" customHeight="1">
      <c r="A64" s="17">
        <f>IF(OR('Power Loss'!$B$17="AP63206",'Power Loss'!$B$17="AP63356"), 0, IF(A33&gt;$E$9, 0, 2/((Vin-Vout)*Vout/(2*Vin*Lout*0.000001*($E$9-A33)))))</f>
        <v>0</v>
      </c>
      <c r="B64" s="151">
        <f t="shared" si="5"/>
        <v>2000</v>
      </c>
      <c r="C64" s="147">
        <f>Imin+(Imax-Imin)*0.6</f>
        <v>0.3004</v>
      </c>
      <c r="D64" s="17">
        <f t="shared" si="10"/>
        <v>0.11585009191602193</v>
      </c>
      <c r="E64" s="17">
        <f t="shared" si="11"/>
        <v>6.255904963465185E-2</v>
      </c>
      <c r="F64" s="17">
        <f t="shared" si="8"/>
        <v>0.10243101943295731</v>
      </c>
      <c r="G64" s="17">
        <f t="shared" si="9"/>
        <v>0.28297381942892008</v>
      </c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30" s="39" customFormat="1" ht="13" customHeight="1">
      <c r="A65" s="17">
        <f>IF(OR('Power Loss'!$B$17="AP63206",'Power Loss'!$B$17="AP63356"), 0, IF(A34&gt;$E$9, 0, 2/((Vin-Vout)*Vout/(2*Vin*Lout*0.000001*($E$9-A34)))))</f>
        <v>0</v>
      </c>
      <c r="B65" s="151">
        <f t="shared" si="5"/>
        <v>2000</v>
      </c>
      <c r="C65" s="147">
        <f>Imin+(Imax-Imin)*0.65</f>
        <v>0.32535000000000003</v>
      </c>
      <c r="D65" s="17">
        <f t="shared" si="10"/>
        <v>0.11708077890565208</v>
      </c>
      <c r="E65" s="17">
        <f t="shared" si="11"/>
        <v>6.3223620609052136E-2</v>
      </c>
      <c r="F65" s="17">
        <f t="shared" si="8"/>
        <v>0.11150025719528298</v>
      </c>
      <c r="G65" s="17">
        <f t="shared" si="9"/>
        <v>0.3061917982718711</v>
      </c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30" s="39" customFormat="1" ht="13" customHeight="1">
      <c r="A66" s="17">
        <f>IF(OR('Power Loss'!$B$17="AP63206",'Power Loss'!$B$17="AP63356"), 0, IF(A35&gt;$E$9, 0, 2/((Vin-Vout)*Vout/(2*Vin*Lout*0.000001*($E$9-A35)))))</f>
        <v>0</v>
      </c>
      <c r="B66" s="151">
        <f t="shared" si="5"/>
        <v>2000</v>
      </c>
      <c r="C66" s="147">
        <f>Imin+(Imax-Imin)*0.7</f>
        <v>0.3503</v>
      </c>
      <c r="D66" s="17">
        <f t="shared" si="10"/>
        <v>0.1183136596611043</v>
      </c>
      <c r="E66" s="17">
        <f t="shared" si="11"/>
        <v>6.3889376216996335E-2</v>
      </c>
      <c r="F66" s="17">
        <f t="shared" si="8"/>
        <v>0.12065871179963929</v>
      </c>
      <c r="G66" s="17">
        <f t="shared" si="9"/>
        <v>0.32938081248452827</v>
      </c>
      <c r="H66" s="1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40"/>
      <c r="Y66" s="40"/>
      <c r="Z66" s="40"/>
      <c r="AA66" s="40"/>
      <c r="AB66" s="40"/>
      <c r="AC66" s="40"/>
      <c r="AD66" s="40"/>
    </row>
    <row r="67" spans="1:30" s="39" customFormat="1" ht="13" customHeight="1">
      <c r="A67" s="17">
        <f>IF(OR('Power Loss'!$B$17="AP63206",'Power Loss'!$B$17="AP63356"), 0, IF(A36&gt;$E$9, 0, 2/((Vin-Vout)*Vout/(2*Vin*Lout*0.000001*($E$9-A36)))))</f>
        <v>0</v>
      </c>
      <c r="B67" s="151">
        <f t="shared" si="5"/>
        <v>2000</v>
      </c>
      <c r="C67" s="147">
        <f>Imin+(Imax-Imin)*0.75</f>
        <v>0.37524999999999997</v>
      </c>
      <c r="D67" s="17">
        <f t="shared" si="10"/>
        <v>0.11954874005336988</v>
      </c>
      <c r="E67" s="17">
        <f t="shared" si="11"/>
        <v>6.4556319628819747E-2</v>
      </c>
      <c r="F67" s="17">
        <f t="shared" si="8"/>
        <v>0.12990566921843916</v>
      </c>
      <c r="G67" s="17">
        <f t="shared" si="9"/>
        <v>0.35253988824705257</v>
      </c>
      <c r="H67" s="17"/>
      <c r="I67" s="31" t="s">
        <v>130</v>
      </c>
      <c r="J67" s="31" t="s">
        <v>132</v>
      </c>
      <c r="K67" s="31" t="s">
        <v>134</v>
      </c>
      <c r="L67" s="31" t="s">
        <v>136</v>
      </c>
      <c r="M67" s="31" t="s">
        <v>138</v>
      </c>
      <c r="N67" s="31" t="s">
        <v>140</v>
      </c>
      <c r="O67" s="31" t="s">
        <v>142</v>
      </c>
      <c r="P67" s="31" t="s">
        <v>144</v>
      </c>
      <c r="Q67" s="31" t="s">
        <v>41</v>
      </c>
      <c r="R67" s="31"/>
      <c r="S67" s="31"/>
      <c r="T67" s="31"/>
      <c r="U67" s="31"/>
      <c r="V67" s="31"/>
      <c r="W67" s="31"/>
      <c r="X67" s="40"/>
      <c r="Y67" s="40"/>
      <c r="Z67" s="40"/>
      <c r="AA67" s="40"/>
      <c r="AB67" s="40"/>
      <c r="AC67" s="40"/>
      <c r="AD67" s="40"/>
    </row>
    <row r="68" spans="1:30" s="39" customFormat="1" ht="13" customHeight="1">
      <c r="A68" s="17">
        <f>IF(OR('Power Loss'!$B$17="AP63206",'Power Loss'!$B$17="AP63356"), 0, IF(A37&gt;$E$9, 0, 2/((Vin-Vout)*Vout/(2*Vin*Lout*0.000001*($E$9-A37)))))</f>
        <v>0</v>
      </c>
      <c r="B68" s="151">
        <f t="shared" si="5"/>
        <v>2000</v>
      </c>
      <c r="C68" s="147">
        <f>Imin+(Imax-Imin)*0.8</f>
        <v>0.4002</v>
      </c>
      <c r="D68" s="17">
        <f t="shared" si="10"/>
        <v>0.12078602597440809</v>
      </c>
      <c r="E68" s="17">
        <f t="shared" si="11"/>
        <v>6.5224454026180378E-2</v>
      </c>
      <c r="F68" s="17">
        <f t="shared" si="8"/>
        <v>0.13924049592976426</v>
      </c>
      <c r="G68" s="17">
        <f t="shared" si="9"/>
        <v>0.3756682624472702</v>
      </c>
      <c r="H68" s="17"/>
      <c r="I68" s="31">
        <f>2*Ron_u*0.001*'Efficiency Summary'!B68*'Efficiency Summary'!$B$44*Vout/(3*Vin)</f>
        <v>78252.151898734184</v>
      </c>
      <c r="J68" s="99">
        <f>+B68*(Vout*(Vin-Vout)/('Efficiency Summary'!$B$44*Lout*0.000001))*'Power Loss'!$B$53*0.000000001</f>
        <v>4.550400000000001E-2</v>
      </c>
      <c r="K68" s="31">
        <f>+'Power Loss'!$B$50*0.000000001*Vin^2*2*'Efficiency Summary'!B68*Vout*(Vin-Vout)/(Lout*0.000001*'Power Loss'!$B$79*'Efficiency Summary'!$B$44^2)</f>
        <v>1.1164891684136967E-5</v>
      </c>
      <c r="L68" s="31">
        <f>2*Ron_l*0.001*'Efficiency Summary'!$B$46*'Efficiency Summary'!$B$44*(Vin-Vout)/(3*Vin)</f>
        <v>125281.30381522185</v>
      </c>
      <c r="M68" s="31">
        <f>+'Power Loss'!$B$67*0.000000001*Vin^2*2*'Efficiency Summary'!B68*Vout*(Vin-Vout)/(Lout*0.000001*'Power Loss'!$B$79*'Efficiency Summary'!$B$44^2)</f>
        <v>2.2006831955922867E-5</v>
      </c>
      <c r="N68" s="31">
        <f>+$K$44*$K$45*0.000000001*2*B68*Vout*(Vin-Vout)/('Efficiency Summary'!$B$44^2*Lout*0.000001*Vin)</f>
        <v>4.6229629629629627E-6</v>
      </c>
      <c r="O68" s="31">
        <f>+ESR*0.001*B68*$B$44/(6*ncap)</f>
        <v>1139.2405063291139</v>
      </c>
      <c r="P68" s="31">
        <f>+$K$46*0.000001*(1+20*B68)*Vin</f>
        <v>38.400959999999998</v>
      </c>
      <c r="Q68" s="99">
        <f>+B68*Vout*100/(Vout*'Efficiency Summary'!B68+SUM('Efficiency Summary'!G68:P68))</f>
        <v>1.1587960045161416</v>
      </c>
      <c r="R68" s="31"/>
      <c r="S68" s="31"/>
      <c r="T68" s="31"/>
      <c r="U68" s="31"/>
      <c r="V68" s="31"/>
      <c r="W68" s="31"/>
      <c r="X68" s="40"/>
      <c r="Y68" s="40"/>
      <c r="Z68" s="40"/>
      <c r="AA68" s="40"/>
      <c r="AB68" s="40"/>
      <c r="AC68" s="40"/>
      <c r="AD68" s="40"/>
    </row>
    <row r="69" spans="1:30" s="39" customFormat="1" ht="13" customHeight="1">
      <c r="A69" s="17">
        <f>IF(OR('Power Loss'!$B$17="AP63206",'Power Loss'!$B$17="AP63356"), 0, IF(A38&gt;$E$9, 0, 2/((Vin-Vout)*Vout/(2*Vin*Lout*0.000001*($E$9-A38)))))</f>
        <v>0</v>
      </c>
      <c r="B69" s="151">
        <f t="shared" si="5"/>
        <v>2000</v>
      </c>
      <c r="C69" s="147">
        <f>Imin+(Imax-Imin)*0.85</f>
        <v>0.42514999999999997</v>
      </c>
      <c r="D69" s="17">
        <f t="shared" si="10"/>
        <v>0.12202552333724005</v>
      </c>
      <c r="E69" s="17">
        <f t="shared" si="11"/>
        <v>6.5893782602109638E-2</v>
      </c>
      <c r="F69" s="17">
        <f t="shared" si="8"/>
        <v>0.14866261789271931</v>
      </c>
      <c r="G69" s="17">
        <f t="shared" si="9"/>
        <v>0.39876532082176419</v>
      </c>
      <c r="H69" s="17"/>
      <c r="I69" s="31">
        <f>2*Ron_u*0.001*'Efficiency Summary'!B69*'Efficiency Summary'!$B$44*Vout/(3*Vin)</f>
        <v>78252.151898734184</v>
      </c>
      <c r="J69" s="99">
        <f>+B69*(Vout*(Vin-Vout)/('Efficiency Summary'!$B$44*Lout*0.000001))*'Power Loss'!$B$53*0.000000001</f>
        <v>4.550400000000001E-2</v>
      </c>
      <c r="K69" s="31">
        <f>+'Power Loss'!$B$50*0.000000001*Vin^2*2*'Efficiency Summary'!B69*Vout*(Vin-Vout)/(Lout*0.000001*'Power Loss'!$B$79*'Efficiency Summary'!$B$44^2)</f>
        <v>1.1164891684136967E-5</v>
      </c>
      <c r="L69" s="31">
        <f>2*Ron_l*0.001*'Efficiency Summary'!$B$46*'Efficiency Summary'!$B$44*(Vin-Vout)/(3*Vin)</f>
        <v>125281.30381522185</v>
      </c>
      <c r="M69" s="31">
        <f>+'Power Loss'!$B$67*0.000000001*Vin^2*2*'Efficiency Summary'!B69*Vout*(Vin-Vout)/(Lout*0.000001*'Power Loss'!$B$79*'Efficiency Summary'!$B$44^2)</f>
        <v>2.2006831955922867E-5</v>
      </c>
      <c r="N69" s="31">
        <f>+$K$44*$K$45*0.000000001*2*B69*Vout*(Vin-Vout)/('Efficiency Summary'!$B$44^2*Lout*0.000001*Vin)</f>
        <v>4.6229629629629627E-6</v>
      </c>
      <c r="O69" s="31">
        <f>+ESR*0.001*B69*$B$44/(6*ncap)</f>
        <v>1139.2405063291139</v>
      </c>
      <c r="P69" s="31">
        <f>+$K$46*0.000001*(1+20*B69)*Vin</f>
        <v>38.400959999999998</v>
      </c>
      <c r="Q69" s="99">
        <f>+B69*Vout*100/(Vout*'Efficiency Summary'!B69+SUM('Efficiency Summary'!G69:P69))</f>
        <v>1.1587958752873271</v>
      </c>
      <c r="R69" s="31"/>
      <c r="S69" s="31"/>
      <c r="T69" s="31"/>
      <c r="U69" s="31"/>
      <c r="V69" s="31"/>
      <c r="W69" s="31"/>
      <c r="X69" s="40"/>
      <c r="Y69" s="40"/>
      <c r="Z69" s="40"/>
      <c r="AA69" s="40"/>
      <c r="AB69" s="40"/>
      <c r="AC69" s="40"/>
      <c r="AD69" s="40"/>
    </row>
    <row r="70" spans="1:30" s="39" customFormat="1" ht="13" customHeight="1">
      <c r="A70" s="17">
        <f>IF(OR('Power Loss'!$B$17="AP63206",'Power Loss'!$B$17="AP63356"), 0, IF(A39&gt;$E$9, 0, 2/((Vin-Vout)*Vout/(2*Vin*Lout*0.000001*($E$9-A39)))))</f>
        <v>0</v>
      </c>
      <c r="B70" s="151">
        <f t="shared" si="5"/>
        <v>2000</v>
      </c>
      <c r="C70" s="147">
        <f>Imin+(Imax-Imin)*0.9</f>
        <v>0.4501</v>
      </c>
      <c r="D70" s="17">
        <f t="shared" si="10"/>
        <v>0.12326723807604284</v>
      </c>
      <c r="E70" s="17">
        <f t="shared" si="11"/>
        <v>6.6564308561063157E-2</v>
      </c>
      <c r="F70" s="17">
        <f t="shared" si="8"/>
        <v>0.15817150641439487</v>
      </c>
      <c r="G70" s="17">
        <f t="shared" si="9"/>
        <v>0.42183055660986124</v>
      </c>
      <c r="H70" s="17"/>
      <c r="I70" s="31">
        <f>2*Ron_u*0.001*'Efficiency Summary'!B70*'Efficiency Summary'!$B$44*Vout/(3*Vin)</f>
        <v>78252.151898734184</v>
      </c>
      <c r="J70" s="99">
        <f>+B70*(Vout*(Vin-Vout)/('Efficiency Summary'!$B$44*Lout*0.000001))*'Power Loss'!$B$53*0.000000001</f>
        <v>4.550400000000001E-2</v>
      </c>
      <c r="K70" s="31">
        <f>+'Power Loss'!$B$50*0.000000001*Vin^2*2*'Efficiency Summary'!B70*Vout*(Vin-Vout)/(Lout*0.000001*'Power Loss'!$B$79*'Efficiency Summary'!$B$44^2)</f>
        <v>1.1164891684136967E-5</v>
      </c>
      <c r="L70" s="31">
        <f>2*Ron_l*0.001*'Efficiency Summary'!$B$46*'Efficiency Summary'!$B$44*(Vin-Vout)/(3*Vin)</f>
        <v>125281.30381522185</v>
      </c>
      <c r="M70" s="31">
        <f>+'Power Loss'!$B$67*0.000000001*Vin^2*2*'Efficiency Summary'!B70*Vout*(Vin-Vout)/(Lout*0.000001*'Power Loss'!$B$79*'Efficiency Summary'!$B$44^2)</f>
        <v>2.2006831955922867E-5</v>
      </c>
      <c r="N70" s="31">
        <f>+$K$44*$K$45*0.000000001*2*B70*Vout*(Vin-Vout)/('Efficiency Summary'!$B$44^2*Lout*0.000001*Vin)</f>
        <v>4.6229629629629627E-6</v>
      </c>
      <c r="O70" s="31">
        <f>+ESR*0.001*B70*$B$44/(6*ncap)</f>
        <v>1139.2405063291139</v>
      </c>
      <c r="P70" s="31">
        <f>+$K$46*0.000001*(1+20*B70)*Vin</f>
        <v>38.400959999999998</v>
      </c>
      <c r="Q70" s="99">
        <f>+B70*Vout*100/(Vout*'Efficiency Summary'!B70+SUM('Efficiency Summary'!G70:P70))</f>
        <v>1.1587957462365899</v>
      </c>
      <c r="R70" s="31"/>
      <c r="S70" s="31"/>
      <c r="T70" s="31"/>
      <c r="U70" s="31"/>
      <c r="V70" s="31"/>
      <c r="W70" s="31"/>
      <c r="X70" s="40"/>
      <c r="Y70" s="40"/>
      <c r="Z70" s="40"/>
      <c r="AA70" s="40"/>
      <c r="AB70" s="40"/>
      <c r="AC70" s="40"/>
      <c r="AD70" s="40"/>
    </row>
    <row r="71" spans="1:30" s="39" customFormat="1" ht="13" customHeight="1">
      <c r="A71" s="17">
        <f>IF(OR('Power Loss'!$B$17="AP63206",'Power Loss'!$B$17="AP63356"), 0, IF(A40&gt;$E$9, 0, 2/((Vin-Vout)*Vout/(2*Vin*Lout*0.000001*($E$9-A40)))))</f>
        <v>0</v>
      </c>
      <c r="B71" s="151">
        <f t="shared" si="5"/>
        <v>2000</v>
      </c>
      <c r="C71" s="147">
        <f>Imin+(Imax-Imin)*0.95</f>
        <v>0.47504999999999997</v>
      </c>
      <c r="D71" s="17">
        <f t="shared" si="10"/>
        <v>0.12451117614624421</v>
      </c>
      <c r="E71" s="17">
        <f t="shared" si="11"/>
        <v>6.7236035118971901E-2</v>
      </c>
      <c r="F71" s="17">
        <f t="shared" si="8"/>
        <v>0.1677666683858941</v>
      </c>
      <c r="G71" s="17">
        <f t="shared" si="9"/>
        <v>0.44486354220169666</v>
      </c>
      <c r="H71" s="17"/>
      <c r="I71" s="31">
        <f>2*Ron_u*0.001*'Efficiency Summary'!B71*'Efficiency Summary'!$B$44*Vout/(3*Vin)</f>
        <v>78252.151898734184</v>
      </c>
      <c r="J71" s="99">
        <f>+B71*(Vout*(Vin-Vout)/('Efficiency Summary'!$B$44*Lout*0.000001))*'Power Loss'!$B$53*0.000000001</f>
        <v>4.550400000000001E-2</v>
      </c>
      <c r="K71" s="31">
        <f>+'Power Loss'!$B$50*0.000000001*Vin^2*2*'Efficiency Summary'!B71*Vout*(Vin-Vout)/(Lout*0.000001*'Power Loss'!$B$79*'Efficiency Summary'!$B$44^2)</f>
        <v>1.1164891684136967E-5</v>
      </c>
      <c r="L71" s="31">
        <f>2*Ron_l*0.001*'Efficiency Summary'!$B$46*'Efficiency Summary'!$B$44*(Vin-Vout)/(3*Vin)</f>
        <v>125281.30381522185</v>
      </c>
      <c r="M71" s="31">
        <f>+'Power Loss'!$B$67*0.000000001*Vin^2*2*'Efficiency Summary'!B71*Vout*(Vin-Vout)/(Lout*0.000001*'Power Loss'!$B$79*'Efficiency Summary'!$B$44^2)</f>
        <v>2.2006831955922867E-5</v>
      </c>
      <c r="N71" s="31">
        <f>+$K$44*$K$45*0.000000001*2*B71*Vout*(Vin-Vout)/('Efficiency Summary'!$B$44^2*Lout*0.000001*Vin)</f>
        <v>4.6229629629629627E-6</v>
      </c>
      <c r="O71" s="31">
        <f>+ESR*0.001*B71*$B$44/(6*ncap)</f>
        <v>1139.2405063291139</v>
      </c>
      <c r="P71" s="31">
        <f>+$K$46*0.000001*(1+20*B71)*Vin</f>
        <v>38.400959999999998</v>
      </c>
      <c r="Q71" s="99">
        <f>+B71*Vout*100/(Vout*'Efficiency Summary'!B71+SUM('Efficiency Summary'!G71:P71))</f>
        <v>1.1587956173663221</v>
      </c>
      <c r="R71" s="31"/>
      <c r="S71" s="31"/>
      <c r="T71" s="31"/>
      <c r="U71" s="31"/>
      <c r="V71" s="31"/>
      <c r="W71" s="31"/>
      <c r="X71" s="40"/>
      <c r="Y71" s="40"/>
      <c r="Z71" s="40"/>
      <c r="AA71" s="40"/>
      <c r="AB71" s="40"/>
      <c r="AC71" s="40"/>
      <c r="AD71" s="40"/>
    </row>
    <row r="72" spans="1:30" s="39" customFormat="1" ht="13" customHeight="1">
      <c r="A72" s="17">
        <f>IF(OR('Power Loss'!$B$17="AP63206",'Power Loss'!$B$17="AP63356"), 0, IF(A41&gt;$E$9, 0, 2/((Vin-Vout)*Vout/(2*Vin*Lout*0.000001*($E$9-A41)))))</f>
        <v>0</v>
      </c>
      <c r="B72" s="151">
        <f t="shared" si="5"/>
        <v>2000</v>
      </c>
      <c r="C72" s="147">
        <f>Imin+(Imax-Imin)*1</f>
        <v>0.5</v>
      </c>
      <c r="D72" s="17">
        <f t="shared" si="10"/>
        <v>9.9999999999999992E-2</v>
      </c>
      <c r="E72" s="17">
        <f>(Vin-Vout)/Lout/10^(-6)*D72/Fs/10^3</f>
        <v>5.4000000000000006E-2</v>
      </c>
      <c r="F72" s="17">
        <f t="shared" si="8"/>
        <v>0.15819070769169724</v>
      </c>
      <c r="G72" s="17">
        <f t="shared" si="9"/>
        <v>0.47457212307509167</v>
      </c>
      <c r="H72" s="17"/>
      <c r="I72" s="31">
        <f>2*Ron_u*0.001*'Efficiency Summary'!B72*'Efficiency Summary'!$B$44*Vout/(3*Vin)</f>
        <v>78252.151898734184</v>
      </c>
      <c r="J72" s="99">
        <f>+B72*(Vout*(Vin-Vout)/('Efficiency Summary'!$B$44*Lout*0.000001))*'Power Loss'!$B$53*0.000000001</f>
        <v>4.550400000000001E-2</v>
      </c>
      <c r="K72" s="31">
        <f>+'Power Loss'!$B$50*0.000000001*Vin^2*2*'Efficiency Summary'!B72*Vout*(Vin-Vout)/(Lout*0.000001*'Power Loss'!$B$79*'Efficiency Summary'!$B$44^2)</f>
        <v>1.1164891684136967E-5</v>
      </c>
      <c r="L72" s="31">
        <f>2*Ron_l*0.001*'Efficiency Summary'!$B$46*'Efficiency Summary'!$B$44*(Vin-Vout)/(3*Vin)</f>
        <v>125281.30381522185</v>
      </c>
      <c r="M72" s="31">
        <f>+'Power Loss'!$B$67*0.000000001*Vin^2*2*'Efficiency Summary'!B72*Vout*(Vin-Vout)/(Lout*0.000001*'Power Loss'!$B$79*'Efficiency Summary'!$B$44^2)</f>
        <v>2.2006831955922867E-5</v>
      </c>
      <c r="N72" s="31">
        <f>+$K$44*$K$45*0.000000001*2*B72*Vout*(Vin-Vout)/('Efficiency Summary'!$B$44^2*Lout*0.000001*Vin)</f>
        <v>4.6229629629629627E-6</v>
      </c>
      <c r="O72" s="31">
        <f>+ESR*0.001*B72*$B$44/(6*ncap)</f>
        <v>1139.2405063291139</v>
      </c>
      <c r="P72" s="31">
        <f>+$K$46*0.000001*(1+20*B72)*Vin</f>
        <v>38.400959999999998</v>
      </c>
      <c r="Q72" s="99">
        <f>+B72*Vout*100/(Vout*'Efficiency Summary'!B72+SUM('Efficiency Summary'!G72:P72))</f>
        <v>1.1587954511459346</v>
      </c>
      <c r="R72" s="31"/>
      <c r="S72" s="31"/>
      <c r="T72" s="31"/>
      <c r="U72" s="31"/>
      <c r="V72" s="31"/>
      <c r="W72" s="31"/>
      <c r="X72" s="40"/>
      <c r="Y72" s="40"/>
      <c r="Z72" s="40"/>
      <c r="AA72" s="40"/>
      <c r="AB72" s="40"/>
      <c r="AC72" s="40"/>
      <c r="AD72" s="40"/>
    </row>
    <row r="73" spans="1:30" s="39" customFormat="1" ht="13" customHeight="1">
      <c r="A73" s="31"/>
      <c r="B73" s="31"/>
      <c r="C73" s="99"/>
      <c r="D73" s="99"/>
      <c r="E73" s="99"/>
      <c r="F73" s="99"/>
      <c r="G73" s="99"/>
      <c r="H73" s="99"/>
      <c r="I73" s="31"/>
      <c r="J73" s="99"/>
      <c r="K73" s="31"/>
      <c r="L73" s="31"/>
      <c r="M73" s="31"/>
      <c r="N73" s="31"/>
      <c r="O73" s="31"/>
      <c r="P73" s="31"/>
      <c r="Q73" s="99"/>
      <c r="R73" s="31"/>
      <c r="S73" s="31"/>
      <c r="T73" s="31"/>
      <c r="U73" s="31"/>
      <c r="V73" s="31"/>
      <c r="W73" s="31"/>
      <c r="X73" s="40"/>
      <c r="Y73" s="40"/>
      <c r="Z73" s="40"/>
      <c r="AA73" s="40"/>
      <c r="AB73" s="40"/>
      <c r="AC73" s="40"/>
      <c r="AD73" s="40"/>
    </row>
    <row r="74" spans="1:30" s="39" customFormat="1" ht="13" customHeight="1">
      <c r="A74" s="31"/>
      <c r="B74" s="31"/>
      <c r="C74" s="99"/>
      <c r="D74" s="99"/>
      <c r="E74" s="99"/>
      <c r="F74" s="99"/>
      <c r="G74" s="99"/>
      <c r="H74" s="99"/>
      <c r="I74" s="31"/>
      <c r="J74" s="99"/>
      <c r="K74" s="31"/>
      <c r="L74" s="31"/>
      <c r="M74" s="31"/>
      <c r="N74" s="31"/>
      <c r="O74" s="31"/>
      <c r="P74" s="31"/>
      <c r="Q74" s="99"/>
      <c r="R74" s="31"/>
      <c r="S74" s="31"/>
      <c r="T74" s="31"/>
      <c r="U74" s="31"/>
      <c r="V74" s="31"/>
      <c r="W74" s="31"/>
      <c r="X74" s="40"/>
      <c r="Y74" s="40"/>
      <c r="Z74" s="40"/>
      <c r="AA74" s="40"/>
      <c r="AB74" s="40"/>
      <c r="AC74" s="40"/>
      <c r="AD74" s="40"/>
    </row>
    <row r="75" spans="1:30" s="39" customFormat="1" ht="13" customHeight="1">
      <c r="A75" s="31"/>
      <c r="B75" s="31"/>
      <c r="C75" s="99"/>
      <c r="D75" s="99"/>
      <c r="E75" s="99"/>
      <c r="F75" s="99"/>
      <c r="G75" s="99"/>
      <c r="H75" s="99"/>
      <c r="I75" s="31"/>
      <c r="J75" s="99"/>
      <c r="K75" s="31"/>
      <c r="L75" s="31"/>
      <c r="M75" s="31"/>
      <c r="N75" s="31"/>
      <c r="O75" s="31"/>
      <c r="P75" s="31"/>
      <c r="Q75" s="99"/>
      <c r="R75" s="31"/>
      <c r="S75" s="31"/>
      <c r="T75" s="31"/>
      <c r="U75" s="31"/>
      <c r="V75" s="31"/>
      <c r="W75" s="31"/>
      <c r="X75" s="40"/>
      <c r="Y75" s="40"/>
      <c r="Z75" s="40"/>
      <c r="AA75" s="40"/>
      <c r="AB75" s="40"/>
      <c r="AC75" s="40"/>
      <c r="AD75" s="40"/>
    </row>
    <row r="76" spans="1:30" s="39" customFormat="1" ht="13" customHeight="1">
      <c r="A76" s="31"/>
      <c r="B76" s="31"/>
      <c r="C76" s="99"/>
      <c r="D76" s="99"/>
      <c r="E76" s="99"/>
      <c r="F76" s="99"/>
      <c r="G76" s="99"/>
      <c r="H76" s="99"/>
      <c r="I76" s="31"/>
      <c r="J76" s="99"/>
      <c r="K76" s="31"/>
      <c r="L76" s="31"/>
      <c r="M76" s="31"/>
      <c r="N76" s="31"/>
      <c r="O76" s="31"/>
      <c r="P76" s="31"/>
      <c r="Q76" s="99"/>
      <c r="R76" s="31"/>
      <c r="S76" s="31"/>
      <c r="T76" s="31"/>
      <c r="U76" s="31"/>
      <c r="V76" s="31"/>
      <c r="W76" s="31"/>
      <c r="X76" s="40"/>
      <c r="Y76" s="40"/>
      <c r="Z76" s="40"/>
      <c r="AA76" s="40"/>
      <c r="AB76" s="40"/>
      <c r="AC76" s="40"/>
      <c r="AD76" s="40"/>
    </row>
    <row r="77" spans="1:30" s="39" customFormat="1" ht="13" customHeight="1">
      <c r="A77" s="31"/>
      <c r="B77" s="31"/>
      <c r="C77" s="99"/>
      <c r="D77" s="99"/>
      <c r="E77" s="99"/>
      <c r="F77" s="99"/>
      <c r="G77" s="99"/>
      <c r="H77" s="99"/>
      <c r="I77" s="31"/>
      <c r="J77" s="99"/>
      <c r="K77" s="31"/>
      <c r="L77" s="31"/>
      <c r="M77" s="31"/>
      <c r="N77" s="31"/>
      <c r="O77" s="31"/>
      <c r="P77" s="31"/>
      <c r="Q77" s="99"/>
      <c r="R77" s="31"/>
      <c r="S77" s="31"/>
      <c r="T77" s="31"/>
      <c r="U77" s="31"/>
      <c r="V77" s="31"/>
      <c r="W77" s="31"/>
      <c r="X77" s="40"/>
      <c r="Y77" s="40"/>
      <c r="Z77" s="40"/>
      <c r="AA77" s="40"/>
      <c r="AB77" s="40"/>
      <c r="AC77" s="40"/>
      <c r="AD77" s="40"/>
    </row>
    <row r="78" spans="1:30" s="39" customFormat="1" ht="13" customHeight="1">
      <c r="A78" s="31"/>
      <c r="B78" s="31"/>
      <c r="C78" s="99"/>
      <c r="D78" s="99"/>
      <c r="E78" s="99"/>
      <c r="F78" s="99"/>
      <c r="G78" s="99"/>
      <c r="H78" s="99"/>
      <c r="I78" s="31"/>
      <c r="J78" s="99"/>
      <c r="K78" s="31"/>
      <c r="L78" s="31"/>
      <c r="M78" s="31"/>
      <c r="N78" s="31"/>
      <c r="O78" s="31"/>
      <c r="P78" s="31"/>
      <c r="Q78" s="99"/>
      <c r="R78" s="31"/>
      <c r="S78" s="31"/>
      <c r="T78" s="31"/>
      <c r="U78" s="31"/>
      <c r="V78" s="31"/>
      <c r="W78" s="31"/>
      <c r="X78" s="40"/>
      <c r="Y78" s="40"/>
      <c r="Z78" s="40"/>
      <c r="AA78" s="40"/>
      <c r="AB78" s="40"/>
      <c r="AC78" s="40"/>
      <c r="AD78" s="40"/>
    </row>
    <row r="79" spans="1:30" s="39" customFormat="1" ht="13" customHeight="1">
      <c r="A79" s="31"/>
      <c r="B79" s="31"/>
      <c r="C79" s="99"/>
      <c r="D79" s="99"/>
      <c r="E79" s="99"/>
      <c r="F79" s="99"/>
      <c r="G79" s="99"/>
      <c r="H79" s="99"/>
      <c r="I79" s="31"/>
      <c r="J79" s="99"/>
      <c r="K79" s="31"/>
      <c r="L79" s="31"/>
      <c r="M79" s="31"/>
      <c r="N79" s="31"/>
      <c r="O79" s="31"/>
      <c r="P79" s="31"/>
      <c r="Q79" s="99"/>
      <c r="R79" s="31"/>
      <c r="S79" s="31"/>
      <c r="T79" s="31"/>
      <c r="U79" s="31"/>
      <c r="V79" s="31"/>
      <c r="W79" s="31"/>
      <c r="X79" s="40"/>
      <c r="Y79" s="40"/>
      <c r="Z79" s="40"/>
      <c r="AA79" s="40"/>
      <c r="AB79" s="40"/>
      <c r="AC79" s="40"/>
      <c r="AD79" s="40"/>
    </row>
    <row r="80" spans="1:30" s="39" customFormat="1" ht="13" customHeight="1">
      <c r="A80" s="31"/>
      <c r="B80" s="31"/>
      <c r="C80" s="99"/>
      <c r="D80" s="99"/>
      <c r="E80" s="99"/>
      <c r="F80" s="99"/>
      <c r="G80" s="99"/>
      <c r="H80" s="99"/>
      <c r="I80" s="31"/>
      <c r="J80" s="99"/>
      <c r="K80" s="31"/>
      <c r="L80" s="31"/>
      <c r="M80" s="31"/>
      <c r="N80" s="31"/>
      <c r="O80" s="31"/>
      <c r="P80" s="31"/>
      <c r="Q80" s="99"/>
      <c r="R80" s="31"/>
      <c r="S80" s="31"/>
      <c r="T80" s="31"/>
      <c r="U80" s="31"/>
      <c r="V80" s="31"/>
      <c r="W80" s="31"/>
      <c r="X80" s="40"/>
      <c r="Y80" s="40"/>
      <c r="Z80" s="40"/>
      <c r="AA80" s="40"/>
      <c r="AB80" s="40"/>
      <c r="AC80" s="40"/>
      <c r="AD80" s="40"/>
    </row>
    <row r="81" spans="1:30" s="39" customFormat="1" ht="13" customHeight="1">
      <c r="A81" s="31"/>
      <c r="B81" s="31"/>
      <c r="C81" s="99"/>
      <c r="D81" s="99"/>
      <c r="E81" s="99"/>
      <c r="F81" s="99"/>
      <c r="G81" s="99"/>
      <c r="H81" s="99"/>
      <c r="I81" s="31"/>
      <c r="J81" s="99"/>
      <c r="K81" s="31"/>
      <c r="L81" s="31"/>
      <c r="M81" s="31"/>
      <c r="N81" s="31"/>
      <c r="O81" s="31"/>
      <c r="P81" s="31"/>
      <c r="Q81" s="99"/>
      <c r="R81" s="31"/>
      <c r="S81" s="31"/>
      <c r="T81" s="31"/>
      <c r="U81" s="31"/>
      <c r="V81" s="31"/>
      <c r="W81" s="31"/>
      <c r="X81" s="40"/>
      <c r="Y81" s="40"/>
      <c r="Z81" s="40"/>
      <c r="AA81" s="40"/>
      <c r="AB81" s="40"/>
      <c r="AC81" s="40"/>
      <c r="AD81" s="40"/>
    </row>
    <row r="82" spans="1:30" s="39" customFormat="1" ht="13" customHeight="1">
      <c r="A82" s="31"/>
      <c r="B82" s="31"/>
      <c r="C82" s="99"/>
      <c r="D82" s="99"/>
      <c r="E82" s="99"/>
      <c r="F82" s="99"/>
      <c r="G82" s="99"/>
      <c r="H82" s="99"/>
      <c r="I82" s="31"/>
      <c r="J82" s="99"/>
      <c r="K82" s="31"/>
      <c r="L82" s="31"/>
      <c r="M82" s="31"/>
      <c r="N82" s="31"/>
      <c r="O82" s="31"/>
      <c r="P82" s="31"/>
      <c r="Q82" s="99"/>
      <c r="R82" s="31"/>
      <c r="S82" s="31"/>
      <c r="T82" s="31"/>
      <c r="U82" s="31"/>
      <c r="V82" s="31"/>
      <c r="W82" s="31"/>
      <c r="X82" s="40"/>
      <c r="Y82" s="40"/>
      <c r="Z82" s="40"/>
      <c r="AA82" s="40"/>
      <c r="AB82" s="40"/>
      <c r="AC82" s="40"/>
      <c r="AD82" s="40"/>
    </row>
    <row r="83" spans="1:30" s="39" customFormat="1" ht="13" customHeight="1">
      <c r="A83" s="31"/>
      <c r="B83" s="31"/>
      <c r="C83" s="99"/>
      <c r="D83" s="99"/>
      <c r="E83" s="99"/>
      <c r="F83" s="99"/>
      <c r="G83" s="99"/>
      <c r="H83" s="99"/>
      <c r="I83" s="31"/>
      <c r="J83" s="99"/>
      <c r="K83" s="31"/>
      <c r="L83" s="31"/>
      <c r="M83" s="31"/>
      <c r="N83" s="31"/>
      <c r="O83" s="31"/>
      <c r="P83" s="31"/>
      <c r="Q83" s="99"/>
      <c r="R83" s="31"/>
      <c r="S83" s="31"/>
      <c r="T83" s="31"/>
      <c r="U83" s="31"/>
      <c r="V83" s="31"/>
      <c r="W83" s="31"/>
      <c r="X83" s="40"/>
      <c r="Y83" s="40"/>
      <c r="Z83" s="40"/>
      <c r="AA83" s="40"/>
      <c r="AB83" s="40"/>
      <c r="AC83" s="40"/>
      <c r="AD83" s="40"/>
    </row>
    <row r="84" spans="1:30" s="39" customFormat="1" ht="13" customHeight="1">
      <c r="A84" s="31"/>
      <c r="B84" s="31"/>
      <c r="C84" s="99"/>
      <c r="D84" s="99"/>
      <c r="E84" s="99"/>
      <c r="F84" s="99"/>
      <c r="G84" s="99"/>
      <c r="H84" s="99"/>
      <c r="I84" s="31"/>
      <c r="J84" s="99"/>
      <c r="K84" s="31"/>
      <c r="L84" s="31"/>
      <c r="M84" s="31"/>
      <c r="N84" s="31"/>
      <c r="O84" s="31"/>
      <c r="P84" s="31"/>
      <c r="Q84" s="99"/>
      <c r="R84" s="31"/>
      <c r="S84" s="31"/>
      <c r="T84" s="31"/>
      <c r="U84" s="31"/>
      <c r="V84" s="31"/>
      <c r="W84" s="31"/>
      <c r="X84" s="40"/>
      <c r="Y84" s="40"/>
      <c r="Z84" s="40"/>
      <c r="AA84" s="40"/>
      <c r="AB84" s="40"/>
      <c r="AC84" s="40"/>
      <c r="AD84" s="40"/>
    </row>
    <row r="85" spans="1:30" s="39" customFormat="1" ht="13" customHeight="1">
      <c r="A85" s="31"/>
      <c r="B85" s="31"/>
      <c r="C85" s="99"/>
      <c r="D85" s="99"/>
      <c r="E85" s="99"/>
      <c r="F85" s="99"/>
      <c r="G85" s="99"/>
      <c r="H85" s="99"/>
      <c r="I85" s="31"/>
      <c r="J85" s="99"/>
      <c r="K85" s="31"/>
      <c r="L85" s="31"/>
      <c r="M85" s="31"/>
      <c r="N85" s="31"/>
      <c r="O85" s="31"/>
      <c r="P85" s="31"/>
      <c r="Q85" s="99"/>
      <c r="R85" s="31"/>
      <c r="S85" s="31"/>
      <c r="T85" s="31"/>
      <c r="U85" s="31"/>
      <c r="V85" s="31"/>
      <c r="W85" s="31"/>
      <c r="X85" s="40"/>
      <c r="Y85" s="40"/>
      <c r="Z85" s="40"/>
      <c r="AA85" s="40"/>
      <c r="AB85" s="40"/>
      <c r="AC85" s="40"/>
      <c r="AD85" s="40"/>
    </row>
    <row r="86" spans="1:30" s="39" customFormat="1" ht="13" customHeight="1">
      <c r="A86" s="31"/>
      <c r="B86" s="31"/>
      <c r="C86" s="99"/>
      <c r="D86" s="99"/>
      <c r="E86" s="99"/>
      <c r="F86" s="99"/>
      <c r="G86" s="99"/>
      <c r="H86" s="99"/>
      <c r="I86" s="31"/>
      <c r="J86" s="99"/>
      <c r="K86" s="31"/>
      <c r="L86" s="31"/>
      <c r="M86" s="31"/>
      <c r="N86" s="31"/>
      <c r="O86" s="31"/>
      <c r="P86" s="31"/>
      <c r="Q86" s="99"/>
      <c r="R86" s="31"/>
      <c r="S86" s="31"/>
      <c r="T86" s="31"/>
      <c r="U86" s="31"/>
      <c r="V86" s="31"/>
      <c r="W86" s="31"/>
      <c r="X86" s="40"/>
      <c r="Y86" s="40"/>
      <c r="Z86" s="40"/>
      <c r="AA86" s="40"/>
      <c r="AB86" s="40"/>
      <c r="AC86" s="40"/>
      <c r="AD86" s="40"/>
    </row>
    <row r="87" spans="1:30" s="39" customFormat="1" ht="13" customHeight="1">
      <c r="A87" s="31"/>
      <c r="B87" s="31"/>
      <c r="C87" s="99"/>
      <c r="D87" s="99"/>
      <c r="E87" s="99"/>
      <c r="F87" s="99"/>
      <c r="G87" s="99"/>
      <c r="H87" s="99"/>
      <c r="I87" s="31"/>
      <c r="J87" s="99"/>
      <c r="K87" s="31"/>
      <c r="L87" s="31"/>
      <c r="M87" s="31"/>
      <c r="N87" s="31"/>
      <c r="O87" s="31"/>
      <c r="P87" s="31"/>
      <c r="Q87" s="99"/>
      <c r="R87" s="31"/>
      <c r="S87" s="31"/>
      <c r="T87" s="31"/>
      <c r="U87" s="31"/>
      <c r="V87" s="31"/>
      <c r="W87" s="31"/>
      <c r="X87" s="40"/>
      <c r="Y87" s="40"/>
      <c r="Z87" s="40"/>
      <c r="AA87" s="40"/>
      <c r="AB87" s="40"/>
      <c r="AC87" s="40"/>
      <c r="AD87" s="40"/>
    </row>
    <row r="88" spans="1:30" s="39" customFormat="1" ht="13" customHeight="1">
      <c r="A88" s="31"/>
      <c r="B88" s="31"/>
      <c r="C88" s="99"/>
      <c r="D88" s="99"/>
      <c r="E88" s="99"/>
      <c r="F88" s="99"/>
      <c r="G88" s="99"/>
      <c r="H88" s="99"/>
      <c r="I88" s="31"/>
      <c r="J88" s="99"/>
      <c r="K88" s="31"/>
      <c r="L88" s="31"/>
      <c r="M88" s="31"/>
      <c r="N88" s="31"/>
      <c r="O88" s="31"/>
      <c r="P88" s="31"/>
      <c r="Q88" s="99"/>
      <c r="R88" s="31"/>
      <c r="S88" s="31"/>
      <c r="T88" s="31"/>
      <c r="U88" s="31"/>
      <c r="V88" s="31"/>
      <c r="W88" s="31"/>
      <c r="X88" s="40"/>
      <c r="Y88" s="40"/>
      <c r="Z88" s="40"/>
      <c r="AA88" s="40"/>
      <c r="AB88" s="40"/>
      <c r="AC88" s="40"/>
      <c r="AD88" s="40"/>
    </row>
    <row r="89" spans="1:30" s="39" customFormat="1" ht="13" customHeight="1">
      <c r="A89" s="31"/>
      <c r="B89" s="31"/>
      <c r="C89" s="99"/>
      <c r="D89" s="99"/>
      <c r="E89" s="99"/>
      <c r="F89" s="99"/>
      <c r="G89" s="99"/>
      <c r="H89" s="99"/>
      <c r="I89" s="31"/>
      <c r="J89" s="99"/>
      <c r="K89" s="31"/>
      <c r="L89" s="31"/>
      <c r="M89" s="31"/>
      <c r="N89" s="31"/>
      <c r="O89" s="31"/>
      <c r="P89" s="31"/>
      <c r="Q89" s="99"/>
      <c r="R89" s="31"/>
      <c r="S89" s="31"/>
      <c r="T89" s="31"/>
      <c r="U89" s="31"/>
      <c r="V89" s="31"/>
      <c r="W89" s="31"/>
      <c r="X89" s="40"/>
      <c r="Y89" s="40"/>
      <c r="Z89" s="40"/>
      <c r="AA89" s="40"/>
      <c r="AB89" s="40"/>
      <c r="AC89" s="40"/>
      <c r="AD89" s="40"/>
    </row>
    <row r="90" spans="1:30" s="39" customFormat="1" ht="13" customHeight="1">
      <c r="A90" s="31"/>
      <c r="B90" s="31"/>
      <c r="C90" s="99"/>
      <c r="D90" s="99"/>
      <c r="E90" s="99"/>
      <c r="F90" s="99"/>
      <c r="G90" s="99"/>
      <c r="H90" s="99"/>
      <c r="I90" s="31"/>
      <c r="J90" s="99"/>
      <c r="K90" s="31"/>
      <c r="L90" s="31"/>
      <c r="M90" s="31"/>
      <c r="N90" s="31"/>
      <c r="O90" s="31"/>
      <c r="P90" s="31"/>
      <c r="Q90" s="99"/>
      <c r="R90" s="31"/>
      <c r="S90" s="31"/>
      <c r="T90" s="31"/>
      <c r="U90" s="31"/>
      <c r="V90" s="31"/>
      <c r="W90" s="31"/>
      <c r="X90" s="40"/>
      <c r="Y90" s="40"/>
      <c r="Z90" s="40"/>
      <c r="AA90" s="40"/>
      <c r="AB90" s="40"/>
      <c r="AC90" s="40"/>
      <c r="AD90" s="40"/>
    </row>
    <row r="91" spans="1:30" s="39" customFormat="1" ht="13" customHeight="1">
      <c r="A91" s="31"/>
      <c r="B91" s="31"/>
      <c r="C91" s="99"/>
      <c r="D91" s="99"/>
      <c r="E91" s="99"/>
      <c r="F91" s="99"/>
      <c r="G91" s="99"/>
      <c r="H91" s="99"/>
      <c r="I91" s="31"/>
      <c r="J91" s="99"/>
      <c r="K91" s="31"/>
      <c r="L91" s="31"/>
      <c r="M91" s="31"/>
      <c r="N91" s="31"/>
      <c r="O91" s="31"/>
      <c r="P91" s="31"/>
      <c r="Q91" s="99"/>
      <c r="R91" s="31"/>
      <c r="S91" s="31"/>
      <c r="T91" s="31"/>
      <c r="U91" s="31"/>
      <c r="V91" s="31"/>
      <c r="W91" s="31"/>
      <c r="X91" s="40"/>
      <c r="Y91" s="40"/>
      <c r="Z91" s="40"/>
      <c r="AA91" s="40"/>
      <c r="AB91" s="40"/>
      <c r="AC91" s="40"/>
      <c r="AD91" s="40"/>
    </row>
    <row r="92" spans="1:30" s="39" customFormat="1" ht="13" customHeight="1">
      <c r="A92" s="31"/>
      <c r="B92" s="31"/>
      <c r="C92" s="99"/>
      <c r="D92" s="99"/>
      <c r="E92" s="99"/>
      <c r="F92" s="99"/>
      <c r="G92" s="99"/>
      <c r="H92" s="99"/>
      <c r="I92" s="31"/>
      <c r="J92" s="99"/>
      <c r="K92" s="31"/>
      <c r="L92" s="31"/>
      <c r="M92" s="31"/>
      <c r="N92" s="31"/>
      <c r="O92" s="31"/>
      <c r="P92" s="31"/>
      <c r="Q92" s="99"/>
      <c r="R92" s="31"/>
      <c r="S92" s="31"/>
      <c r="T92" s="31"/>
      <c r="U92" s="31"/>
      <c r="V92" s="31"/>
      <c r="W92" s="31"/>
      <c r="X92" s="40"/>
      <c r="Y92" s="40"/>
      <c r="Z92" s="40"/>
      <c r="AA92" s="40"/>
      <c r="AB92" s="40"/>
      <c r="AC92" s="40"/>
      <c r="AD92" s="40"/>
    </row>
    <row r="93" spans="1:30" s="39" customFormat="1" ht="13" customHeight="1">
      <c r="A93" s="31"/>
      <c r="B93" s="31"/>
      <c r="C93" s="99"/>
      <c r="D93" s="99"/>
      <c r="E93" s="99"/>
      <c r="F93" s="99"/>
      <c r="G93" s="99"/>
      <c r="H93" s="99"/>
      <c r="I93" s="31"/>
      <c r="J93" s="99"/>
      <c r="K93" s="31"/>
      <c r="L93" s="31"/>
      <c r="M93" s="31"/>
      <c r="N93" s="31"/>
      <c r="O93" s="31"/>
      <c r="P93" s="31"/>
      <c r="Q93" s="99"/>
      <c r="R93" s="31"/>
      <c r="S93" s="31"/>
      <c r="T93" s="31"/>
      <c r="U93" s="31"/>
      <c r="V93" s="31"/>
      <c r="W93" s="31"/>
      <c r="X93" s="40"/>
      <c r="Y93" s="40"/>
      <c r="Z93" s="40"/>
      <c r="AA93" s="40"/>
      <c r="AB93" s="40"/>
      <c r="AC93" s="40"/>
      <c r="AD93" s="40"/>
    </row>
    <row r="94" spans="1:30" s="39" customFormat="1" ht="13" customHeight="1">
      <c r="A94" s="31"/>
      <c r="B94" s="31"/>
      <c r="C94" s="99"/>
      <c r="D94" s="99"/>
      <c r="E94" s="99"/>
      <c r="F94" s="99"/>
      <c r="G94" s="99"/>
      <c r="H94" s="99"/>
      <c r="I94" s="31"/>
      <c r="J94" s="99"/>
      <c r="K94" s="31"/>
      <c r="L94" s="31"/>
      <c r="M94" s="31"/>
      <c r="N94" s="31"/>
      <c r="O94" s="31"/>
      <c r="P94" s="31"/>
      <c r="Q94" s="99"/>
      <c r="R94" s="31"/>
      <c r="S94" s="31"/>
      <c r="T94" s="31"/>
      <c r="U94" s="31"/>
      <c r="V94" s="31"/>
      <c r="W94" s="31"/>
      <c r="X94" s="40"/>
      <c r="Y94" s="40"/>
      <c r="Z94" s="40"/>
      <c r="AA94" s="40"/>
      <c r="AB94" s="40"/>
      <c r="AC94" s="40"/>
      <c r="AD94" s="40"/>
    </row>
    <row r="95" spans="1:30" s="39" customFormat="1" ht="13" customHeight="1">
      <c r="A95" s="31"/>
      <c r="B95" s="31"/>
      <c r="C95" s="99"/>
      <c r="D95" s="99"/>
      <c r="E95" s="99"/>
      <c r="F95" s="99"/>
      <c r="G95" s="99"/>
      <c r="H95" s="99"/>
      <c r="I95" s="31"/>
      <c r="J95" s="99"/>
      <c r="K95" s="31"/>
      <c r="L95" s="31"/>
      <c r="M95" s="31"/>
      <c r="N95" s="31"/>
      <c r="O95" s="31"/>
      <c r="P95" s="31"/>
      <c r="Q95" s="99"/>
      <c r="R95" s="31"/>
      <c r="S95" s="31"/>
      <c r="T95" s="31"/>
      <c r="U95" s="31"/>
      <c r="V95" s="31"/>
      <c r="W95" s="31"/>
      <c r="X95" s="40"/>
      <c r="Y95" s="40"/>
      <c r="Z95" s="40"/>
      <c r="AA95" s="40"/>
      <c r="AB95" s="40"/>
      <c r="AC95" s="40"/>
      <c r="AD95" s="40"/>
    </row>
    <row r="96" spans="1:30" s="39" customFormat="1" ht="13" customHeight="1">
      <c r="A96" s="31"/>
      <c r="B96" s="31"/>
      <c r="C96" s="99"/>
      <c r="D96" s="99"/>
      <c r="E96" s="99"/>
      <c r="F96" s="99"/>
      <c r="G96" s="99"/>
      <c r="H96" s="99"/>
      <c r="I96" s="31"/>
      <c r="J96" s="99"/>
      <c r="K96" s="31"/>
      <c r="L96" s="31"/>
      <c r="M96" s="31"/>
      <c r="N96" s="31"/>
      <c r="O96" s="31"/>
      <c r="P96" s="31"/>
      <c r="Q96" s="99"/>
      <c r="R96" s="31"/>
      <c r="S96" s="31"/>
      <c r="T96" s="31"/>
      <c r="U96" s="31"/>
      <c r="V96" s="31"/>
      <c r="W96" s="31"/>
      <c r="X96" s="40"/>
      <c r="Y96" s="40"/>
      <c r="Z96" s="40"/>
      <c r="AA96" s="40"/>
      <c r="AB96" s="40"/>
      <c r="AC96" s="40"/>
      <c r="AD96" s="40"/>
    </row>
    <row r="97" spans="1:30" s="39" customFormat="1" ht="13" customHeight="1">
      <c r="A97" s="31"/>
      <c r="B97" s="31"/>
      <c r="C97" s="99"/>
      <c r="D97" s="99"/>
      <c r="E97" s="99"/>
      <c r="F97" s="99"/>
      <c r="G97" s="99"/>
      <c r="H97" s="99"/>
      <c r="I97" s="31"/>
      <c r="J97" s="99"/>
      <c r="K97" s="31"/>
      <c r="L97" s="31"/>
      <c r="M97" s="31"/>
      <c r="N97" s="31"/>
      <c r="O97" s="31"/>
      <c r="P97" s="31"/>
      <c r="Q97" s="99"/>
      <c r="R97" s="31"/>
      <c r="S97" s="31"/>
      <c r="T97" s="31"/>
      <c r="U97" s="31"/>
      <c r="V97" s="31"/>
      <c r="W97" s="31"/>
      <c r="X97" s="40"/>
      <c r="Y97" s="40"/>
      <c r="Z97" s="40"/>
      <c r="AA97" s="40"/>
      <c r="AB97" s="40"/>
      <c r="AC97" s="40"/>
      <c r="AD97" s="40"/>
    </row>
    <row r="98" spans="1:30" s="39" customFormat="1" ht="13" customHeight="1">
      <c r="A98" s="31"/>
      <c r="B98" s="31"/>
      <c r="C98" s="99"/>
      <c r="D98" s="99"/>
      <c r="E98" s="99"/>
      <c r="F98" s="99"/>
      <c r="G98" s="99"/>
      <c r="H98" s="99"/>
      <c r="I98" s="31"/>
      <c r="J98" s="99"/>
      <c r="K98" s="31"/>
      <c r="L98" s="31"/>
      <c r="M98" s="31"/>
      <c r="N98" s="31"/>
      <c r="O98" s="31"/>
      <c r="P98" s="31"/>
      <c r="Q98" s="99"/>
      <c r="R98" s="31"/>
      <c r="S98" s="31"/>
      <c r="T98" s="31"/>
      <c r="U98" s="31"/>
      <c r="V98" s="31"/>
      <c r="W98" s="31"/>
      <c r="X98" s="40"/>
      <c r="Y98" s="40"/>
      <c r="Z98" s="40"/>
      <c r="AA98" s="40"/>
      <c r="AB98" s="40"/>
      <c r="AC98" s="40"/>
      <c r="AD98" s="40"/>
    </row>
    <row r="99" spans="1:30" s="39" customFormat="1" ht="13" customHeight="1">
      <c r="A99" s="31"/>
      <c r="B99" s="31"/>
      <c r="C99" s="99"/>
      <c r="D99" s="99"/>
      <c r="E99" s="99"/>
      <c r="F99" s="99"/>
      <c r="G99" s="99"/>
      <c r="H99" s="99"/>
      <c r="I99" s="31"/>
      <c r="J99" s="99"/>
      <c r="K99" s="31"/>
      <c r="L99" s="31"/>
      <c r="M99" s="31"/>
      <c r="N99" s="31"/>
      <c r="O99" s="31"/>
      <c r="P99" s="31"/>
      <c r="Q99" s="99"/>
      <c r="R99" s="31"/>
      <c r="S99" s="31"/>
      <c r="T99" s="31"/>
      <c r="U99" s="31"/>
      <c r="V99" s="31"/>
      <c r="W99" s="31"/>
      <c r="X99" s="40"/>
      <c r="Y99" s="40"/>
      <c r="Z99" s="40"/>
      <c r="AA99" s="40"/>
      <c r="AB99" s="40"/>
      <c r="AC99" s="40"/>
      <c r="AD99" s="40"/>
    </row>
    <row r="100" spans="1:30" s="39" customFormat="1" ht="13" customHeight="1">
      <c r="A100" s="31"/>
      <c r="B100" s="31"/>
      <c r="C100" s="99"/>
      <c r="D100" s="99"/>
      <c r="E100" s="99"/>
      <c r="F100" s="99"/>
      <c r="G100" s="99"/>
      <c r="H100" s="99"/>
      <c r="I100" s="31"/>
      <c r="J100" s="99"/>
      <c r="K100" s="31"/>
      <c r="L100" s="31"/>
      <c r="M100" s="31"/>
      <c r="N100" s="31"/>
      <c r="O100" s="31"/>
      <c r="P100" s="31"/>
      <c r="Q100" s="99"/>
      <c r="R100" s="31"/>
      <c r="S100" s="31"/>
      <c r="T100" s="31"/>
      <c r="U100" s="31"/>
      <c r="V100" s="31"/>
      <c r="W100" s="31"/>
      <c r="X100" s="40"/>
      <c r="Y100" s="40"/>
      <c r="Z100" s="40"/>
      <c r="AA100" s="40"/>
      <c r="AB100" s="40"/>
      <c r="AC100" s="40"/>
      <c r="AD100" s="40"/>
    </row>
    <row r="101" spans="1:30" s="39" customFormat="1" ht="13" customHeight="1">
      <c r="A101" s="31"/>
      <c r="B101" s="31"/>
      <c r="C101" s="99"/>
      <c r="D101" s="99"/>
      <c r="E101" s="99"/>
      <c r="F101" s="99"/>
      <c r="G101" s="99"/>
      <c r="H101" s="99"/>
      <c r="I101" s="31"/>
      <c r="J101" s="99"/>
      <c r="K101" s="31"/>
      <c r="L101" s="31"/>
      <c r="M101" s="31"/>
      <c r="N101" s="31"/>
      <c r="O101" s="31"/>
      <c r="P101" s="31"/>
      <c r="Q101" s="99"/>
      <c r="R101" s="31"/>
      <c r="S101" s="31"/>
      <c r="T101" s="31"/>
      <c r="U101" s="31"/>
      <c r="V101" s="31"/>
      <c r="W101" s="31"/>
      <c r="X101" s="40"/>
      <c r="Y101" s="40"/>
      <c r="Z101" s="40"/>
      <c r="AA101" s="40"/>
      <c r="AB101" s="40"/>
      <c r="AC101" s="40"/>
      <c r="AD101" s="40"/>
    </row>
    <row r="102" spans="1:30" s="39" customFormat="1" ht="13" customHeight="1">
      <c r="A102" s="31"/>
      <c r="B102" s="31"/>
      <c r="C102" s="99"/>
      <c r="D102" s="99"/>
      <c r="E102" s="99"/>
      <c r="F102" s="99"/>
      <c r="G102" s="99"/>
      <c r="H102" s="99"/>
      <c r="I102" s="31"/>
      <c r="J102" s="99"/>
      <c r="K102" s="31"/>
      <c r="L102" s="31"/>
      <c r="M102" s="31"/>
      <c r="N102" s="31"/>
      <c r="O102" s="31"/>
      <c r="P102" s="31"/>
      <c r="Q102" s="99"/>
      <c r="R102" s="31"/>
      <c r="S102" s="31"/>
      <c r="T102" s="31"/>
      <c r="U102" s="31"/>
      <c r="V102" s="31"/>
      <c r="W102" s="31"/>
      <c r="X102" s="40"/>
      <c r="Y102" s="40"/>
      <c r="Z102" s="40"/>
      <c r="AA102" s="40"/>
      <c r="AB102" s="40"/>
      <c r="AC102" s="40"/>
      <c r="AD102" s="40"/>
    </row>
    <row r="103" spans="1:30" s="39" customFormat="1" ht="13" customHeight="1">
      <c r="A103" s="31"/>
      <c r="B103" s="31"/>
      <c r="C103" s="99"/>
      <c r="D103" s="99"/>
      <c r="E103" s="99"/>
      <c r="F103" s="99"/>
      <c r="G103" s="99"/>
      <c r="H103" s="99"/>
      <c r="I103" s="31"/>
      <c r="J103" s="99"/>
      <c r="K103" s="31"/>
      <c r="L103" s="31"/>
      <c r="M103" s="31"/>
      <c r="N103" s="31"/>
      <c r="O103" s="31"/>
      <c r="P103" s="31"/>
      <c r="Q103" s="99"/>
      <c r="R103" s="31"/>
      <c r="S103" s="31"/>
      <c r="T103" s="31"/>
      <c r="U103" s="31"/>
      <c r="V103" s="31"/>
      <c r="W103" s="31"/>
      <c r="X103" s="40"/>
      <c r="Y103" s="40"/>
      <c r="Z103" s="40"/>
      <c r="AA103" s="40"/>
      <c r="AB103" s="40"/>
      <c r="AC103" s="40"/>
      <c r="AD103" s="40"/>
    </row>
    <row r="104" spans="1:30" s="39" customFormat="1" ht="13" customHeight="1">
      <c r="A104" s="31"/>
      <c r="B104" s="31"/>
      <c r="C104" s="99"/>
      <c r="D104" s="99"/>
      <c r="E104" s="99"/>
      <c r="F104" s="99"/>
      <c r="G104" s="99"/>
      <c r="H104" s="99"/>
      <c r="I104" s="31"/>
      <c r="J104" s="99"/>
      <c r="K104" s="31"/>
      <c r="L104" s="31"/>
      <c r="M104" s="31"/>
      <c r="N104" s="31"/>
      <c r="O104" s="31"/>
      <c r="P104" s="31"/>
      <c r="Q104" s="99"/>
      <c r="R104" s="31"/>
      <c r="S104" s="31"/>
      <c r="T104" s="31"/>
      <c r="U104" s="31"/>
      <c r="V104" s="31"/>
      <c r="W104" s="31"/>
      <c r="X104" s="40"/>
      <c r="Y104" s="40"/>
      <c r="Z104" s="40"/>
      <c r="AA104" s="40"/>
      <c r="AB104" s="40"/>
      <c r="AC104" s="40"/>
      <c r="AD104" s="40"/>
    </row>
    <row r="105" spans="1:30" s="39" customFormat="1" ht="13" customHeight="1">
      <c r="A105" s="31"/>
      <c r="B105" s="31"/>
      <c r="C105" s="99"/>
      <c r="D105" s="99"/>
      <c r="E105" s="99"/>
      <c r="F105" s="99"/>
      <c r="G105" s="99"/>
      <c r="H105" s="99"/>
      <c r="I105" s="31"/>
      <c r="J105" s="99"/>
      <c r="K105" s="31"/>
      <c r="L105" s="31"/>
      <c r="M105" s="31"/>
      <c r="N105" s="31"/>
      <c r="O105" s="31"/>
      <c r="P105" s="31"/>
      <c r="Q105" s="99"/>
      <c r="R105" s="31"/>
      <c r="S105" s="31"/>
      <c r="T105" s="31"/>
      <c r="U105" s="31"/>
      <c r="V105" s="31"/>
      <c r="W105" s="31"/>
      <c r="X105" s="40"/>
      <c r="Y105" s="40"/>
      <c r="Z105" s="40"/>
      <c r="AA105" s="40"/>
      <c r="AB105" s="40"/>
      <c r="AC105" s="40"/>
      <c r="AD105" s="40"/>
    </row>
    <row r="106" spans="1:30" s="39" customFormat="1" ht="13" customHeight="1">
      <c r="A106" s="31"/>
      <c r="B106" s="31"/>
      <c r="C106" s="99"/>
      <c r="D106" s="99"/>
      <c r="E106" s="99"/>
      <c r="F106" s="99"/>
      <c r="G106" s="99"/>
      <c r="H106" s="99"/>
      <c r="I106" s="31"/>
      <c r="J106" s="99"/>
      <c r="K106" s="31"/>
      <c r="L106" s="31"/>
      <c r="M106" s="31"/>
      <c r="N106" s="31"/>
      <c r="O106" s="31"/>
      <c r="P106" s="31"/>
      <c r="Q106" s="99"/>
      <c r="R106" s="31"/>
      <c r="S106" s="31"/>
      <c r="T106" s="31"/>
      <c r="U106" s="31"/>
      <c r="V106" s="31"/>
      <c r="W106" s="31"/>
      <c r="X106" s="40"/>
      <c r="Y106" s="40"/>
      <c r="Z106" s="40"/>
      <c r="AA106" s="40"/>
      <c r="AB106" s="40"/>
      <c r="AC106" s="40"/>
      <c r="AD106" s="40"/>
    </row>
    <row r="107" spans="1:30" s="39" customFormat="1" ht="13" customHeight="1">
      <c r="A107" s="31"/>
      <c r="B107" s="31"/>
      <c r="C107" s="99"/>
      <c r="D107" s="99"/>
      <c r="E107" s="99"/>
      <c r="F107" s="99"/>
      <c r="G107" s="99"/>
      <c r="H107" s="99"/>
      <c r="I107" s="31"/>
      <c r="J107" s="99"/>
      <c r="K107" s="31"/>
      <c r="L107" s="31"/>
      <c r="M107" s="31"/>
      <c r="N107" s="31"/>
      <c r="O107" s="31"/>
      <c r="P107" s="31"/>
      <c r="Q107" s="99"/>
      <c r="R107" s="31"/>
      <c r="S107" s="31"/>
      <c r="T107" s="31"/>
      <c r="U107" s="31"/>
      <c r="V107" s="31"/>
      <c r="W107" s="31"/>
      <c r="X107" s="40"/>
      <c r="Y107" s="40"/>
      <c r="Z107" s="40"/>
      <c r="AA107" s="40"/>
      <c r="AB107" s="40"/>
      <c r="AC107" s="40"/>
      <c r="AD107" s="40"/>
    </row>
    <row r="108" spans="1:30" s="39" customFormat="1" ht="13" customHeight="1">
      <c r="A108" s="31"/>
      <c r="B108" s="31"/>
      <c r="C108" s="99"/>
      <c r="D108" s="99"/>
      <c r="E108" s="99"/>
      <c r="F108" s="99"/>
      <c r="G108" s="99"/>
      <c r="H108" s="99"/>
      <c r="I108" s="31"/>
      <c r="J108" s="99"/>
      <c r="K108" s="31"/>
      <c r="L108" s="31"/>
      <c r="M108" s="31"/>
      <c r="N108" s="31"/>
      <c r="O108" s="31"/>
      <c r="P108" s="31"/>
      <c r="Q108" s="99"/>
      <c r="R108" s="31"/>
      <c r="S108" s="31"/>
      <c r="T108" s="31"/>
      <c r="U108" s="31"/>
      <c r="V108" s="31"/>
      <c r="W108" s="31"/>
      <c r="X108" s="40"/>
      <c r="Y108" s="40"/>
      <c r="Z108" s="40"/>
      <c r="AA108" s="40"/>
      <c r="AB108" s="40"/>
      <c r="AC108" s="40"/>
      <c r="AD108" s="40"/>
    </row>
    <row r="109" spans="1:30" s="39" customFormat="1" ht="13" customHeight="1">
      <c r="A109" s="16"/>
      <c r="B109" s="16"/>
      <c r="C109" s="96"/>
      <c r="D109" s="96"/>
      <c r="E109" s="96"/>
      <c r="F109" s="99"/>
      <c r="G109" s="99"/>
      <c r="H109" s="99"/>
      <c r="I109" s="31"/>
      <c r="J109" s="99"/>
      <c r="K109" s="31"/>
      <c r="L109" s="31"/>
      <c r="M109" s="31"/>
      <c r="N109" s="31"/>
      <c r="O109" s="31"/>
      <c r="P109" s="31"/>
      <c r="Q109" s="99"/>
      <c r="R109" s="16"/>
      <c r="S109" s="16"/>
      <c r="T109" s="16"/>
      <c r="U109" s="16"/>
      <c r="V109" s="16"/>
      <c r="W109" s="16"/>
    </row>
    <row r="110" spans="1:30" s="39" customFormat="1" ht="13" customHeight="1">
      <c r="A110" s="16"/>
      <c r="B110" s="16"/>
      <c r="C110" s="96"/>
      <c r="D110" s="96"/>
      <c r="E110" s="96"/>
      <c r="F110" s="99"/>
      <c r="G110" s="99"/>
      <c r="H110" s="99"/>
      <c r="I110" s="31"/>
      <c r="J110" s="99"/>
      <c r="K110" s="31"/>
      <c r="L110" s="31"/>
      <c r="M110" s="31"/>
      <c r="N110" s="31"/>
      <c r="O110" s="31"/>
      <c r="P110" s="31"/>
      <c r="Q110" s="99"/>
      <c r="R110" s="16"/>
      <c r="S110" s="16"/>
      <c r="T110" s="16"/>
      <c r="U110" s="16"/>
      <c r="V110" s="16"/>
      <c r="W110" s="16"/>
    </row>
    <row r="111" spans="1:30" s="39" customFormat="1" ht="13" customHeight="1">
      <c r="A111" s="16"/>
      <c r="B111" s="16"/>
      <c r="C111" s="96"/>
      <c r="D111" s="96"/>
      <c r="E111" s="96"/>
      <c r="F111" s="99"/>
      <c r="G111" s="99"/>
      <c r="H111" s="99"/>
      <c r="I111" s="31"/>
      <c r="J111" s="99"/>
      <c r="K111" s="31"/>
      <c r="L111" s="31"/>
      <c r="M111" s="31"/>
      <c r="N111" s="31"/>
      <c r="O111" s="31"/>
      <c r="P111" s="31"/>
      <c r="Q111" s="99"/>
      <c r="R111" s="16"/>
      <c r="S111" s="16"/>
      <c r="T111" s="16"/>
      <c r="U111" s="16"/>
      <c r="V111" s="16"/>
      <c r="W111" s="16"/>
    </row>
    <row r="112" spans="1:30" s="39" customFormat="1" ht="13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9" customFormat="1" ht="13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9" customFormat="1" ht="13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3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3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3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"/>
  <sheetViews>
    <sheetView zoomScale="80" zoomScaleNormal="80" workbookViewId="0">
      <selection activeCell="K28" sqref="K28"/>
    </sheetView>
  </sheetViews>
  <sheetFormatPr defaultRowHeight="14.5"/>
  <cols>
    <col min="2" max="2" width="12" bestFit="1" customWidth="1"/>
    <col min="3" max="3" width="16.7265625" bestFit="1" customWidth="1"/>
    <col min="4" max="4" width="11.453125" customWidth="1"/>
    <col min="5" max="5" width="18.26953125" customWidth="1"/>
    <col min="6" max="6" width="11.453125" customWidth="1"/>
    <col min="7" max="7" width="10.1796875" customWidth="1"/>
    <col min="8" max="8" width="12.7265625" customWidth="1"/>
    <col min="9" max="9" width="11.54296875" customWidth="1"/>
    <col min="10" max="10" width="12" bestFit="1" customWidth="1"/>
    <col min="11" max="11" width="14" customWidth="1"/>
    <col min="12" max="12" width="11.54296875" customWidth="1"/>
    <col min="13" max="13" width="11.453125" customWidth="1"/>
    <col min="14" max="14" width="12.54296875" customWidth="1"/>
    <col min="15" max="15" width="11.26953125" customWidth="1"/>
    <col min="16" max="16" width="34.54296875" customWidth="1"/>
    <col min="17" max="17" width="11" bestFit="1" customWidth="1"/>
    <col min="18" max="18" width="9.26953125" bestFit="1" customWidth="1"/>
    <col min="19" max="19" width="14.26953125" customWidth="1"/>
    <col min="22" max="22" width="39.453125" customWidth="1"/>
    <col min="24" max="24" width="22.26953125" customWidth="1"/>
    <col min="25" max="26" width="9.26953125" bestFit="1" customWidth="1"/>
    <col min="28" max="28" width="21.26953125" customWidth="1"/>
    <col min="29" max="30" width="9.26953125" bestFit="1" customWidth="1"/>
    <col min="32" max="32" width="20.26953125" customWidth="1"/>
    <col min="33" max="34" width="9.26953125" bestFit="1" customWidth="1"/>
    <col min="36" max="36" width="34.453125" customWidth="1"/>
    <col min="37" max="37" width="26.54296875" customWidth="1"/>
    <col min="38" max="38" width="16.453125" customWidth="1"/>
    <col min="39" max="40" width="20.1796875" customWidth="1"/>
    <col min="41" max="41" width="37.1796875" customWidth="1"/>
    <col min="42" max="42" width="27" customWidth="1"/>
    <col min="43" max="43" width="12.1796875" customWidth="1"/>
    <col min="44" max="44" width="13.7265625" bestFit="1" customWidth="1"/>
    <col min="47" max="47" width="34.81640625" customWidth="1"/>
    <col min="50" max="51" width="9.26953125" bestFit="1" customWidth="1"/>
    <col min="52" max="52" width="9.453125" customWidth="1"/>
    <col min="53" max="54" width="9.26953125" bestFit="1" customWidth="1"/>
    <col min="57" max="58" width="9.26953125" bestFit="1" customWidth="1"/>
    <col min="60" max="61" width="9.26953125" bestFit="1" customWidth="1"/>
    <col min="261" max="261" width="12" bestFit="1" customWidth="1"/>
    <col min="262" max="262" width="16.7265625" bestFit="1" customWidth="1"/>
    <col min="263" max="263" width="11.453125" customWidth="1"/>
    <col min="264" max="264" width="16.7265625" customWidth="1"/>
    <col min="265" max="265" width="11.453125" customWidth="1"/>
    <col min="266" max="266" width="10.1796875" customWidth="1"/>
    <col min="267" max="267" width="12.7265625" customWidth="1"/>
    <col min="268" max="268" width="11.54296875" customWidth="1"/>
    <col min="269" max="269" width="12" bestFit="1" customWidth="1"/>
    <col min="270" max="270" width="14" customWidth="1"/>
    <col min="271" max="271" width="11.54296875" customWidth="1"/>
    <col min="272" max="272" width="12.7265625" customWidth="1"/>
    <col min="273" max="273" width="12.54296875" customWidth="1"/>
    <col min="274" max="274" width="11.26953125" customWidth="1"/>
    <col min="275" max="275" width="34.54296875" customWidth="1"/>
    <col min="276" max="276" width="11" bestFit="1" customWidth="1"/>
    <col min="278" max="278" width="14.26953125" customWidth="1"/>
    <col min="281" max="281" width="39.453125" customWidth="1"/>
    <col min="283" max="283" width="22.26953125" customWidth="1"/>
    <col min="287" max="287" width="21.26953125" customWidth="1"/>
    <col min="291" max="291" width="20.26953125" customWidth="1"/>
    <col min="295" max="295" width="34.453125" customWidth="1"/>
    <col min="296" max="296" width="26.54296875" customWidth="1"/>
    <col min="297" max="297" width="16.453125" customWidth="1"/>
    <col min="298" max="299" width="20.1796875" customWidth="1"/>
    <col min="300" max="300" width="37.1796875" customWidth="1"/>
    <col min="301" max="301" width="27" customWidth="1"/>
    <col min="302" max="302" width="12.1796875" customWidth="1"/>
    <col min="303" max="303" width="12.453125" bestFit="1" customWidth="1"/>
    <col min="306" max="306" width="34.81640625" customWidth="1"/>
    <col min="311" max="311" width="9.453125" customWidth="1"/>
    <col min="517" max="517" width="12" bestFit="1" customWidth="1"/>
    <col min="518" max="518" width="16.7265625" bestFit="1" customWidth="1"/>
    <col min="519" max="519" width="11.453125" customWidth="1"/>
    <col min="520" max="520" width="16.7265625" customWidth="1"/>
    <col min="521" max="521" width="11.453125" customWidth="1"/>
    <col min="522" max="522" width="10.1796875" customWidth="1"/>
    <col min="523" max="523" width="12.7265625" customWidth="1"/>
    <col min="524" max="524" width="11.54296875" customWidth="1"/>
    <col min="525" max="525" width="12" bestFit="1" customWidth="1"/>
    <col min="526" max="526" width="14" customWidth="1"/>
    <col min="527" max="527" width="11.54296875" customWidth="1"/>
    <col min="528" max="528" width="12.7265625" customWidth="1"/>
    <col min="529" max="529" width="12.54296875" customWidth="1"/>
    <col min="530" max="530" width="11.26953125" customWidth="1"/>
    <col min="531" max="531" width="34.54296875" customWidth="1"/>
    <col min="532" max="532" width="11" bestFit="1" customWidth="1"/>
    <col min="534" max="534" width="14.26953125" customWidth="1"/>
    <col min="537" max="537" width="39.453125" customWidth="1"/>
    <col min="539" max="539" width="22.26953125" customWidth="1"/>
    <col min="543" max="543" width="21.26953125" customWidth="1"/>
    <col min="547" max="547" width="20.26953125" customWidth="1"/>
    <col min="551" max="551" width="34.453125" customWidth="1"/>
    <col min="552" max="552" width="26.54296875" customWidth="1"/>
    <col min="553" max="553" width="16.453125" customWidth="1"/>
    <col min="554" max="555" width="20.1796875" customWidth="1"/>
    <col min="556" max="556" width="37.1796875" customWidth="1"/>
    <col min="557" max="557" width="27" customWidth="1"/>
    <col min="558" max="558" width="12.1796875" customWidth="1"/>
    <col min="559" max="559" width="12.453125" bestFit="1" customWidth="1"/>
    <col min="562" max="562" width="34.81640625" customWidth="1"/>
    <col min="567" max="567" width="9.453125" customWidth="1"/>
    <col min="773" max="773" width="12" bestFit="1" customWidth="1"/>
    <col min="774" max="774" width="16.7265625" bestFit="1" customWidth="1"/>
    <col min="775" max="775" width="11.453125" customWidth="1"/>
    <col min="776" max="776" width="16.7265625" customWidth="1"/>
    <col min="777" max="777" width="11.453125" customWidth="1"/>
    <col min="778" max="778" width="10.1796875" customWidth="1"/>
    <col min="779" max="779" width="12.7265625" customWidth="1"/>
    <col min="780" max="780" width="11.54296875" customWidth="1"/>
    <col min="781" max="781" width="12" bestFit="1" customWidth="1"/>
    <col min="782" max="782" width="14" customWidth="1"/>
    <col min="783" max="783" width="11.54296875" customWidth="1"/>
    <col min="784" max="784" width="12.7265625" customWidth="1"/>
    <col min="785" max="785" width="12.54296875" customWidth="1"/>
    <col min="786" max="786" width="11.26953125" customWidth="1"/>
    <col min="787" max="787" width="34.54296875" customWidth="1"/>
    <col min="788" max="788" width="11" bestFit="1" customWidth="1"/>
    <col min="790" max="790" width="14.26953125" customWidth="1"/>
    <col min="793" max="793" width="39.453125" customWidth="1"/>
    <col min="795" max="795" width="22.26953125" customWidth="1"/>
    <col min="799" max="799" width="21.26953125" customWidth="1"/>
    <col min="803" max="803" width="20.26953125" customWidth="1"/>
    <col min="807" max="807" width="34.453125" customWidth="1"/>
    <col min="808" max="808" width="26.54296875" customWidth="1"/>
    <col min="809" max="809" width="16.453125" customWidth="1"/>
    <col min="810" max="811" width="20.1796875" customWidth="1"/>
    <col min="812" max="812" width="37.1796875" customWidth="1"/>
    <col min="813" max="813" width="27" customWidth="1"/>
    <col min="814" max="814" width="12.1796875" customWidth="1"/>
    <col min="815" max="815" width="12.453125" bestFit="1" customWidth="1"/>
    <col min="818" max="818" width="34.81640625" customWidth="1"/>
    <col min="823" max="823" width="9.453125" customWidth="1"/>
    <col min="1029" max="1029" width="12" bestFit="1" customWidth="1"/>
    <col min="1030" max="1030" width="16.7265625" bestFit="1" customWidth="1"/>
    <col min="1031" max="1031" width="11.453125" customWidth="1"/>
    <col min="1032" max="1032" width="16.7265625" customWidth="1"/>
    <col min="1033" max="1033" width="11.453125" customWidth="1"/>
    <col min="1034" max="1034" width="10.1796875" customWidth="1"/>
    <col min="1035" max="1035" width="12.7265625" customWidth="1"/>
    <col min="1036" max="1036" width="11.54296875" customWidth="1"/>
    <col min="1037" max="1037" width="12" bestFit="1" customWidth="1"/>
    <col min="1038" max="1038" width="14" customWidth="1"/>
    <col min="1039" max="1039" width="11.54296875" customWidth="1"/>
    <col min="1040" max="1040" width="12.7265625" customWidth="1"/>
    <col min="1041" max="1041" width="12.54296875" customWidth="1"/>
    <col min="1042" max="1042" width="11.26953125" customWidth="1"/>
    <col min="1043" max="1043" width="34.54296875" customWidth="1"/>
    <col min="1044" max="1044" width="11" bestFit="1" customWidth="1"/>
    <col min="1046" max="1046" width="14.26953125" customWidth="1"/>
    <col min="1049" max="1049" width="39.453125" customWidth="1"/>
    <col min="1051" max="1051" width="22.26953125" customWidth="1"/>
    <col min="1055" max="1055" width="21.26953125" customWidth="1"/>
    <col min="1059" max="1059" width="20.26953125" customWidth="1"/>
    <col min="1063" max="1063" width="34.453125" customWidth="1"/>
    <col min="1064" max="1064" width="26.54296875" customWidth="1"/>
    <col min="1065" max="1065" width="16.453125" customWidth="1"/>
    <col min="1066" max="1067" width="20.1796875" customWidth="1"/>
    <col min="1068" max="1068" width="37.1796875" customWidth="1"/>
    <col min="1069" max="1069" width="27" customWidth="1"/>
    <col min="1070" max="1070" width="12.1796875" customWidth="1"/>
    <col min="1071" max="1071" width="12.453125" bestFit="1" customWidth="1"/>
    <col min="1074" max="1074" width="34.81640625" customWidth="1"/>
    <col min="1079" max="1079" width="9.453125" customWidth="1"/>
    <col min="1285" max="1285" width="12" bestFit="1" customWidth="1"/>
    <col min="1286" max="1286" width="16.7265625" bestFit="1" customWidth="1"/>
    <col min="1287" max="1287" width="11.453125" customWidth="1"/>
    <col min="1288" max="1288" width="16.7265625" customWidth="1"/>
    <col min="1289" max="1289" width="11.453125" customWidth="1"/>
    <col min="1290" max="1290" width="10.1796875" customWidth="1"/>
    <col min="1291" max="1291" width="12.7265625" customWidth="1"/>
    <col min="1292" max="1292" width="11.54296875" customWidth="1"/>
    <col min="1293" max="1293" width="12" bestFit="1" customWidth="1"/>
    <col min="1294" max="1294" width="14" customWidth="1"/>
    <col min="1295" max="1295" width="11.54296875" customWidth="1"/>
    <col min="1296" max="1296" width="12.7265625" customWidth="1"/>
    <col min="1297" max="1297" width="12.54296875" customWidth="1"/>
    <col min="1298" max="1298" width="11.26953125" customWidth="1"/>
    <col min="1299" max="1299" width="34.54296875" customWidth="1"/>
    <col min="1300" max="1300" width="11" bestFit="1" customWidth="1"/>
    <col min="1302" max="1302" width="14.26953125" customWidth="1"/>
    <col min="1305" max="1305" width="39.453125" customWidth="1"/>
    <col min="1307" max="1307" width="22.26953125" customWidth="1"/>
    <col min="1311" max="1311" width="21.26953125" customWidth="1"/>
    <col min="1315" max="1315" width="20.26953125" customWidth="1"/>
    <col min="1319" max="1319" width="34.453125" customWidth="1"/>
    <col min="1320" max="1320" width="26.54296875" customWidth="1"/>
    <col min="1321" max="1321" width="16.453125" customWidth="1"/>
    <col min="1322" max="1323" width="20.1796875" customWidth="1"/>
    <col min="1324" max="1324" width="37.1796875" customWidth="1"/>
    <col min="1325" max="1325" width="27" customWidth="1"/>
    <col min="1326" max="1326" width="12.1796875" customWidth="1"/>
    <col min="1327" max="1327" width="12.453125" bestFit="1" customWidth="1"/>
    <col min="1330" max="1330" width="34.81640625" customWidth="1"/>
    <col min="1335" max="1335" width="9.453125" customWidth="1"/>
    <col min="1541" max="1541" width="12" bestFit="1" customWidth="1"/>
    <col min="1542" max="1542" width="16.7265625" bestFit="1" customWidth="1"/>
    <col min="1543" max="1543" width="11.453125" customWidth="1"/>
    <col min="1544" max="1544" width="16.7265625" customWidth="1"/>
    <col min="1545" max="1545" width="11.453125" customWidth="1"/>
    <col min="1546" max="1546" width="10.1796875" customWidth="1"/>
    <col min="1547" max="1547" width="12.7265625" customWidth="1"/>
    <col min="1548" max="1548" width="11.54296875" customWidth="1"/>
    <col min="1549" max="1549" width="12" bestFit="1" customWidth="1"/>
    <col min="1550" max="1550" width="14" customWidth="1"/>
    <col min="1551" max="1551" width="11.54296875" customWidth="1"/>
    <col min="1552" max="1552" width="12.7265625" customWidth="1"/>
    <col min="1553" max="1553" width="12.54296875" customWidth="1"/>
    <col min="1554" max="1554" width="11.26953125" customWidth="1"/>
    <col min="1555" max="1555" width="34.54296875" customWidth="1"/>
    <col min="1556" max="1556" width="11" bestFit="1" customWidth="1"/>
    <col min="1558" max="1558" width="14.26953125" customWidth="1"/>
    <col min="1561" max="1561" width="39.453125" customWidth="1"/>
    <col min="1563" max="1563" width="22.26953125" customWidth="1"/>
    <col min="1567" max="1567" width="21.26953125" customWidth="1"/>
    <col min="1571" max="1571" width="20.26953125" customWidth="1"/>
    <col min="1575" max="1575" width="34.453125" customWidth="1"/>
    <col min="1576" max="1576" width="26.54296875" customWidth="1"/>
    <col min="1577" max="1577" width="16.453125" customWidth="1"/>
    <col min="1578" max="1579" width="20.1796875" customWidth="1"/>
    <col min="1580" max="1580" width="37.1796875" customWidth="1"/>
    <col min="1581" max="1581" width="27" customWidth="1"/>
    <col min="1582" max="1582" width="12.1796875" customWidth="1"/>
    <col min="1583" max="1583" width="12.453125" bestFit="1" customWidth="1"/>
    <col min="1586" max="1586" width="34.81640625" customWidth="1"/>
    <col min="1591" max="1591" width="9.453125" customWidth="1"/>
    <col min="1797" max="1797" width="12" bestFit="1" customWidth="1"/>
    <col min="1798" max="1798" width="16.7265625" bestFit="1" customWidth="1"/>
    <col min="1799" max="1799" width="11.453125" customWidth="1"/>
    <col min="1800" max="1800" width="16.7265625" customWidth="1"/>
    <col min="1801" max="1801" width="11.453125" customWidth="1"/>
    <col min="1802" max="1802" width="10.1796875" customWidth="1"/>
    <col min="1803" max="1803" width="12.7265625" customWidth="1"/>
    <col min="1804" max="1804" width="11.54296875" customWidth="1"/>
    <col min="1805" max="1805" width="12" bestFit="1" customWidth="1"/>
    <col min="1806" max="1806" width="14" customWidth="1"/>
    <col min="1807" max="1807" width="11.54296875" customWidth="1"/>
    <col min="1808" max="1808" width="12.7265625" customWidth="1"/>
    <col min="1809" max="1809" width="12.54296875" customWidth="1"/>
    <col min="1810" max="1810" width="11.26953125" customWidth="1"/>
    <col min="1811" max="1811" width="34.54296875" customWidth="1"/>
    <col min="1812" max="1812" width="11" bestFit="1" customWidth="1"/>
    <col min="1814" max="1814" width="14.26953125" customWidth="1"/>
    <col min="1817" max="1817" width="39.453125" customWidth="1"/>
    <col min="1819" max="1819" width="22.26953125" customWidth="1"/>
    <col min="1823" max="1823" width="21.26953125" customWidth="1"/>
    <col min="1827" max="1827" width="20.26953125" customWidth="1"/>
    <col min="1831" max="1831" width="34.453125" customWidth="1"/>
    <col min="1832" max="1832" width="26.54296875" customWidth="1"/>
    <col min="1833" max="1833" width="16.453125" customWidth="1"/>
    <col min="1834" max="1835" width="20.1796875" customWidth="1"/>
    <col min="1836" max="1836" width="37.1796875" customWidth="1"/>
    <col min="1837" max="1837" width="27" customWidth="1"/>
    <col min="1838" max="1838" width="12.1796875" customWidth="1"/>
    <col min="1839" max="1839" width="12.453125" bestFit="1" customWidth="1"/>
    <col min="1842" max="1842" width="34.81640625" customWidth="1"/>
    <col min="1847" max="1847" width="9.453125" customWidth="1"/>
    <col min="2053" max="2053" width="12" bestFit="1" customWidth="1"/>
    <col min="2054" max="2054" width="16.7265625" bestFit="1" customWidth="1"/>
    <col min="2055" max="2055" width="11.453125" customWidth="1"/>
    <col min="2056" max="2056" width="16.7265625" customWidth="1"/>
    <col min="2057" max="2057" width="11.453125" customWidth="1"/>
    <col min="2058" max="2058" width="10.1796875" customWidth="1"/>
    <col min="2059" max="2059" width="12.7265625" customWidth="1"/>
    <col min="2060" max="2060" width="11.54296875" customWidth="1"/>
    <col min="2061" max="2061" width="12" bestFit="1" customWidth="1"/>
    <col min="2062" max="2062" width="14" customWidth="1"/>
    <col min="2063" max="2063" width="11.54296875" customWidth="1"/>
    <col min="2064" max="2064" width="12.7265625" customWidth="1"/>
    <col min="2065" max="2065" width="12.54296875" customWidth="1"/>
    <col min="2066" max="2066" width="11.26953125" customWidth="1"/>
    <col min="2067" max="2067" width="34.54296875" customWidth="1"/>
    <col min="2068" max="2068" width="11" bestFit="1" customWidth="1"/>
    <col min="2070" max="2070" width="14.26953125" customWidth="1"/>
    <col min="2073" max="2073" width="39.453125" customWidth="1"/>
    <col min="2075" max="2075" width="22.26953125" customWidth="1"/>
    <col min="2079" max="2079" width="21.26953125" customWidth="1"/>
    <col min="2083" max="2083" width="20.26953125" customWidth="1"/>
    <col min="2087" max="2087" width="34.453125" customWidth="1"/>
    <col min="2088" max="2088" width="26.54296875" customWidth="1"/>
    <col min="2089" max="2089" width="16.453125" customWidth="1"/>
    <col min="2090" max="2091" width="20.1796875" customWidth="1"/>
    <col min="2092" max="2092" width="37.1796875" customWidth="1"/>
    <col min="2093" max="2093" width="27" customWidth="1"/>
    <col min="2094" max="2094" width="12.1796875" customWidth="1"/>
    <col min="2095" max="2095" width="12.453125" bestFit="1" customWidth="1"/>
    <col min="2098" max="2098" width="34.81640625" customWidth="1"/>
    <col min="2103" max="2103" width="9.453125" customWidth="1"/>
    <col min="2309" max="2309" width="12" bestFit="1" customWidth="1"/>
    <col min="2310" max="2310" width="16.7265625" bestFit="1" customWidth="1"/>
    <col min="2311" max="2311" width="11.453125" customWidth="1"/>
    <col min="2312" max="2312" width="16.7265625" customWidth="1"/>
    <col min="2313" max="2313" width="11.453125" customWidth="1"/>
    <col min="2314" max="2314" width="10.1796875" customWidth="1"/>
    <col min="2315" max="2315" width="12.7265625" customWidth="1"/>
    <col min="2316" max="2316" width="11.54296875" customWidth="1"/>
    <col min="2317" max="2317" width="12" bestFit="1" customWidth="1"/>
    <col min="2318" max="2318" width="14" customWidth="1"/>
    <col min="2319" max="2319" width="11.54296875" customWidth="1"/>
    <col min="2320" max="2320" width="12.7265625" customWidth="1"/>
    <col min="2321" max="2321" width="12.54296875" customWidth="1"/>
    <col min="2322" max="2322" width="11.26953125" customWidth="1"/>
    <col min="2323" max="2323" width="34.54296875" customWidth="1"/>
    <col min="2324" max="2324" width="11" bestFit="1" customWidth="1"/>
    <col min="2326" max="2326" width="14.26953125" customWidth="1"/>
    <col min="2329" max="2329" width="39.453125" customWidth="1"/>
    <col min="2331" max="2331" width="22.26953125" customWidth="1"/>
    <col min="2335" max="2335" width="21.26953125" customWidth="1"/>
    <col min="2339" max="2339" width="20.26953125" customWidth="1"/>
    <col min="2343" max="2343" width="34.453125" customWidth="1"/>
    <col min="2344" max="2344" width="26.54296875" customWidth="1"/>
    <col min="2345" max="2345" width="16.453125" customWidth="1"/>
    <col min="2346" max="2347" width="20.1796875" customWidth="1"/>
    <col min="2348" max="2348" width="37.1796875" customWidth="1"/>
    <col min="2349" max="2349" width="27" customWidth="1"/>
    <col min="2350" max="2350" width="12.1796875" customWidth="1"/>
    <col min="2351" max="2351" width="12.453125" bestFit="1" customWidth="1"/>
    <col min="2354" max="2354" width="34.81640625" customWidth="1"/>
    <col min="2359" max="2359" width="9.453125" customWidth="1"/>
    <col min="2565" max="2565" width="12" bestFit="1" customWidth="1"/>
    <col min="2566" max="2566" width="16.7265625" bestFit="1" customWidth="1"/>
    <col min="2567" max="2567" width="11.453125" customWidth="1"/>
    <col min="2568" max="2568" width="16.7265625" customWidth="1"/>
    <col min="2569" max="2569" width="11.453125" customWidth="1"/>
    <col min="2570" max="2570" width="10.1796875" customWidth="1"/>
    <col min="2571" max="2571" width="12.7265625" customWidth="1"/>
    <col min="2572" max="2572" width="11.54296875" customWidth="1"/>
    <col min="2573" max="2573" width="12" bestFit="1" customWidth="1"/>
    <col min="2574" max="2574" width="14" customWidth="1"/>
    <col min="2575" max="2575" width="11.54296875" customWidth="1"/>
    <col min="2576" max="2576" width="12.7265625" customWidth="1"/>
    <col min="2577" max="2577" width="12.54296875" customWidth="1"/>
    <col min="2578" max="2578" width="11.26953125" customWidth="1"/>
    <col min="2579" max="2579" width="34.54296875" customWidth="1"/>
    <col min="2580" max="2580" width="11" bestFit="1" customWidth="1"/>
    <col min="2582" max="2582" width="14.26953125" customWidth="1"/>
    <col min="2585" max="2585" width="39.453125" customWidth="1"/>
    <col min="2587" max="2587" width="22.26953125" customWidth="1"/>
    <col min="2591" max="2591" width="21.26953125" customWidth="1"/>
    <col min="2595" max="2595" width="20.26953125" customWidth="1"/>
    <col min="2599" max="2599" width="34.453125" customWidth="1"/>
    <col min="2600" max="2600" width="26.54296875" customWidth="1"/>
    <col min="2601" max="2601" width="16.453125" customWidth="1"/>
    <col min="2602" max="2603" width="20.1796875" customWidth="1"/>
    <col min="2604" max="2604" width="37.1796875" customWidth="1"/>
    <col min="2605" max="2605" width="27" customWidth="1"/>
    <col min="2606" max="2606" width="12.1796875" customWidth="1"/>
    <col min="2607" max="2607" width="12.453125" bestFit="1" customWidth="1"/>
    <col min="2610" max="2610" width="34.81640625" customWidth="1"/>
    <col min="2615" max="2615" width="9.453125" customWidth="1"/>
    <col min="2821" max="2821" width="12" bestFit="1" customWidth="1"/>
    <col min="2822" max="2822" width="16.7265625" bestFit="1" customWidth="1"/>
    <col min="2823" max="2823" width="11.453125" customWidth="1"/>
    <col min="2824" max="2824" width="16.7265625" customWidth="1"/>
    <col min="2825" max="2825" width="11.453125" customWidth="1"/>
    <col min="2826" max="2826" width="10.1796875" customWidth="1"/>
    <col min="2827" max="2827" width="12.7265625" customWidth="1"/>
    <col min="2828" max="2828" width="11.54296875" customWidth="1"/>
    <col min="2829" max="2829" width="12" bestFit="1" customWidth="1"/>
    <col min="2830" max="2830" width="14" customWidth="1"/>
    <col min="2831" max="2831" width="11.54296875" customWidth="1"/>
    <col min="2832" max="2832" width="12.7265625" customWidth="1"/>
    <col min="2833" max="2833" width="12.54296875" customWidth="1"/>
    <col min="2834" max="2834" width="11.26953125" customWidth="1"/>
    <col min="2835" max="2835" width="34.54296875" customWidth="1"/>
    <col min="2836" max="2836" width="11" bestFit="1" customWidth="1"/>
    <col min="2838" max="2838" width="14.26953125" customWidth="1"/>
    <col min="2841" max="2841" width="39.453125" customWidth="1"/>
    <col min="2843" max="2843" width="22.26953125" customWidth="1"/>
    <col min="2847" max="2847" width="21.26953125" customWidth="1"/>
    <col min="2851" max="2851" width="20.26953125" customWidth="1"/>
    <col min="2855" max="2855" width="34.453125" customWidth="1"/>
    <col min="2856" max="2856" width="26.54296875" customWidth="1"/>
    <col min="2857" max="2857" width="16.453125" customWidth="1"/>
    <col min="2858" max="2859" width="20.1796875" customWidth="1"/>
    <col min="2860" max="2860" width="37.1796875" customWidth="1"/>
    <col min="2861" max="2861" width="27" customWidth="1"/>
    <col min="2862" max="2862" width="12.1796875" customWidth="1"/>
    <col min="2863" max="2863" width="12.453125" bestFit="1" customWidth="1"/>
    <col min="2866" max="2866" width="34.81640625" customWidth="1"/>
    <col min="2871" max="2871" width="9.453125" customWidth="1"/>
    <col min="3077" max="3077" width="12" bestFit="1" customWidth="1"/>
    <col min="3078" max="3078" width="16.7265625" bestFit="1" customWidth="1"/>
    <col min="3079" max="3079" width="11.453125" customWidth="1"/>
    <col min="3080" max="3080" width="16.7265625" customWidth="1"/>
    <col min="3081" max="3081" width="11.453125" customWidth="1"/>
    <col min="3082" max="3082" width="10.1796875" customWidth="1"/>
    <col min="3083" max="3083" width="12.7265625" customWidth="1"/>
    <col min="3084" max="3084" width="11.54296875" customWidth="1"/>
    <col min="3085" max="3085" width="12" bestFit="1" customWidth="1"/>
    <col min="3086" max="3086" width="14" customWidth="1"/>
    <col min="3087" max="3087" width="11.54296875" customWidth="1"/>
    <col min="3088" max="3088" width="12.7265625" customWidth="1"/>
    <col min="3089" max="3089" width="12.54296875" customWidth="1"/>
    <col min="3090" max="3090" width="11.26953125" customWidth="1"/>
    <col min="3091" max="3091" width="34.54296875" customWidth="1"/>
    <col min="3092" max="3092" width="11" bestFit="1" customWidth="1"/>
    <col min="3094" max="3094" width="14.26953125" customWidth="1"/>
    <col min="3097" max="3097" width="39.453125" customWidth="1"/>
    <col min="3099" max="3099" width="22.26953125" customWidth="1"/>
    <col min="3103" max="3103" width="21.26953125" customWidth="1"/>
    <col min="3107" max="3107" width="20.26953125" customWidth="1"/>
    <col min="3111" max="3111" width="34.453125" customWidth="1"/>
    <col min="3112" max="3112" width="26.54296875" customWidth="1"/>
    <col min="3113" max="3113" width="16.453125" customWidth="1"/>
    <col min="3114" max="3115" width="20.1796875" customWidth="1"/>
    <col min="3116" max="3116" width="37.1796875" customWidth="1"/>
    <col min="3117" max="3117" width="27" customWidth="1"/>
    <col min="3118" max="3118" width="12.1796875" customWidth="1"/>
    <col min="3119" max="3119" width="12.453125" bestFit="1" customWidth="1"/>
    <col min="3122" max="3122" width="34.81640625" customWidth="1"/>
    <col min="3127" max="3127" width="9.453125" customWidth="1"/>
    <col min="3333" max="3333" width="12" bestFit="1" customWidth="1"/>
    <col min="3334" max="3334" width="16.7265625" bestFit="1" customWidth="1"/>
    <col min="3335" max="3335" width="11.453125" customWidth="1"/>
    <col min="3336" max="3336" width="16.7265625" customWidth="1"/>
    <col min="3337" max="3337" width="11.453125" customWidth="1"/>
    <col min="3338" max="3338" width="10.1796875" customWidth="1"/>
    <col min="3339" max="3339" width="12.7265625" customWidth="1"/>
    <col min="3340" max="3340" width="11.54296875" customWidth="1"/>
    <col min="3341" max="3341" width="12" bestFit="1" customWidth="1"/>
    <col min="3342" max="3342" width="14" customWidth="1"/>
    <col min="3343" max="3343" width="11.54296875" customWidth="1"/>
    <col min="3344" max="3344" width="12.7265625" customWidth="1"/>
    <col min="3345" max="3345" width="12.54296875" customWidth="1"/>
    <col min="3346" max="3346" width="11.26953125" customWidth="1"/>
    <col min="3347" max="3347" width="34.54296875" customWidth="1"/>
    <col min="3348" max="3348" width="11" bestFit="1" customWidth="1"/>
    <col min="3350" max="3350" width="14.26953125" customWidth="1"/>
    <col min="3353" max="3353" width="39.453125" customWidth="1"/>
    <col min="3355" max="3355" width="22.26953125" customWidth="1"/>
    <col min="3359" max="3359" width="21.26953125" customWidth="1"/>
    <col min="3363" max="3363" width="20.26953125" customWidth="1"/>
    <col min="3367" max="3367" width="34.453125" customWidth="1"/>
    <col min="3368" max="3368" width="26.54296875" customWidth="1"/>
    <col min="3369" max="3369" width="16.453125" customWidth="1"/>
    <col min="3370" max="3371" width="20.1796875" customWidth="1"/>
    <col min="3372" max="3372" width="37.1796875" customWidth="1"/>
    <col min="3373" max="3373" width="27" customWidth="1"/>
    <col min="3374" max="3374" width="12.1796875" customWidth="1"/>
    <col min="3375" max="3375" width="12.453125" bestFit="1" customWidth="1"/>
    <col min="3378" max="3378" width="34.81640625" customWidth="1"/>
    <col min="3383" max="3383" width="9.453125" customWidth="1"/>
    <col min="3589" max="3589" width="12" bestFit="1" customWidth="1"/>
    <col min="3590" max="3590" width="16.7265625" bestFit="1" customWidth="1"/>
    <col min="3591" max="3591" width="11.453125" customWidth="1"/>
    <col min="3592" max="3592" width="16.7265625" customWidth="1"/>
    <col min="3593" max="3593" width="11.453125" customWidth="1"/>
    <col min="3594" max="3594" width="10.1796875" customWidth="1"/>
    <col min="3595" max="3595" width="12.7265625" customWidth="1"/>
    <col min="3596" max="3596" width="11.54296875" customWidth="1"/>
    <col min="3597" max="3597" width="12" bestFit="1" customWidth="1"/>
    <col min="3598" max="3598" width="14" customWidth="1"/>
    <col min="3599" max="3599" width="11.54296875" customWidth="1"/>
    <col min="3600" max="3600" width="12.7265625" customWidth="1"/>
    <col min="3601" max="3601" width="12.54296875" customWidth="1"/>
    <col min="3602" max="3602" width="11.26953125" customWidth="1"/>
    <col min="3603" max="3603" width="34.54296875" customWidth="1"/>
    <col min="3604" max="3604" width="11" bestFit="1" customWidth="1"/>
    <col min="3606" max="3606" width="14.26953125" customWidth="1"/>
    <col min="3609" max="3609" width="39.453125" customWidth="1"/>
    <col min="3611" max="3611" width="22.26953125" customWidth="1"/>
    <col min="3615" max="3615" width="21.26953125" customWidth="1"/>
    <col min="3619" max="3619" width="20.26953125" customWidth="1"/>
    <col min="3623" max="3623" width="34.453125" customWidth="1"/>
    <col min="3624" max="3624" width="26.54296875" customWidth="1"/>
    <col min="3625" max="3625" width="16.453125" customWidth="1"/>
    <col min="3626" max="3627" width="20.1796875" customWidth="1"/>
    <col min="3628" max="3628" width="37.1796875" customWidth="1"/>
    <col min="3629" max="3629" width="27" customWidth="1"/>
    <col min="3630" max="3630" width="12.1796875" customWidth="1"/>
    <col min="3631" max="3631" width="12.453125" bestFit="1" customWidth="1"/>
    <col min="3634" max="3634" width="34.81640625" customWidth="1"/>
    <col min="3639" max="3639" width="9.453125" customWidth="1"/>
    <col min="3845" max="3845" width="12" bestFit="1" customWidth="1"/>
    <col min="3846" max="3846" width="16.7265625" bestFit="1" customWidth="1"/>
    <col min="3847" max="3847" width="11.453125" customWidth="1"/>
    <col min="3848" max="3848" width="16.7265625" customWidth="1"/>
    <col min="3849" max="3849" width="11.453125" customWidth="1"/>
    <col min="3850" max="3850" width="10.1796875" customWidth="1"/>
    <col min="3851" max="3851" width="12.7265625" customWidth="1"/>
    <col min="3852" max="3852" width="11.54296875" customWidth="1"/>
    <col min="3853" max="3853" width="12" bestFit="1" customWidth="1"/>
    <col min="3854" max="3854" width="14" customWidth="1"/>
    <col min="3855" max="3855" width="11.54296875" customWidth="1"/>
    <col min="3856" max="3856" width="12.7265625" customWidth="1"/>
    <col min="3857" max="3857" width="12.54296875" customWidth="1"/>
    <col min="3858" max="3858" width="11.26953125" customWidth="1"/>
    <col min="3859" max="3859" width="34.54296875" customWidth="1"/>
    <col min="3860" max="3860" width="11" bestFit="1" customWidth="1"/>
    <col min="3862" max="3862" width="14.26953125" customWidth="1"/>
    <col min="3865" max="3865" width="39.453125" customWidth="1"/>
    <col min="3867" max="3867" width="22.26953125" customWidth="1"/>
    <col min="3871" max="3871" width="21.26953125" customWidth="1"/>
    <col min="3875" max="3875" width="20.26953125" customWidth="1"/>
    <col min="3879" max="3879" width="34.453125" customWidth="1"/>
    <col min="3880" max="3880" width="26.54296875" customWidth="1"/>
    <col min="3881" max="3881" width="16.453125" customWidth="1"/>
    <col min="3882" max="3883" width="20.1796875" customWidth="1"/>
    <col min="3884" max="3884" width="37.1796875" customWidth="1"/>
    <col min="3885" max="3885" width="27" customWidth="1"/>
    <col min="3886" max="3886" width="12.1796875" customWidth="1"/>
    <col min="3887" max="3887" width="12.453125" bestFit="1" customWidth="1"/>
    <col min="3890" max="3890" width="34.81640625" customWidth="1"/>
    <col min="3895" max="3895" width="9.453125" customWidth="1"/>
    <col min="4101" max="4101" width="12" bestFit="1" customWidth="1"/>
    <col min="4102" max="4102" width="16.7265625" bestFit="1" customWidth="1"/>
    <col min="4103" max="4103" width="11.453125" customWidth="1"/>
    <col min="4104" max="4104" width="16.7265625" customWidth="1"/>
    <col min="4105" max="4105" width="11.453125" customWidth="1"/>
    <col min="4106" max="4106" width="10.1796875" customWidth="1"/>
    <col min="4107" max="4107" width="12.7265625" customWidth="1"/>
    <col min="4108" max="4108" width="11.54296875" customWidth="1"/>
    <col min="4109" max="4109" width="12" bestFit="1" customWidth="1"/>
    <col min="4110" max="4110" width="14" customWidth="1"/>
    <col min="4111" max="4111" width="11.54296875" customWidth="1"/>
    <col min="4112" max="4112" width="12.7265625" customWidth="1"/>
    <col min="4113" max="4113" width="12.54296875" customWidth="1"/>
    <col min="4114" max="4114" width="11.26953125" customWidth="1"/>
    <col min="4115" max="4115" width="34.54296875" customWidth="1"/>
    <col min="4116" max="4116" width="11" bestFit="1" customWidth="1"/>
    <col min="4118" max="4118" width="14.26953125" customWidth="1"/>
    <col min="4121" max="4121" width="39.453125" customWidth="1"/>
    <col min="4123" max="4123" width="22.26953125" customWidth="1"/>
    <col min="4127" max="4127" width="21.26953125" customWidth="1"/>
    <col min="4131" max="4131" width="20.26953125" customWidth="1"/>
    <col min="4135" max="4135" width="34.453125" customWidth="1"/>
    <col min="4136" max="4136" width="26.54296875" customWidth="1"/>
    <col min="4137" max="4137" width="16.453125" customWidth="1"/>
    <col min="4138" max="4139" width="20.1796875" customWidth="1"/>
    <col min="4140" max="4140" width="37.1796875" customWidth="1"/>
    <col min="4141" max="4141" width="27" customWidth="1"/>
    <col min="4142" max="4142" width="12.1796875" customWidth="1"/>
    <col min="4143" max="4143" width="12.453125" bestFit="1" customWidth="1"/>
    <col min="4146" max="4146" width="34.81640625" customWidth="1"/>
    <col min="4151" max="4151" width="9.453125" customWidth="1"/>
    <col min="4357" max="4357" width="12" bestFit="1" customWidth="1"/>
    <col min="4358" max="4358" width="16.7265625" bestFit="1" customWidth="1"/>
    <col min="4359" max="4359" width="11.453125" customWidth="1"/>
    <col min="4360" max="4360" width="16.7265625" customWidth="1"/>
    <col min="4361" max="4361" width="11.453125" customWidth="1"/>
    <col min="4362" max="4362" width="10.1796875" customWidth="1"/>
    <col min="4363" max="4363" width="12.7265625" customWidth="1"/>
    <col min="4364" max="4364" width="11.54296875" customWidth="1"/>
    <col min="4365" max="4365" width="12" bestFit="1" customWidth="1"/>
    <col min="4366" max="4366" width="14" customWidth="1"/>
    <col min="4367" max="4367" width="11.54296875" customWidth="1"/>
    <col min="4368" max="4368" width="12.7265625" customWidth="1"/>
    <col min="4369" max="4369" width="12.54296875" customWidth="1"/>
    <col min="4370" max="4370" width="11.26953125" customWidth="1"/>
    <col min="4371" max="4371" width="34.54296875" customWidth="1"/>
    <col min="4372" max="4372" width="11" bestFit="1" customWidth="1"/>
    <col min="4374" max="4374" width="14.26953125" customWidth="1"/>
    <col min="4377" max="4377" width="39.453125" customWidth="1"/>
    <col min="4379" max="4379" width="22.26953125" customWidth="1"/>
    <col min="4383" max="4383" width="21.26953125" customWidth="1"/>
    <col min="4387" max="4387" width="20.26953125" customWidth="1"/>
    <col min="4391" max="4391" width="34.453125" customWidth="1"/>
    <col min="4392" max="4392" width="26.54296875" customWidth="1"/>
    <col min="4393" max="4393" width="16.453125" customWidth="1"/>
    <col min="4394" max="4395" width="20.1796875" customWidth="1"/>
    <col min="4396" max="4396" width="37.1796875" customWidth="1"/>
    <col min="4397" max="4397" width="27" customWidth="1"/>
    <col min="4398" max="4398" width="12.1796875" customWidth="1"/>
    <col min="4399" max="4399" width="12.453125" bestFit="1" customWidth="1"/>
    <col min="4402" max="4402" width="34.81640625" customWidth="1"/>
    <col min="4407" max="4407" width="9.453125" customWidth="1"/>
    <col min="4613" max="4613" width="12" bestFit="1" customWidth="1"/>
    <col min="4614" max="4614" width="16.7265625" bestFit="1" customWidth="1"/>
    <col min="4615" max="4615" width="11.453125" customWidth="1"/>
    <col min="4616" max="4616" width="16.7265625" customWidth="1"/>
    <col min="4617" max="4617" width="11.453125" customWidth="1"/>
    <col min="4618" max="4618" width="10.1796875" customWidth="1"/>
    <col min="4619" max="4619" width="12.7265625" customWidth="1"/>
    <col min="4620" max="4620" width="11.54296875" customWidth="1"/>
    <col min="4621" max="4621" width="12" bestFit="1" customWidth="1"/>
    <col min="4622" max="4622" width="14" customWidth="1"/>
    <col min="4623" max="4623" width="11.54296875" customWidth="1"/>
    <col min="4624" max="4624" width="12.7265625" customWidth="1"/>
    <col min="4625" max="4625" width="12.54296875" customWidth="1"/>
    <col min="4626" max="4626" width="11.26953125" customWidth="1"/>
    <col min="4627" max="4627" width="34.54296875" customWidth="1"/>
    <col min="4628" max="4628" width="11" bestFit="1" customWidth="1"/>
    <col min="4630" max="4630" width="14.26953125" customWidth="1"/>
    <col min="4633" max="4633" width="39.453125" customWidth="1"/>
    <col min="4635" max="4635" width="22.26953125" customWidth="1"/>
    <col min="4639" max="4639" width="21.26953125" customWidth="1"/>
    <col min="4643" max="4643" width="20.26953125" customWidth="1"/>
    <col min="4647" max="4647" width="34.453125" customWidth="1"/>
    <col min="4648" max="4648" width="26.54296875" customWidth="1"/>
    <col min="4649" max="4649" width="16.453125" customWidth="1"/>
    <col min="4650" max="4651" width="20.1796875" customWidth="1"/>
    <col min="4652" max="4652" width="37.1796875" customWidth="1"/>
    <col min="4653" max="4653" width="27" customWidth="1"/>
    <col min="4654" max="4654" width="12.1796875" customWidth="1"/>
    <col min="4655" max="4655" width="12.453125" bestFit="1" customWidth="1"/>
    <col min="4658" max="4658" width="34.81640625" customWidth="1"/>
    <col min="4663" max="4663" width="9.453125" customWidth="1"/>
    <col min="4869" max="4869" width="12" bestFit="1" customWidth="1"/>
    <col min="4870" max="4870" width="16.7265625" bestFit="1" customWidth="1"/>
    <col min="4871" max="4871" width="11.453125" customWidth="1"/>
    <col min="4872" max="4872" width="16.7265625" customWidth="1"/>
    <col min="4873" max="4873" width="11.453125" customWidth="1"/>
    <col min="4874" max="4874" width="10.1796875" customWidth="1"/>
    <col min="4875" max="4875" width="12.7265625" customWidth="1"/>
    <col min="4876" max="4876" width="11.54296875" customWidth="1"/>
    <col min="4877" max="4877" width="12" bestFit="1" customWidth="1"/>
    <col min="4878" max="4878" width="14" customWidth="1"/>
    <col min="4879" max="4879" width="11.54296875" customWidth="1"/>
    <col min="4880" max="4880" width="12.7265625" customWidth="1"/>
    <col min="4881" max="4881" width="12.54296875" customWidth="1"/>
    <col min="4882" max="4882" width="11.26953125" customWidth="1"/>
    <col min="4883" max="4883" width="34.54296875" customWidth="1"/>
    <col min="4884" max="4884" width="11" bestFit="1" customWidth="1"/>
    <col min="4886" max="4886" width="14.26953125" customWidth="1"/>
    <col min="4889" max="4889" width="39.453125" customWidth="1"/>
    <col min="4891" max="4891" width="22.26953125" customWidth="1"/>
    <col min="4895" max="4895" width="21.26953125" customWidth="1"/>
    <col min="4899" max="4899" width="20.26953125" customWidth="1"/>
    <col min="4903" max="4903" width="34.453125" customWidth="1"/>
    <col min="4904" max="4904" width="26.54296875" customWidth="1"/>
    <col min="4905" max="4905" width="16.453125" customWidth="1"/>
    <col min="4906" max="4907" width="20.1796875" customWidth="1"/>
    <col min="4908" max="4908" width="37.1796875" customWidth="1"/>
    <col min="4909" max="4909" width="27" customWidth="1"/>
    <col min="4910" max="4910" width="12.1796875" customWidth="1"/>
    <col min="4911" max="4911" width="12.453125" bestFit="1" customWidth="1"/>
    <col min="4914" max="4914" width="34.81640625" customWidth="1"/>
    <col min="4919" max="4919" width="9.453125" customWidth="1"/>
    <col min="5125" max="5125" width="12" bestFit="1" customWidth="1"/>
    <col min="5126" max="5126" width="16.7265625" bestFit="1" customWidth="1"/>
    <col min="5127" max="5127" width="11.453125" customWidth="1"/>
    <col min="5128" max="5128" width="16.7265625" customWidth="1"/>
    <col min="5129" max="5129" width="11.453125" customWidth="1"/>
    <col min="5130" max="5130" width="10.1796875" customWidth="1"/>
    <col min="5131" max="5131" width="12.7265625" customWidth="1"/>
    <col min="5132" max="5132" width="11.54296875" customWidth="1"/>
    <col min="5133" max="5133" width="12" bestFit="1" customWidth="1"/>
    <col min="5134" max="5134" width="14" customWidth="1"/>
    <col min="5135" max="5135" width="11.54296875" customWidth="1"/>
    <col min="5136" max="5136" width="12.7265625" customWidth="1"/>
    <col min="5137" max="5137" width="12.54296875" customWidth="1"/>
    <col min="5138" max="5138" width="11.26953125" customWidth="1"/>
    <col min="5139" max="5139" width="34.54296875" customWidth="1"/>
    <col min="5140" max="5140" width="11" bestFit="1" customWidth="1"/>
    <col min="5142" max="5142" width="14.26953125" customWidth="1"/>
    <col min="5145" max="5145" width="39.453125" customWidth="1"/>
    <col min="5147" max="5147" width="22.26953125" customWidth="1"/>
    <col min="5151" max="5151" width="21.26953125" customWidth="1"/>
    <col min="5155" max="5155" width="20.26953125" customWidth="1"/>
    <col min="5159" max="5159" width="34.453125" customWidth="1"/>
    <col min="5160" max="5160" width="26.54296875" customWidth="1"/>
    <col min="5161" max="5161" width="16.453125" customWidth="1"/>
    <col min="5162" max="5163" width="20.1796875" customWidth="1"/>
    <col min="5164" max="5164" width="37.1796875" customWidth="1"/>
    <col min="5165" max="5165" width="27" customWidth="1"/>
    <col min="5166" max="5166" width="12.1796875" customWidth="1"/>
    <col min="5167" max="5167" width="12.453125" bestFit="1" customWidth="1"/>
    <col min="5170" max="5170" width="34.81640625" customWidth="1"/>
    <col min="5175" max="5175" width="9.453125" customWidth="1"/>
    <col min="5381" max="5381" width="12" bestFit="1" customWidth="1"/>
    <col min="5382" max="5382" width="16.7265625" bestFit="1" customWidth="1"/>
    <col min="5383" max="5383" width="11.453125" customWidth="1"/>
    <col min="5384" max="5384" width="16.7265625" customWidth="1"/>
    <col min="5385" max="5385" width="11.453125" customWidth="1"/>
    <col min="5386" max="5386" width="10.1796875" customWidth="1"/>
    <col min="5387" max="5387" width="12.7265625" customWidth="1"/>
    <col min="5388" max="5388" width="11.54296875" customWidth="1"/>
    <col min="5389" max="5389" width="12" bestFit="1" customWidth="1"/>
    <col min="5390" max="5390" width="14" customWidth="1"/>
    <col min="5391" max="5391" width="11.54296875" customWidth="1"/>
    <col min="5392" max="5392" width="12.7265625" customWidth="1"/>
    <col min="5393" max="5393" width="12.54296875" customWidth="1"/>
    <col min="5394" max="5394" width="11.26953125" customWidth="1"/>
    <col min="5395" max="5395" width="34.54296875" customWidth="1"/>
    <col min="5396" max="5396" width="11" bestFit="1" customWidth="1"/>
    <col min="5398" max="5398" width="14.26953125" customWidth="1"/>
    <col min="5401" max="5401" width="39.453125" customWidth="1"/>
    <col min="5403" max="5403" width="22.26953125" customWidth="1"/>
    <col min="5407" max="5407" width="21.26953125" customWidth="1"/>
    <col min="5411" max="5411" width="20.26953125" customWidth="1"/>
    <col min="5415" max="5415" width="34.453125" customWidth="1"/>
    <col min="5416" max="5416" width="26.54296875" customWidth="1"/>
    <col min="5417" max="5417" width="16.453125" customWidth="1"/>
    <col min="5418" max="5419" width="20.1796875" customWidth="1"/>
    <col min="5420" max="5420" width="37.1796875" customWidth="1"/>
    <col min="5421" max="5421" width="27" customWidth="1"/>
    <col min="5422" max="5422" width="12.1796875" customWidth="1"/>
    <col min="5423" max="5423" width="12.453125" bestFit="1" customWidth="1"/>
    <col min="5426" max="5426" width="34.81640625" customWidth="1"/>
    <col min="5431" max="5431" width="9.453125" customWidth="1"/>
    <col min="5637" max="5637" width="12" bestFit="1" customWidth="1"/>
    <col min="5638" max="5638" width="16.7265625" bestFit="1" customWidth="1"/>
    <col min="5639" max="5639" width="11.453125" customWidth="1"/>
    <col min="5640" max="5640" width="16.7265625" customWidth="1"/>
    <col min="5641" max="5641" width="11.453125" customWidth="1"/>
    <col min="5642" max="5642" width="10.1796875" customWidth="1"/>
    <col min="5643" max="5643" width="12.7265625" customWidth="1"/>
    <col min="5644" max="5644" width="11.54296875" customWidth="1"/>
    <col min="5645" max="5645" width="12" bestFit="1" customWidth="1"/>
    <col min="5646" max="5646" width="14" customWidth="1"/>
    <col min="5647" max="5647" width="11.54296875" customWidth="1"/>
    <col min="5648" max="5648" width="12.7265625" customWidth="1"/>
    <col min="5649" max="5649" width="12.54296875" customWidth="1"/>
    <col min="5650" max="5650" width="11.26953125" customWidth="1"/>
    <col min="5651" max="5651" width="34.54296875" customWidth="1"/>
    <col min="5652" max="5652" width="11" bestFit="1" customWidth="1"/>
    <col min="5654" max="5654" width="14.26953125" customWidth="1"/>
    <col min="5657" max="5657" width="39.453125" customWidth="1"/>
    <col min="5659" max="5659" width="22.26953125" customWidth="1"/>
    <col min="5663" max="5663" width="21.26953125" customWidth="1"/>
    <col min="5667" max="5667" width="20.26953125" customWidth="1"/>
    <col min="5671" max="5671" width="34.453125" customWidth="1"/>
    <col min="5672" max="5672" width="26.54296875" customWidth="1"/>
    <col min="5673" max="5673" width="16.453125" customWidth="1"/>
    <col min="5674" max="5675" width="20.1796875" customWidth="1"/>
    <col min="5676" max="5676" width="37.1796875" customWidth="1"/>
    <col min="5677" max="5677" width="27" customWidth="1"/>
    <col min="5678" max="5678" width="12.1796875" customWidth="1"/>
    <col min="5679" max="5679" width="12.453125" bestFit="1" customWidth="1"/>
    <col min="5682" max="5682" width="34.81640625" customWidth="1"/>
    <col min="5687" max="5687" width="9.453125" customWidth="1"/>
    <col min="5893" max="5893" width="12" bestFit="1" customWidth="1"/>
    <col min="5894" max="5894" width="16.7265625" bestFit="1" customWidth="1"/>
    <col min="5895" max="5895" width="11.453125" customWidth="1"/>
    <col min="5896" max="5896" width="16.7265625" customWidth="1"/>
    <col min="5897" max="5897" width="11.453125" customWidth="1"/>
    <col min="5898" max="5898" width="10.1796875" customWidth="1"/>
    <col min="5899" max="5899" width="12.7265625" customWidth="1"/>
    <col min="5900" max="5900" width="11.54296875" customWidth="1"/>
    <col min="5901" max="5901" width="12" bestFit="1" customWidth="1"/>
    <col min="5902" max="5902" width="14" customWidth="1"/>
    <col min="5903" max="5903" width="11.54296875" customWidth="1"/>
    <col min="5904" max="5904" width="12.7265625" customWidth="1"/>
    <col min="5905" max="5905" width="12.54296875" customWidth="1"/>
    <col min="5906" max="5906" width="11.26953125" customWidth="1"/>
    <col min="5907" max="5907" width="34.54296875" customWidth="1"/>
    <col min="5908" max="5908" width="11" bestFit="1" customWidth="1"/>
    <col min="5910" max="5910" width="14.26953125" customWidth="1"/>
    <col min="5913" max="5913" width="39.453125" customWidth="1"/>
    <col min="5915" max="5915" width="22.26953125" customWidth="1"/>
    <col min="5919" max="5919" width="21.26953125" customWidth="1"/>
    <col min="5923" max="5923" width="20.26953125" customWidth="1"/>
    <col min="5927" max="5927" width="34.453125" customWidth="1"/>
    <col min="5928" max="5928" width="26.54296875" customWidth="1"/>
    <col min="5929" max="5929" width="16.453125" customWidth="1"/>
    <col min="5930" max="5931" width="20.1796875" customWidth="1"/>
    <col min="5932" max="5932" width="37.1796875" customWidth="1"/>
    <col min="5933" max="5933" width="27" customWidth="1"/>
    <col min="5934" max="5934" width="12.1796875" customWidth="1"/>
    <col min="5935" max="5935" width="12.453125" bestFit="1" customWidth="1"/>
    <col min="5938" max="5938" width="34.81640625" customWidth="1"/>
    <col min="5943" max="5943" width="9.453125" customWidth="1"/>
    <col min="6149" max="6149" width="12" bestFit="1" customWidth="1"/>
    <col min="6150" max="6150" width="16.7265625" bestFit="1" customWidth="1"/>
    <col min="6151" max="6151" width="11.453125" customWidth="1"/>
    <col min="6152" max="6152" width="16.7265625" customWidth="1"/>
    <col min="6153" max="6153" width="11.453125" customWidth="1"/>
    <col min="6154" max="6154" width="10.1796875" customWidth="1"/>
    <col min="6155" max="6155" width="12.7265625" customWidth="1"/>
    <col min="6156" max="6156" width="11.54296875" customWidth="1"/>
    <col min="6157" max="6157" width="12" bestFit="1" customWidth="1"/>
    <col min="6158" max="6158" width="14" customWidth="1"/>
    <col min="6159" max="6159" width="11.54296875" customWidth="1"/>
    <col min="6160" max="6160" width="12.7265625" customWidth="1"/>
    <col min="6161" max="6161" width="12.54296875" customWidth="1"/>
    <col min="6162" max="6162" width="11.26953125" customWidth="1"/>
    <col min="6163" max="6163" width="34.54296875" customWidth="1"/>
    <col min="6164" max="6164" width="11" bestFit="1" customWidth="1"/>
    <col min="6166" max="6166" width="14.26953125" customWidth="1"/>
    <col min="6169" max="6169" width="39.453125" customWidth="1"/>
    <col min="6171" max="6171" width="22.26953125" customWidth="1"/>
    <col min="6175" max="6175" width="21.26953125" customWidth="1"/>
    <col min="6179" max="6179" width="20.26953125" customWidth="1"/>
    <col min="6183" max="6183" width="34.453125" customWidth="1"/>
    <col min="6184" max="6184" width="26.54296875" customWidth="1"/>
    <col min="6185" max="6185" width="16.453125" customWidth="1"/>
    <col min="6186" max="6187" width="20.1796875" customWidth="1"/>
    <col min="6188" max="6188" width="37.1796875" customWidth="1"/>
    <col min="6189" max="6189" width="27" customWidth="1"/>
    <col min="6190" max="6190" width="12.1796875" customWidth="1"/>
    <col min="6191" max="6191" width="12.453125" bestFit="1" customWidth="1"/>
    <col min="6194" max="6194" width="34.81640625" customWidth="1"/>
    <col min="6199" max="6199" width="9.453125" customWidth="1"/>
    <col min="6405" max="6405" width="12" bestFit="1" customWidth="1"/>
    <col min="6406" max="6406" width="16.7265625" bestFit="1" customWidth="1"/>
    <col min="6407" max="6407" width="11.453125" customWidth="1"/>
    <col min="6408" max="6408" width="16.7265625" customWidth="1"/>
    <col min="6409" max="6409" width="11.453125" customWidth="1"/>
    <col min="6410" max="6410" width="10.1796875" customWidth="1"/>
    <col min="6411" max="6411" width="12.7265625" customWidth="1"/>
    <col min="6412" max="6412" width="11.54296875" customWidth="1"/>
    <col min="6413" max="6413" width="12" bestFit="1" customWidth="1"/>
    <col min="6414" max="6414" width="14" customWidth="1"/>
    <col min="6415" max="6415" width="11.54296875" customWidth="1"/>
    <col min="6416" max="6416" width="12.7265625" customWidth="1"/>
    <col min="6417" max="6417" width="12.54296875" customWidth="1"/>
    <col min="6418" max="6418" width="11.26953125" customWidth="1"/>
    <col min="6419" max="6419" width="34.54296875" customWidth="1"/>
    <col min="6420" max="6420" width="11" bestFit="1" customWidth="1"/>
    <col min="6422" max="6422" width="14.26953125" customWidth="1"/>
    <col min="6425" max="6425" width="39.453125" customWidth="1"/>
    <col min="6427" max="6427" width="22.26953125" customWidth="1"/>
    <col min="6431" max="6431" width="21.26953125" customWidth="1"/>
    <col min="6435" max="6435" width="20.26953125" customWidth="1"/>
    <col min="6439" max="6439" width="34.453125" customWidth="1"/>
    <col min="6440" max="6440" width="26.54296875" customWidth="1"/>
    <col min="6441" max="6441" width="16.453125" customWidth="1"/>
    <col min="6442" max="6443" width="20.1796875" customWidth="1"/>
    <col min="6444" max="6444" width="37.1796875" customWidth="1"/>
    <col min="6445" max="6445" width="27" customWidth="1"/>
    <col min="6446" max="6446" width="12.1796875" customWidth="1"/>
    <col min="6447" max="6447" width="12.453125" bestFit="1" customWidth="1"/>
    <col min="6450" max="6450" width="34.81640625" customWidth="1"/>
    <col min="6455" max="6455" width="9.453125" customWidth="1"/>
    <col min="6661" max="6661" width="12" bestFit="1" customWidth="1"/>
    <col min="6662" max="6662" width="16.7265625" bestFit="1" customWidth="1"/>
    <col min="6663" max="6663" width="11.453125" customWidth="1"/>
    <col min="6664" max="6664" width="16.7265625" customWidth="1"/>
    <col min="6665" max="6665" width="11.453125" customWidth="1"/>
    <col min="6666" max="6666" width="10.1796875" customWidth="1"/>
    <col min="6667" max="6667" width="12.7265625" customWidth="1"/>
    <col min="6668" max="6668" width="11.54296875" customWidth="1"/>
    <col min="6669" max="6669" width="12" bestFit="1" customWidth="1"/>
    <col min="6670" max="6670" width="14" customWidth="1"/>
    <col min="6671" max="6671" width="11.54296875" customWidth="1"/>
    <col min="6672" max="6672" width="12.7265625" customWidth="1"/>
    <col min="6673" max="6673" width="12.54296875" customWidth="1"/>
    <col min="6674" max="6674" width="11.26953125" customWidth="1"/>
    <col min="6675" max="6675" width="34.54296875" customWidth="1"/>
    <col min="6676" max="6676" width="11" bestFit="1" customWidth="1"/>
    <col min="6678" max="6678" width="14.26953125" customWidth="1"/>
    <col min="6681" max="6681" width="39.453125" customWidth="1"/>
    <col min="6683" max="6683" width="22.26953125" customWidth="1"/>
    <col min="6687" max="6687" width="21.26953125" customWidth="1"/>
    <col min="6691" max="6691" width="20.26953125" customWidth="1"/>
    <col min="6695" max="6695" width="34.453125" customWidth="1"/>
    <col min="6696" max="6696" width="26.54296875" customWidth="1"/>
    <col min="6697" max="6697" width="16.453125" customWidth="1"/>
    <col min="6698" max="6699" width="20.1796875" customWidth="1"/>
    <col min="6700" max="6700" width="37.1796875" customWidth="1"/>
    <col min="6701" max="6701" width="27" customWidth="1"/>
    <col min="6702" max="6702" width="12.1796875" customWidth="1"/>
    <col min="6703" max="6703" width="12.453125" bestFit="1" customWidth="1"/>
    <col min="6706" max="6706" width="34.81640625" customWidth="1"/>
    <col min="6711" max="6711" width="9.453125" customWidth="1"/>
    <col min="6917" max="6917" width="12" bestFit="1" customWidth="1"/>
    <col min="6918" max="6918" width="16.7265625" bestFit="1" customWidth="1"/>
    <col min="6919" max="6919" width="11.453125" customWidth="1"/>
    <col min="6920" max="6920" width="16.7265625" customWidth="1"/>
    <col min="6921" max="6921" width="11.453125" customWidth="1"/>
    <col min="6922" max="6922" width="10.1796875" customWidth="1"/>
    <col min="6923" max="6923" width="12.7265625" customWidth="1"/>
    <col min="6924" max="6924" width="11.54296875" customWidth="1"/>
    <col min="6925" max="6925" width="12" bestFit="1" customWidth="1"/>
    <col min="6926" max="6926" width="14" customWidth="1"/>
    <col min="6927" max="6927" width="11.54296875" customWidth="1"/>
    <col min="6928" max="6928" width="12.7265625" customWidth="1"/>
    <col min="6929" max="6929" width="12.54296875" customWidth="1"/>
    <col min="6930" max="6930" width="11.26953125" customWidth="1"/>
    <col min="6931" max="6931" width="34.54296875" customWidth="1"/>
    <col min="6932" max="6932" width="11" bestFit="1" customWidth="1"/>
    <col min="6934" max="6934" width="14.26953125" customWidth="1"/>
    <col min="6937" max="6937" width="39.453125" customWidth="1"/>
    <col min="6939" max="6939" width="22.26953125" customWidth="1"/>
    <col min="6943" max="6943" width="21.26953125" customWidth="1"/>
    <col min="6947" max="6947" width="20.26953125" customWidth="1"/>
    <col min="6951" max="6951" width="34.453125" customWidth="1"/>
    <col min="6952" max="6952" width="26.54296875" customWidth="1"/>
    <col min="6953" max="6953" width="16.453125" customWidth="1"/>
    <col min="6954" max="6955" width="20.1796875" customWidth="1"/>
    <col min="6956" max="6956" width="37.1796875" customWidth="1"/>
    <col min="6957" max="6957" width="27" customWidth="1"/>
    <col min="6958" max="6958" width="12.1796875" customWidth="1"/>
    <col min="6959" max="6959" width="12.453125" bestFit="1" customWidth="1"/>
    <col min="6962" max="6962" width="34.81640625" customWidth="1"/>
    <col min="6967" max="6967" width="9.453125" customWidth="1"/>
    <col min="7173" max="7173" width="12" bestFit="1" customWidth="1"/>
    <col min="7174" max="7174" width="16.7265625" bestFit="1" customWidth="1"/>
    <col min="7175" max="7175" width="11.453125" customWidth="1"/>
    <col min="7176" max="7176" width="16.7265625" customWidth="1"/>
    <col min="7177" max="7177" width="11.453125" customWidth="1"/>
    <col min="7178" max="7178" width="10.1796875" customWidth="1"/>
    <col min="7179" max="7179" width="12.7265625" customWidth="1"/>
    <col min="7180" max="7180" width="11.54296875" customWidth="1"/>
    <col min="7181" max="7181" width="12" bestFit="1" customWidth="1"/>
    <col min="7182" max="7182" width="14" customWidth="1"/>
    <col min="7183" max="7183" width="11.54296875" customWidth="1"/>
    <col min="7184" max="7184" width="12.7265625" customWidth="1"/>
    <col min="7185" max="7185" width="12.54296875" customWidth="1"/>
    <col min="7186" max="7186" width="11.26953125" customWidth="1"/>
    <col min="7187" max="7187" width="34.54296875" customWidth="1"/>
    <col min="7188" max="7188" width="11" bestFit="1" customWidth="1"/>
    <col min="7190" max="7190" width="14.26953125" customWidth="1"/>
    <col min="7193" max="7193" width="39.453125" customWidth="1"/>
    <col min="7195" max="7195" width="22.26953125" customWidth="1"/>
    <col min="7199" max="7199" width="21.26953125" customWidth="1"/>
    <col min="7203" max="7203" width="20.26953125" customWidth="1"/>
    <col min="7207" max="7207" width="34.453125" customWidth="1"/>
    <col min="7208" max="7208" width="26.54296875" customWidth="1"/>
    <col min="7209" max="7209" width="16.453125" customWidth="1"/>
    <col min="7210" max="7211" width="20.1796875" customWidth="1"/>
    <col min="7212" max="7212" width="37.1796875" customWidth="1"/>
    <col min="7213" max="7213" width="27" customWidth="1"/>
    <col min="7214" max="7214" width="12.1796875" customWidth="1"/>
    <col min="7215" max="7215" width="12.453125" bestFit="1" customWidth="1"/>
    <col min="7218" max="7218" width="34.81640625" customWidth="1"/>
    <col min="7223" max="7223" width="9.453125" customWidth="1"/>
    <col min="7429" max="7429" width="12" bestFit="1" customWidth="1"/>
    <col min="7430" max="7430" width="16.7265625" bestFit="1" customWidth="1"/>
    <col min="7431" max="7431" width="11.453125" customWidth="1"/>
    <col min="7432" max="7432" width="16.7265625" customWidth="1"/>
    <col min="7433" max="7433" width="11.453125" customWidth="1"/>
    <col min="7434" max="7434" width="10.1796875" customWidth="1"/>
    <col min="7435" max="7435" width="12.7265625" customWidth="1"/>
    <col min="7436" max="7436" width="11.54296875" customWidth="1"/>
    <col min="7437" max="7437" width="12" bestFit="1" customWidth="1"/>
    <col min="7438" max="7438" width="14" customWidth="1"/>
    <col min="7439" max="7439" width="11.54296875" customWidth="1"/>
    <col min="7440" max="7440" width="12.7265625" customWidth="1"/>
    <col min="7441" max="7441" width="12.54296875" customWidth="1"/>
    <col min="7442" max="7442" width="11.26953125" customWidth="1"/>
    <col min="7443" max="7443" width="34.54296875" customWidth="1"/>
    <col min="7444" max="7444" width="11" bestFit="1" customWidth="1"/>
    <col min="7446" max="7446" width="14.26953125" customWidth="1"/>
    <col min="7449" max="7449" width="39.453125" customWidth="1"/>
    <col min="7451" max="7451" width="22.26953125" customWidth="1"/>
    <col min="7455" max="7455" width="21.26953125" customWidth="1"/>
    <col min="7459" max="7459" width="20.26953125" customWidth="1"/>
    <col min="7463" max="7463" width="34.453125" customWidth="1"/>
    <col min="7464" max="7464" width="26.54296875" customWidth="1"/>
    <col min="7465" max="7465" width="16.453125" customWidth="1"/>
    <col min="7466" max="7467" width="20.1796875" customWidth="1"/>
    <col min="7468" max="7468" width="37.1796875" customWidth="1"/>
    <col min="7469" max="7469" width="27" customWidth="1"/>
    <col min="7470" max="7470" width="12.1796875" customWidth="1"/>
    <col min="7471" max="7471" width="12.453125" bestFit="1" customWidth="1"/>
    <col min="7474" max="7474" width="34.81640625" customWidth="1"/>
    <col min="7479" max="7479" width="9.453125" customWidth="1"/>
    <col min="7685" max="7685" width="12" bestFit="1" customWidth="1"/>
    <col min="7686" max="7686" width="16.7265625" bestFit="1" customWidth="1"/>
    <col min="7687" max="7687" width="11.453125" customWidth="1"/>
    <col min="7688" max="7688" width="16.7265625" customWidth="1"/>
    <col min="7689" max="7689" width="11.453125" customWidth="1"/>
    <col min="7690" max="7690" width="10.1796875" customWidth="1"/>
    <col min="7691" max="7691" width="12.7265625" customWidth="1"/>
    <col min="7692" max="7692" width="11.54296875" customWidth="1"/>
    <col min="7693" max="7693" width="12" bestFit="1" customWidth="1"/>
    <col min="7694" max="7694" width="14" customWidth="1"/>
    <col min="7695" max="7695" width="11.54296875" customWidth="1"/>
    <col min="7696" max="7696" width="12.7265625" customWidth="1"/>
    <col min="7697" max="7697" width="12.54296875" customWidth="1"/>
    <col min="7698" max="7698" width="11.26953125" customWidth="1"/>
    <col min="7699" max="7699" width="34.54296875" customWidth="1"/>
    <col min="7700" max="7700" width="11" bestFit="1" customWidth="1"/>
    <col min="7702" max="7702" width="14.26953125" customWidth="1"/>
    <col min="7705" max="7705" width="39.453125" customWidth="1"/>
    <col min="7707" max="7707" width="22.26953125" customWidth="1"/>
    <col min="7711" max="7711" width="21.26953125" customWidth="1"/>
    <col min="7715" max="7715" width="20.26953125" customWidth="1"/>
    <col min="7719" max="7719" width="34.453125" customWidth="1"/>
    <col min="7720" max="7720" width="26.54296875" customWidth="1"/>
    <col min="7721" max="7721" width="16.453125" customWidth="1"/>
    <col min="7722" max="7723" width="20.1796875" customWidth="1"/>
    <col min="7724" max="7724" width="37.1796875" customWidth="1"/>
    <col min="7725" max="7725" width="27" customWidth="1"/>
    <col min="7726" max="7726" width="12.1796875" customWidth="1"/>
    <col min="7727" max="7727" width="12.453125" bestFit="1" customWidth="1"/>
    <col min="7730" max="7730" width="34.81640625" customWidth="1"/>
    <col min="7735" max="7735" width="9.453125" customWidth="1"/>
    <col min="7941" max="7941" width="12" bestFit="1" customWidth="1"/>
    <col min="7942" max="7942" width="16.7265625" bestFit="1" customWidth="1"/>
    <col min="7943" max="7943" width="11.453125" customWidth="1"/>
    <col min="7944" max="7944" width="16.7265625" customWidth="1"/>
    <col min="7945" max="7945" width="11.453125" customWidth="1"/>
    <col min="7946" max="7946" width="10.1796875" customWidth="1"/>
    <col min="7947" max="7947" width="12.7265625" customWidth="1"/>
    <col min="7948" max="7948" width="11.54296875" customWidth="1"/>
    <col min="7949" max="7949" width="12" bestFit="1" customWidth="1"/>
    <col min="7950" max="7950" width="14" customWidth="1"/>
    <col min="7951" max="7951" width="11.54296875" customWidth="1"/>
    <col min="7952" max="7952" width="12.7265625" customWidth="1"/>
    <col min="7953" max="7953" width="12.54296875" customWidth="1"/>
    <col min="7954" max="7954" width="11.26953125" customWidth="1"/>
    <col min="7955" max="7955" width="34.54296875" customWidth="1"/>
    <col min="7956" max="7956" width="11" bestFit="1" customWidth="1"/>
    <col min="7958" max="7958" width="14.26953125" customWidth="1"/>
    <col min="7961" max="7961" width="39.453125" customWidth="1"/>
    <col min="7963" max="7963" width="22.26953125" customWidth="1"/>
    <col min="7967" max="7967" width="21.26953125" customWidth="1"/>
    <col min="7971" max="7971" width="20.26953125" customWidth="1"/>
    <col min="7975" max="7975" width="34.453125" customWidth="1"/>
    <col min="7976" max="7976" width="26.54296875" customWidth="1"/>
    <col min="7977" max="7977" width="16.453125" customWidth="1"/>
    <col min="7978" max="7979" width="20.1796875" customWidth="1"/>
    <col min="7980" max="7980" width="37.1796875" customWidth="1"/>
    <col min="7981" max="7981" width="27" customWidth="1"/>
    <col min="7982" max="7982" width="12.1796875" customWidth="1"/>
    <col min="7983" max="7983" width="12.453125" bestFit="1" customWidth="1"/>
    <col min="7986" max="7986" width="34.81640625" customWidth="1"/>
    <col min="7991" max="7991" width="9.453125" customWidth="1"/>
    <col min="8197" max="8197" width="12" bestFit="1" customWidth="1"/>
    <col min="8198" max="8198" width="16.7265625" bestFit="1" customWidth="1"/>
    <col min="8199" max="8199" width="11.453125" customWidth="1"/>
    <col min="8200" max="8200" width="16.7265625" customWidth="1"/>
    <col min="8201" max="8201" width="11.453125" customWidth="1"/>
    <col min="8202" max="8202" width="10.1796875" customWidth="1"/>
    <col min="8203" max="8203" width="12.7265625" customWidth="1"/>
    <col min="8204" max="8204" width="11.54296875" customWidth="1"/>
    <col min="8205" max="8205" width="12" bestFit="1" customWidth="1"/>
    <col min="8206" max="8206" width="14" customWidth="1"/>
    <col min="8207" max="8207" width="11.54296875" customWidth="1"/>
    <col min="8208" max="8208" width="12.7265625" customWidth="1"/>
    <col min="8209" max="8209" width="12.54296875" customWidth="1"/>
    <col min="8210" max="8210" width="11.26953125" customWidth="1"/>
    <col min="8211" max="8211" width="34.54296875" customWidth="1"/>
    <col min="8212" max="8212" width="11" bestFit="1" customWidth="1"/>
    <col min="8214" max="8214" width="14.26953125" customWidth="1"/>
    <col min="8217" max="8217" width="39.453125" customWidth="1"/>
    <col min="8219" max="8219" width="22.26953125" customWidth="1"/>
    <col min="8223" max="8223" width="21.26953125" customWidth="1"/>
    <col min="8227" max="8227" width="20.26953125" customWidth="1"/>
    <col min="8231" max="8231" width="34.453125" customWidth="1"/>
    <col min="8232" max="8232" width="26.54296875" customWidth="1"/>
    <col min="8233" max="8233" width="16.453125" customWidth="1"/>
    <col min="8234" max="8235" width="20.1796875" customWidth="1"/>
    <col min="8236" max="8236" width="37.1796875" customWidth="1"/>
    <col min="8237" max="8237" width="27" customWidth="1"/>
    <col min="8238" max="8238" width="12.1796875" customWidth="1"/>
    <col min="8239" max="8239" width="12.453125" bestFit="1" customWidth="1"/>
    <col min="8242" max="8242" width="34.81640625" customWidth="1"/>
    <col min="8247" max="8247" width="9.453125" customWidth="1"/>
    <col min="8453" max="8453" width="12" bestFit="1" customWidth="1"/>
    <col min="8454" max="8454" width="16.7265625" bestFit="1" customWidth="1"/>
    <col min="8455" max="8455" width="11.453125" customWidth="1"/>
    <col min="8456" max="8456" width="16.7265625" customWidth="1"/>
    <col min="8457" max="8457" width="11.453125" customWidth="1"/>
    <col min="8458" max="8458" width="10.1796875" customWidth="1"/>
    <col min="8459" max="8459" width="12.7265625" customWidth="1"/>
    <col min="8460" max="8460" width="11.54296875" customWidth="1"/>
    <col min="8461" max="8461" width="12" bestFit="1" customWidth="1"/>
    <col min="8462" max="8462" width="14" customWidth="1"/>
    <col min="8463" max="8463" width="11.54296875" customWidth="1"/>
    <col min="8464" max="8464" width="12.7265625" customWidth="1"/>
    <col min="8465" max="8465" width="12.54296875" customWidth="1"/>
    <col min="8466" max="8466" width="11.26953125" customWidth="1"/>
    <col min="8467" max="8467" width="34.54296875" customWidth="1"/>
    <col min="8468" max="8468" width="11" bestFit="1" customWidth="1"/>
    <col min="8470" max="8470" width="14.26953125" customWidth="1"/>
    <col min="8473" max="8473" width="39.453125" customWidth="1"/>
    <col min="8475" max="8475" width="22.26953125" customWidth="1"/>
    <col min="8479" max="8479" width="21.26953125" customWidth="1"/>
    <col min="8483" max="8483" width="20.26953125" customWidth="1"/>
    <col min="8487" max="8487" width="34.453125" customWidth="1"/>
    <col min="8488" max="8488" width="26.54296875" customWidth="1"/>
    <col min="8489" max="8489" width="16.453125" customWidth="1"/>
    <col min="8490" max="8491" width="20.1796875" customWidth="1"/>
    <col min="8492" max="8492" width="37.1796875" customWidth="1"/>
    <col min="8493" max="8493" width="27" customWidth="1"/>
    <col min="8494" max="8494" width="12.1796875" customWidth="1"/>
    <col min="8495" max="8495" width="12.453125" bestFit="1" customWidth="1"/>
    <col min="8498" max="8498" width="34.81640625" customWidth="1"/>
    <col min="8503" max="8503" width="9.453125" customWidth="1"/>
    <col min="8709" max="8709" width="12" bestFit="1" customWidth="1"/>
    <col min="8710" max="8710" width="16.7265625" bestFit="1" customWidth="1"/>
    <col min="8711" max="8711" width="11.453125" customWidth="1"/>
    <col min="8712" max="8712" width="16.7265625" customWidth="1"/>
    <col min="8713" max="8713" width="11.453125" customWidth="1"/>
    <col min="8714" max="8714" width="10.1796875" customWidth="1"/>
    <col min="8715" max="8715" width="12.7265625" customWidth="1"/>
    <col min="8716" max="8716" width="11.54296875" customWidth="1"/>
    <col min="8717" max="8717" width="12" bestFit="1" customWidth="1"/>
    <col min="8718" max="8718" width="14" customWidth="1"/>
    <col min="8719" max="8719" width="11.54296875" customWidth="1"/>
    <col min="8720" max="8720" width="12.7265625" customWidth="1"/>
    <col min="8721" max="8721" width="12.54296875" customWidth="1"/>
    <col min="8722" max="8722" width="11.26953125" customWidth="1"/>
    <col min="8723" max="8723" width="34.54296875" customWidth="1"/>
    <col min="8724" max="8724" width="11" bestFit="1" customWidth="1"/>
    <col min="8726" max="8726" width="14.26953125" customWidth="1"/>
    <col min="8729" max="8729" width="39.453125" customWidth="1"/>
    <col min="8731" max="8731" width="22.26953125" customWidth="1"/>
    <col min="8735" max="8735" width="21.26953125" customWidth="1"/>
    <col min="8739" max="8739" width="20.26953125" customWidth="1"/>
    <col min="8743" max="8743" width="34.453125" customWidth="1"/>
    <col min="8744" max="8744" width="26.54296875" customWidth="1"/>
    <col min="8745" max="8745" width="16.453125" customWidth="1"/>
    <col min="8746" max="8747" width="20.1796875" customWidth="1"/>
    <col min="8748" max="8748" width="37.1796875" customWidth="1"/>
    <col min="8749" max="8749" width="27" customWidth="1"/>
    <col min="8750" max="8750" width="12.1796875" customWidth="1"/>
    <col min="8751" max="8751" width="12.453125" bestFit="1" customWidth="1"/>
    <col min="8754" max="8754" width="34.81640625" customWidth="1"/>
    <col min="8759" max="8759" width="9.453125" customWidth="1"/>
    <col min="8965" max="8965" width="12" bestFit="1" customWidth="1"/>
    <col min="8966" max="8966" width="16.7265625" bestFit="1" customWidth="1"/>
    <col min="8967" max="8967" width="11.453125" customWidth="1"/>
    <col min="8968" max="8968" width="16.7265625" customWidth="1"/>
    <col min="8969" max="8969" width="11.453125" customWidth="1"/>
    <col min="8970" max="8970" width="10.1796875" customWidth="1"/>
    <col min="8971" max="8971" width="12.7265625" customWidth="1"/>
    <col min="8972" max="8972" width="11.54296875" customWidth="1"/>
    <col min="8973" max="8973" width="12" bestFit="1" customWidth="1"/>
    <col min="8974" max="8974" width="14" customWidth="1"/>
    <col min="8975" max="8975" width="11.54296875" customWidth="1"/>
    <col min="8976" max="8976" width="12.7265625" customWidth="1"/>
    <col min="8977" max="8977" width="12.54296875" customWidth="1"/>
    <col min="8978" max="8978" width="11.26953125" customWidth="1"/>
    <col min="8979" max="8979" width="34.54296875" customWidth="1"/>
    <col min="8980" max="8980" width="11" bestFit="1" customWidth="1"/>
    <col min="8982" max="8982" width="14.26953125" customWidth="1"/>
    <col min="8985" max="8985" width="39.453125" customWidth="1"/>
    <col min="8987" max="8987" width="22.26953125" customWidth="1"/>
    <col min="8991" max="8991" width="21.26953125" customWidth="1"/>
    <col min="8995" max="8995" width="20.26953125" customWidth="1"/>
    <col min="8999" max="8999" width="34.453125" customWidth="1"/>
    <col min="9000" max="9000" width="26.54296875" customWidth="1"/>
    <col min="9001" max="9001" width="16.453125" customWidth="1"/>
    <col min="9002" max="9003" width="20.1796875" customWidth="1"/>
    <col min="9004" max="9004" width="37.1796875" customWidth="1"/>
    <col min="9005" max="9005" width="27" customWidth="1"/>
    <col min="9006" max="9006" width="12.1796875" customWidth="1"/>
    <col min="9007" max="9007" width="12.453125" bestFit="1" customWidth="1"/>
    <col min="9010" max="9010" width="34.81640625" customWidth="1"/>
    <col min="9015" max="9015" width="9.453125" customWidth="1"/>
    <col min="9221" max="9221" width="12" bestFit="1" customWidth="1"/>
    <col min="9222" max="9222" width="16.7265625" bestFit="1" customWidth="1"/>
    <col min="9223" max="9223" width="11.453125" customWidth="1"/>
    <col min="9224" max="9224" width="16.7265625" customWidth="1"/>
    <col min="9225" max="9225" width="11.453125" customWidth="1"/>
    <col min="9226" max="9226" width="10.1796875" customWidth="1"/>
    <col min="9227" max="9227" width="12.7265625" customWidth="1"/>
    <col min="9228" max="9228" width="11.54296875" customWidth="1"/>
    <col min="9229" max="9229" width="12" bestFit="1" customWidth="1"/>
    <col min="9230" max="9230" width="14" customWidth="1"/>
    <col min="9231" max="9231" width="11.54296875" customWidth="1"/>
    <col min="9232" max="9232" width="12.7265625" customWidth="1"/>
    <col min="9233" max="9233" width="12.54296875" customWidth="1"/>
    <col min="9234" max="9234" width="11.26953125" customWidth="1"/>
    <col min="9235" max="9235" width="34.54296875" customWidth="1"/>
    <col min="9236" max="9236" width="11" bestFit="1" customWidth="1"/>
    <col min="9238" max="9238" width="14.26953125" customWidth="1"/>
    <col min="9241" max="9241" width="39.453125" customWidth="1"/>
    <col min="9243" max="9243" width="22.26953125" customWidth="1"/>
    <col min="9247" max="9247" width="21.26953125" customWidth="1"/>
    <col min="9251" max="9251" width="20.26953125" customWidth="1"/>
    <col min="9255" max="9255" width="34.453125" customWidth="1"/>
    <col min="9256" max="9256" width="26.54296875" customWidth="1"/>
    <col min="9257" max="9257" width="16.453125" customWidth="1"/>
    <col min="9258" max="9259" width="20.1796875" customWidth="1"/>
    <col min="9260" max="9260" width="37.1796875" customWidth="1"/>
    <col min="9261" max="9261" width="27" customWidth="1"/>
    <col min="9262" max="9262" width="12.1796875" customWidth="1"/>
    <col min="9263" max="9263" width="12.453125" bestFit="1" customWidth="1"/>
    <col min="9266" max="9266" width="34.81640625" customWidth="1"/>
    <col min="9271" max="9271" width="9.453125" customWidth="1"/>
    <col min="9477" max="9477" width="12" bestFit="1" customWidth="1"/>
    <col min="9478" max="9478" width="16.7265625" bestFit="1" customWidth="1"/>
    <col min="9479" max="9479" width="11.453125" customWidth="1"/>
    <col min="9480" max="9480" width="16.7265625" customWidth="1"/>
    <col min="9481" max="9481" width="11.453125" customWidth="1"/>
    <col min="9482" max="9482" width="10.1796875" customWidth="1"/>
    <col min="9483" max="9483" width="12.7265625" customWidth="1"/>
    <col min="9484" max="9484" width="11.54296875" customWidth="1"/>
    <col min="9485" max="9485" width="12" bestFit="1" customWidth="1"/>
    <col min="9486" max="9486" width="14" customWidth="1"/>
    <col min="9487" max="9487" width="11.54296875" customWidth="1"/>
    <col min="9488" max="9488" width="12.7265625" customWidth="1"/>
    <col min="9489" max="9489" width="12.54296875" customWidth="1"/>
    <col min="9490" max="9490" width="11.26953125" customWidth="1"/>
    <col min="9491" max="9491" width="34.54296875" customWidth="1"/>
    <col min="9492" max="9492" width="11" bestFit="1" customWidth="1"/>
    <col min="9494" max="9494" width="14.26953125" customWidth="1"/>
    <col min="9497" max="9497" width="39.453125" customWidth="1"/>
    <col min="9499" max="9499" width="22.26953125" customWidth="1"/>
    <col min="9503" max="9503" width="21.26953125" customWidth="1"/>
    <col min="9507" max="9507" width="20.26953125" customWidth="1"/>
    <col min="9511" max="9511" width="34.453125" customWidth="1"/>
    <col min="9512" max="9512" width="26.54296875" customWidth="1"/>
    <col min="9513" max="9513" width="16.453125" customWidth="1"/>
    <col min="9514" max="9515" width="20.1796875" customWidth="1"/>
    <col min="9516" max="9516" width="37.1796875" customWidth="1"/>
    <col min="9517" max="9517" width="27" customWidth="1"/>
    <col min="9518" max="9518" width="12.1796875" customWidth="1"/>
    <col min="9519" max="9519" width="12.453125" bestFit="1" customWidth="1"/>
    <col min="9522" max="9522" width="34.81640625" customWidth="1"/>
    <col min="9527" max="9527" width="9.453125" customWidth="1"/>
    <col min="9733" max="9733" width="12" bestFit="1" customWidth="1"/>
    <col min="9734" max="9734" width="16.7265625" bestFit="1" customWidth="1"/>
    <col min="9735" max="9735" width="11.453125" customWidth="1"/>
    <col min="9736" max="9736" width="16.7265625" customWidth="1"/>
    <col min="9737" max="9737" width="11.453125" customWidth="1"/>
    <col min="9738" max="9738" width="10.1796875" customWidth="1"/>
    <col min="9739" max="9739" width="12.7265625" customWidth="1"/>
    <col min="9740" max="9740" width="11.54296875" customWidth="1"/>
    <col min="9741" max="9741" width="12" bestFit="1" customWidth="1"/>
    <col min="9742" max="9742" width="14" customWidth="1"/>
    <col min="9743" max="9743" width="11.54296875" customWidth="1"/>
    <col min="9744" max="9744" width="12.7265625" customWidth="1"/>
    <col min="9745" max="9745" width="12.54296875" customWidth="1"/>
    <col min="9746" max="9746" width="11.26953125" customWidth="1"/>
    <col min="9747" max="9747" width="34.54296875" customWidth="1"/>
    <col min="9748" max="9748" width="11" bestFit="1" customWidth="1"/>
    <col min="9750" max="9750" width="14.26953125" customWidth="1"/>
    <col min="9753" max="9753" width="39.453125" customWidth="1"/>
    <col min="9755" max="9755" width="22.26953125" customWidth="1"/>
    <col min="9759" max="9759" width="21.26953125" customWidth="1"/>
    <col min="9763" max="9763" width="20.26953125" customWidth="1"/>
    <col min="9767" max="9767" width="34.453125" customWidth="1"/>
    <col min="9768" max="9768" width="26.54296875" customWidth="1"/>
    <col min="9769" max="9769" width="16.453125" customWidth="1"/>
    <col min="9770" max="9771" width="20.1796875" customWidth="1"/>
    <col min="9772" max="9772" width="37.1796875" customWidth="1"/>
    <col min="9773" max="9773" width="27" customWidth="1"/>
    <col min="9774" max="9774" width="12.1796875" customWidth="1"/>
    <col min="9775" max="9775" width="12.453125" bestFit="1" customWidth="1"/>
    <col min="9778" max="9778" width="34.81640625" customWidth="1"/>
    <col min="9783" max="9783" width="9.453125" customWidth="1"/>
    <col min="9989" max="9989" width="12" bestFit="1" customWidth="1"/>
    <col min="9990" max="9990" width="16.7265625" bestFit="1" customWidth="1"/>
    <col min="9991" max="9991" width="11.453125" customWidth="1"/>
    <col min="9992" max="9992" width="16.7265625" customWidth="1"/>
    <col min="9993" max="9993" width="11.453125" customWidth="1"/>
    <col min="9994" max="9994" width="10.1796875" customWidth="1"/>
    <col min="9995" max="9995" width="12.7265625" customWidth="1"/>
    <col min="9996" max="9996" width="11.54296875" customWidth="1"/>
    <col min="9997" max="9997" width="12" bestFit="1" customWidth="1"/>
    <col min="9998" max="9998" width="14" customWidth="1"/>
    <col min="9999" max="9999" width="11.54296875" customWidth="1"/>
    <col min="10000" max="10000" width="12.7265625" customWidth="1"/>
    <col min="10001" max="10001" width="12.54296875" customWidth="1"/>
    <col min="10002" max="10002" width="11.26953125" customWidth="1"/>
    <col min="10003" max="10003" width="34.54296875" customWidth="1"/>
    <col min="10004" max="10004" width="11" bestFit="1" customWidth="1"/>
    <col min="10006" max="10006" width="14.26953125" customWidth="1"/>
    <col min="10009" max="10009" width="39.453125" customWidth="1"/>
    <col min="10011" max="10011" width="22.26953125" customWidth="1"/>
    <col min="10015" max="10015" width="21.26953125" customWidth="1"/>
    <col min="10019" max="10019" width="20.26953125" customWidth="1"/>
    <col min="10023" max="10023" width="34.453125" customWidth="1"/>
    <col min="10024" max="10024" width="26.54296875" customWidth="1"/>
    <col min="10025" max="10025" width="16.453125" customWidth="1"/>
    <col min="10026" max="10027" width="20.1796875" customWidth="1"/>
    <col min="10028" max="10028" width="37.1796875" customWidth="1"/>
    <col min="10029" max="10029" width="27" customWidth="1"/>
    <col min="10030" max="10030" width="12.1796875" customWidth="1"/>
    <col min="10031" max="10031" width="12.453125" bestFit="1" customWidth="1"/>
    <col min="10034" max="10034" width="34.81640625" customWidth="1"/>
    <col min="10039" max="10039" width="9.453125" customWidth="1"/>
    <col min="10245" max="10245" width="12" bestFit="1" customWidth="1"/>
    <col min="10246" max="10246" width="16.7265625" bestFit="1" customWidth="1"/>
    <col min="10247" max="10247" width="11.453125" customWidth="1"/>
    <col min="10248" max="10248" width="16.7265625" customWidth="1"/>
    <col min="10249" max="10249" width="11.453125" customWidth="1"/>
    <col min="10250" max="10250" width="10.1796875" customWidth="1"/>
    <col min="10251" max="10251" width="12.7265625" customWidth="1"/>
    <col min="10252" max="10252" width="11.54296875" customWidth="1"/>
    <col min="10253" max="10253" width="12" bestFit="1" customWidth="1"/>
    <col min="10254" max="10254" width="14" customWidth="1"/>
    <col min="10255" max="10255" width="11.54296875" customWidth="1"/>
    <col min="10256" max="10256" width="12.7265625" customWidth="1"/>
    <col min="10257" max="10257" width="12.54296875" customWidth="1"/>
    <col min="10258" max="10258" width="11.26953125" customWidth="1"/>
    <col min="10259" max="10259" width="34.54296875" customWidth="1"/>
    <col min="10260" max="10260" width="11" bestFit="1" customWidth="1"/>
    <col min="10262" max="10262" width="14.26953125" customWidth="1"/>
    <col min="10265" max="10265" width="39.453125" customWidth="1"/>
    <col min="10267" max="10267" width="22.26953125" customWidth="1"/>
    <col min="10271" max="10271" width="21.26953125" customWidth="1"/>
    <col min="10275" max="10275" width="20.26953125" customWidth="1"/>
    <col min="10279" max="10279" width="34.453125" customWidth="1"/>
    <col min="10280" max="10280" width="26.54296875" customWidth="1"/>
    <col min="10281" max="10281" width="16.453125" customWidth="1"/>
    <col min="10282" max="10283" width="20.1796875" customWidth="1"/>
    <col min="10284" max="10284" width="37.1796875" customWidth="1"/>
    <col min="10285" max="10285" width="27" customWidth="1"/>
    <col min="10286" max="10286" width="12.1796875" customWidth="1"/>
    <col min="10287" max="10287" width="12.453125" bestFit="1" customWidth="1"/>
    <col min="10290" max="10290" width="34.81640625" customWidth="1"/>
    <col min="10295" max="10295" width="9.453125" customWidth="1"/>
    <col min="10501" max="10501" width="12" bestFit="1" customWidth="1"/>
    <col min="10502" max="10502" width="16.7265625" bestFit="1" customWidth="1"/>
    <col min="10503" max="10503" width="11.453125" customWidth="1"/>
    <col min="10504" max="10504" width="16.7265625" customWidth="1"/>
    <col min="10505" max="10505" width="11.453125" customWidth="1"/>
    <col min="10506" max="10506" width="10.1796875" customWidth="1"/>
    <col min="10507" max="10507" width="12.7265625" customWidth="1"/>
    <col min="10508" max="10508" width="11.54296875" customWidth="1"/>
    <col min="10509" max="10509" width="12" bestFit="1" customWidth="1"/>
    <col min="10510" max="10510" width="14" customWidth="1"/>
    <col min="10511" max="10511" width="11.54296875" customWidth="1"/>
    <col min="10512" max="10512" width="12.7265625" customWidth="1"/>
    <col min="10513" max="10513" width="12.54296875" customWidth="1"/>
    <col min="10514" max="10514" width="11.26953125" customWidth="1"/>
    <col min="10515" max="10515" width="34.54296875" customWidth="1"/>
    <col min="10516" max="10516" width="11" bestFit="1" customWidth="1"/>
    <col min="10518" max="10518" width="14.26953125" customWidth="1"/>
    <col min="10521" max="10521" width="39.453125" customWidth="1"/>
    <col min="10523" max="10523" width="22.26953125" customWidth="1"/>
    <col min="10527" max="10527" width="21.26953125" customWidth="1"/>
    <col min="10531" max="10531" width="20.26953125" customWidth="1"/>
    <col min="10535" max="10535" width="34.453125" customWidth="1"/>
    <col min="10536" max="10536" width="26.54296875" customWidth="1"/>
    <col min="10537" max="10537" width="16.453125" customWidth="1"/>
    <col min="10538" max="10539" width="20.1796875" customWidth="1"/>
    <col min="10540" max="10540" width="37.1796875" customWidth="1"/>
    <col min="10541" max="10541" width="27" customWidth="1"/>
    <col min="10542" max="10542" width="12.1796875" customWidth="1"/>
    <col min="10543" max="10543" width="12.453125" bestFit="1" customWidth="1"/>
    <col min="10546" max="10546" width="34.81640625" customWidth="1"/>
    <col min="10551" max="10551" width="9.453125" customWidth="1"/>
    <col min="10757" max="10757" width="12" bestFit="1" customWidth="1"/>
    <col min="10758" max="10758" width="16.7265625" bestFit="1" customWidth="1"/>
    <col min="10759" max="10759" width="11.453125" customWidth="1"/>
    <col min="10760" max="10760" width="16.7265625" customWidth="1"/>
    <col min="10761" max="10761" width="11.453125" customWidth="1"/>
    <col min="10762" max="10762" width="10.1796875" customWidth="1"/>
    <col min="10763" max="10763" width="12.7265625" customWidth="1"/>
    <col min="10764" max="10764" width="11.54296875" customWidth="1"/>
    <col min="10765" max="10765" width="12" bestFit="1" customWidth="1"/>
    <col min="10766" max="10766" width="14" customWidth="1"/>
    <col min="10767" max="10767" width="11.54296875" customWidth="1"/>
    <col min="10768" max="10768" width="12.7265625" customWidth="1"/>
    <col min="10769" max="10769" width="12.54296875" customWidth="1"/>
    <col min="10770" max="10770" width="11.26953125" customWidth="1"/>
    <col min="10771" max="10771" width="34.54296875" customWidth="1"/>
    <col min="10772" max="10772" width="11" bestFit="1" customWidth="1"/>
    <col min="10774" max="10774" width="14.26953125" customWidth="1"/>
    <col min="10777" max="10777" width="39.453125" customWidth="1"/>
    <col min="10779" max="10779" width="22.26953125" customWidth="1"/>
    <col min="10783" max="10783" width="21.26953125" customWidth="1"/>
    <col min="10787" max="10787" width="20.26953125" customWidth="1"/>
    <col min="10791" max="10791" width="34.453125" customWidth="1"/>
    <col min="10792" max="10792" width="26.54296875" customWidth="1"/>
    <col min="10793" max="10793" width="16.453125" customWidth="1"/>
    <col min="10794" max="10795" width="20.1796875" customWidth="1"/>
    <col min="10796" max="10796" width="37.1796875" customWidth="1"/>
    <col min="10797" max="10797" width="27" customWidth="1"/>
    <col min="10798" max="10798" width="12.1796875" customWidth="1"/>
    <col min="10799" max="10799" width="12.453125" bestFit="1" customWidth="1"/>
    <col min="10802" max="10802" width="34.81640625" customWidth="1"/>
    <col min="10807" max="10807" width="9.453125" customWidth="1"/>
    <col min="11013" max="11013" width="12" bestFit="1" customWidth="1"/>
    <col min="11014" max="11014" width="16.7265625" bestFit="1" customWidth="1"/>
    <col min="11015" max="11015" width="11.453125" customWidth="1"/>
    <col min="11016" max="11016" width="16.7265625" customWidth="1"/>
    <col min="11017" max="11017" width="11.453125" customWidth="1"/>
    <col min="11018" max="11018" width="10.1796875" customWidth="1"/>
    <col min="11019" max="11019" width="12.7265625" customWidth="1"/>
    <col min="11020" max="11020" width="11.54296875" customWidth="1"/>
    <col min="11021" max="11021" width="12" bestFit="1" customWidth="1"/>
    <col min="11022" max="11022" width="14" customWidth="1"/>
    <col min="11023" max="11023" width="11.54296875" customWidth="1"/>
    <col min="11024" max="11024" width="12.7265625" customWidth="1"/>
    <col min="11025" max="11025" width="12.54296875" customWidth="1"/>
    <col min="11026" max="11026" width="11.26953125" customWidth="1"/>
    <col min="11027" max="11027" width="34.54296875" customWidth="1"/>
    <col min="11028" max="11028" width="11" bestFit="1" customWidth="1"/>
    <col min="11030" max="11030" width="14.26953125" customWidth="1"/>
    <col min="11033" max="11033" width="39.453125" customWidth="1"/>
    <col min="11035" max="11035" width="22.26953125" customWidth="1"/>
    <col min="11039" max="11039" width="21.26953125" customWidth="1"/>
    <col min="11043" max="11043" width="20.26953125" customWidth="1"/>
    <col min="11047" max="11047" width="34.453125" customWidth="1"/>
    <col min="11048" max="11048" width="26.54296875" customWidth="1"/>
    <col min="11049" max="11049" width="16.453125" customWidth="1"/>
    <col min="11050" max="11051" width="20.1796875" customWidth="1"/>
    <col min="11052" max="11052" width="37.1796875" customWidth="1"/>
    <col min="11053" max="11053" width="27" customWidth="1"/>
    <col min="11054" max="11054" width="12.1796875" customWidth="1"/>
    <col min="11055" max="11055" width="12.453125" bestFit="1" customWidth="1"/>
    <col min="11058" max="11058" width="34.81640625" customWidth="1"/>
    <col min="11063" max="11063" width="9.453125" customWidth="1"/>
    <col min="11269" max="11269" width="12" bestFit="1" customWidth="1"/>
    <col min="11270" max="11270" width="16.7265625" bestFit="1" customWidth="1"/>
    <col min="11271" max="11271" width="11.453125" customWidth="1"/>
    <col min="11272" max="11272" width="16.7265625" customWidth="1"/>
    <col min="11273" max="11273" width="11.453125" customWidth="1"/>
    <col min="11274" max="11274" width="10.1796875" customWidth="1"/>
    <col min="11275" max="11275" width="12.7265625" customWidth="1"/>
    <col min="11276" max="11276" width="11.54296875" customWidth="1"/>
    <col min="11277" max="11277" width="12" bestFit="1" customWidth="1"/>
    <col min="11278" max="11278" width="14" customWidth="1"/>
    <col min="11279" max="11279" width="11.54296875" customWidth="1"/>
    <col min="11280" max="11280" width="12.7265625" customWidth="1"/>
    <col min="11281" max="11281" width="12.54296875" customWidth="1"/>
    <col min="11282" max="11282" width="11.26953125" customWidth="1"/>
    <col min="11283" max="11283" width="34.54296875" customWidth="1"/>
    <col min="11284" max="11284" width="11" bestFit="1" customWidth="1"/>
    <col min="11286" max="11286" width="14.26953125" customWidth="1"/>
    <col min="11289" max="11289" width="39.453125" customWidth="1"/>
    <col min="11291" max="11291" width="22.26953125" customWidth="1"/>
    <col min="11295" max="11295" width="21.26953125" customWidth="1"/>
    <col min="11299" max="11299" width="20.26953125" customWidth="1"/>
    <col min="11303" max="11303" width="34.453125" customWidth="1"/>
    <col min="11304" max="11304" width="26.54296875" customWidth="1"/>
    <col min="11305" max="11305" width="16.453125" customWidth="1"/>
    <col min="11306" max="11307" width="20.1796875" customWidth="1"/>
    <col min="11308" max="11308" width="37.1796875" customWidth="1"/>
    <col min="11309" max="11309" width="27" customWidth="1"/>
    <col min="11310" max="11310" width="12.1796875" customWidth="1"/>
    <col min="11311" max="11311" width="12.453125" bestFit="1" customWidth="1"/>
    <col min="11314" max="11314" width="34.81640625" customWidth="1"/>
    <col min="11319" max="11319" width="9.453125" customWidth="1"/>
    <col min="11525" max="11525" width="12" bestFit="1" customWidth="1"/>
    <col min="11526" max="11526" width="16.7265625" bestFit="1" customWidth="1"/>
    <col min="11527" max="11527" width="11.453125" customWidth="1"/>
    <col min="11528" max="11528" width="16.7265625" customWidth="1"/>
    <col min="11529" max="11529" width="11.453125" customWidth="1"/>
    <col min="11530" max="11530" width="10.1796875" customWidth="1"/>
    <col min="11531" max="11531" width="12.7265625" customWidth="1"/>
    <col min="11532" max="11532" width="11.54296875" customWidth="1"/>
    <col min="11533" max="11533" width="12" bestFit="1" customWidth="1"/>
    <col min="11534" max="11534" width="14" customWidth="1"/>
    <col min="11535" max="11535" width="11.54296875" customWidth="1"/>
    <col min="11536" max="11536" width="12.7265625" customWidth="1"/>
    <col min="11537" max="11537" width="12.54296875" customWidth="1"/>
    <col min="11538" max="11538" width="11.26953125" customWidth="1"/>
    <col min="11539" max="11539" width="34.54296875" customWidth="1"/>
    <col min="11540" max="11540" width="11" bestFit="1" customWidth="1"/>
    <col min="11542" max="11542" width="14.26953125" customWidth="1"/>
    <col min="11545" max="11545" width="39.453125" customWidth="1"/>
    <col min="11547" max="11547" width="22.26953125" customWidth="1"/>
    <col min="11551" max="11551" width="21.26953125" customWidth="1"/>
    <col min="11555" max="11555" width="20.26953125" customWidth="1"/>
    <col min="11559" max="11559" width="34.453125" customWidth="1"/>
    <col min="11560" max="11560" width="26.54296875" customWidth="1"/>
    <col min="11561" max="11561" width="16.453125" customWidth="1"/>
    <col min="11562" max="11563" width="20.1796875" customWidth="1"/>
    <col min="11564" max="11564" width="37.1796875" customWidth="1"/>
    <col min="11565" max="11565" width="27" customWidth="1"/>
    <col min="11566" max="11566" width="12.1796875" customWidth="1"/>
    <col min="11567" max="11567" width="12.453125" bestFit="1" customWidth="1"/>
    <col min="11570" max="11570" width="34.81640625" customWidth="1"/>
    <col min="11575" max="11575" width="9.453125" customWidth="1"/>
    <col min="11781" max="11781" width="12" bestFit="1" customWidth="1"/>
    <col min="11782" max="11782" width="16.7265625" bestFit="1" customWidth="1"/>
    <col min="11783" max="11783" width="11.453125" customWidth="1"/>
    <col min="11784" max="11784" width="16.7265625" customWidth="1"/>
    <col min="11785" max="11785" width="11.453125" customWidth="1"/>
    <col min="11786" max="11786" width="10.1796875" customWidth="1"/>
    <col min="11787" max="11787" width="12.7265625" customWidth="1"/>
    <col min="11788" max="11788" width="11.54296875" customWidth="1"/>
    <col min="11789" max="11789" width="12" bestFit="1" customWidth="1"/>
    <col min="11790" max="11790" width="14" customWidth="1"/>
    <col min="11791" max="11791" width="11.54296875" customWidth="1"/>
    <col min="11792" max="11792" width="12.7265625" customWidth="1"/>
    <col min="11793" max="11793" width="12.54296875" customWidth="1"/>
    <col min="11794" max="11794" width="11.26953125" customWidth="1"/>
    <col min="11795" max="11795" width="34.54296875" customWidth="1"/>
    <col min="11796" max="11796" width="11" bestFit="1" customWidth="1"/>
    <col min="11798" max="11798" width="14.26953125" customWidth="1"/>
    <col min="11801" max="11801" width="39.453125" customWidth="1"/>
    <col min="11803" max="11803" width="22.26953125" customWidth="1"/>
    <col min="11807" max="11807" width="21.26953125" customWidth="1"/>
    <col min="11811" max="11811" width="20.26953125" customWidth="1"/>
    <col min="11815" max="11815" width="34.453125" customWidth="1"/>
    <col min="11816" max="11816" width="26.54296875" customWidth="1"/>
    <col min="11817" max="11817" width="16.453125" customWidth="1"/>
    <col min="11818" max="11819" width="20.1796875" customWidth="1"/>
    <col min="11820" max="11820" width="37.1796875" customWidth="1"/>
    <col min="11821" max="11821" width="27" customWidth="1"/>
    <col min="11822" max="11822" width="12.1796875" customWidth="1"/>
    <col min="11823" max="11823" width="12.453125" bestFit="1" customWidth="1"/>
    <col min="11826" max="11826" width="34.81640625" customWidth="1"/>
    <col min="11831" max="11831" width="9.453125" customWidth="1"/>
    <col min="12037" max="12037" width="12" bestFit="1" customWidth="1"/>
    <col min="12038" max="12038" width="16.7265625" bestFit="1" customWidth="1"/>
    <col min="12039" max="12039" width="11.453125" customWidth="1"/>
    <col min="12040" max="12040" width="16.7265625" customWidth="1"/>
    <col min="12041" max="12041" width="11.453125" customWidth="1"/>
    <col min="12042" max="12042" width="10.1796875" customWidth="1"/>
    <col min="12043" max="12043" width="12.7265625" customWidth="1"/>
    <col min="12044" max="12044" width="11.54296875" customWidth="1"/>
    <col min="12045" max="12045" width="12" bestFit="1" customWidth="1"/>
    <col min="12046" max="12046" width="14" customWidth="1"/>
    <col min="12047" max="12047" width="11.54296875" customWidth="1"/>
    <col min="12048" max="12048" width="12.7265625" customWidth="1"/>
    <col min="12049" max="12049" width="12.54296875" customWidth="1"/>
    <col min="12050" max="12050" width="11.26953125" customWidth="1"/>
    <col min="12051" max="12051" width="34.54296875" customWidth="1"/>
    <col min="12052" max="12052" width="11" bestFit="1" customWidth="1"/>
    <col min="12054" max="12054" width="14.26953125" customWidth="1"/>
    <col min="12057" max="12057" width="39.453125" customWidth="1"/>
    <col min="12059" max="12059" width="22.26953125" customWidth="1"/>
    <col min="12063" max="12063" width="21.26953125" customWidth="1"/>
    <col min="12067" max="12067" width="20.26953125" customWidth="1"/>
    <col min="12071" max="12071" width="34.453125" customWidth="1"/>
    <col min="12072" max="12072" width="26.54296875" customWidth="1"/>
    <col min="12073" max="12073" width="16.453125" customWidth="1"/>
    <col min="12074" max="12075" width="20.1796875" customWidth="1"/>
    <col min="12076" max="12076" width="37.1796875" customWidth="1"/>
    <col min="12077" max="12077" width="27" customWidth="1"/>
    <col min="12078" max="12078" width="12.1796875" customWidth="1"/>
    <col min="12079" max="12079" width="12.453125" bestFit="1" customWidth="1"/>
    <col min="12082" max="12082" width="34.81640625" customWidth="1"/>
    <col min="12087" max="12087" width="9.453125" customWidth="1"/>
    <col min="12293" max="12293" width="12" bestFit="1" customWidth="1"/>
    <col min="12294" max="12294" width="16.7265625" bestFit="1" customWidth="1"/>
    <col min="12295" max="12295" width="11.453125" customWidth="1"/>
    <col min="12296" max="12296" width="16.7265625" customWidth="1"/>
    <col min="12297" max="12297" width="11.453125" customWidth="1"/>
    <col min="12298" max="12298" width="10.1796875" customWidth="1"/>
    <col min="12299" max="12299" width="12.7265625" customWidth="1"/>
    <col min="12300" max="12300" width="11.54296875" customWidth="1"/>
    <col min="12301" max="12301" width="12" bestFit="1" customWidth="1"/>
    <col min="12302" max="12302" width="14" customWidth="1"/>
    <col min="12303" max="12303" width="11.54296875" customWidth="1"/>
    <col min="12304" max="12304" width="12.7265625" customWidth="1"/>
    <col min="12305" max="12305" width="12.54296875" customWidth="1"/>
    <col min="12306" max="12306" width="11.26953125" customWidth="1"/>
    <col min="12307" max="12307" width="34.54296875" customWidth="1"/>
    <col min="12308" max="12308" width="11" bestFit="1" customWidth="1"/>
    <col min="12310" max="12310" width="14.26953125" customWidth="1"/>
    <col min="12313" max="12313" width="39.453125" customWidth="1"/>
    <col min="12315" max="12315" width="22.26953125" customWidth="1"/>
    <col min="12319" max="12319" width="21.26953125" customWidth="1"/>
    <col min="12323" max="12323" width="20.26953125" customWidth="1"/>
    <col min="12327" max="12327" width="34.453125" customWidth="1"/>
    <col min="12328" max="12328" width="26.54296875" customWidth="1"/>
    <col min="12329" max="12329" width="16.453125" customWidth="1"/>
    <col min="12330" max="12331" width="20.1796875" customWidth="1"/>
    <col min="12332" max="12332" width="37.1796875" customWidth="1"/>
    <col min="12333" max="12333" width="27" customWidth="1"/>
    <col min="12334" max="12334" width="12.1796875" customWidth="1"/>
    <col min="12335" max="12335" width="12.453125" bestFit="1" customWidth="1"/>
    <col min="12338" max="12338" width="34.81640625" customWidth="1"/>
    <col min="12343" max="12343" width="9.453125" customWidth="1"/>
    <col min="12549" max="12549" width="12" bestFit="1" customWidth="1"/>
    <col min="12550" max="12550" width="16.7265625" bestFit="1" customWidth="1"/>
    <col min="12551" max="12551" width="11.453125" customWidth="1"/>
    <col min="12552" max="12552" width="16.7265625" customWidth="1"/>
    <col min="12553" max="12553" width="11.453125" customWidth="1"/>
    <col min="12554" max="12554" width="10.1796875" customWidth="1"/>
    <col min="12555" max="12555" width="12.7265625" customWidth="1"/>
    <col min="12556" max="12556" width="11.54296875" customWidth="1"/>
    <col min="12557" max="12557" width="12" bestFit="1" customWidth="1"/>
    <col min="12558" max="12558" width="14" customWidth="1"/>
    <col min="12559" max="12559" width="11.54296875" customWidth="1"/>
    <col min="12560" max="12560" width="12.7265625" customWidth="1"/>
    <col min="12561" max="12561" width="12.54296875" customWidth="1"/>
    <col min="12562" max="12562" width="11.26953125" customWidth="1"/>
    <col min="12563" max="12563" width="34.54296875" customWidth="1"/>
    <col min="12564" max="12564" width="11" bestFit="1" customWidth="1"/>
    <col min="12566" max="12566" width="14.26953125" customWidth="1"/>
    <col min="12569" max="12569" width="39.453125" customWidth="1"/>
    <col min="12571" max="12571" width="22.26953125" customWidth="1"/>
    <col min="12575" max="12575" width="21.26953125" customWidth="1"/>
    <col min="12579" max="12579" width="20.26953125" customWidth="1"/>
    <col min="12583" max="12583" width="34.453125" customWidth="1"/>
    <col min="12584" max="12584" width="26.54296875" customWidth="1"/>
    <col min="12585" max="12585" width="16.453125" customWidth="1"/>
    <col min="12586" max="12587" width="20.1796875" customWidth="1"/>
    <col min="12588" max="12588" width="37.1796875" customWidth="1"/>
    <col min="12589" max="12589" width="27" customWidth="1"/>
    <col min="12590" max="12590" width="12.1796875" customWidth="1"/>
    <col min="12591" max="12591" width="12.453125" bestFit="1" customWidth="1"/>
    <col min="12594" max="12594" width="34.81640625" customWidth="1"/>
    <col min="12599" max="12599" width="9.453125" customWidth="1"/>
    <col min="12805" max="12805" width="12" bestFit="1" customWidth="1"/>
    <col min="12806" max="12806" width="16.7265625" bestFit="1" customWidth="1"/>
    <col min="12807" max="12807" width="11.453125" customWidth="1"/>
    <col min="12808" max="12808" width="16.7265625" customWidth="1"/>
    <col min="12809" max="12809" width="11.453125" customWidth="1"/>
    <col min="12810" max="12810" width="10.1796875" customWidth="1"/>
    <col min="12811" max="12811" width="12.7265625" customWidth="1"/>
    <col min="12812" max="12812" width="11.54296875" customWidth="1"/>
    <col min="12813" max="12813" width="12" bestFit="1" customWidth="1"/>
    <col min="12814" max="12814" width="14" customWidth="1"/>
    <col min="12815" max="12815" width="11.54296875" customWidth="1"/>
    <col min="12816" max="12816" width="12.7265625" customWidth="1"/>
    <col min="12817" max="12817" width="12.54296875" customWidth="1"/>
    <col min="12818" max="12818" width="11.26953125" customWidth="1"/>
    <col min="12819" max="12819" width="34.54296875" customWidth="1"/>
    <col min="12820" max="12820" width="11" bestFit="1" customWidth="1"/>
    <col min="12822" max="12822" width="14.26953125" customWidth="1"/>
    <col min="12825" max="12825" width="39.453125" customWidth="1"/>
    <col min="12827" max="12827" width="22.26953125" customWidth="1"/>
    <col min="12831" max="12831" width="21.26953125" customWidth="1"/>
    <col min="12835" max="12835" width="20.26953125" customWidth="1"/>
    <col min="12839" max="12839" width="34.453125" customWidth="1"/>
    <col min="12840" max="12840" width="26.54296875" customWidth="1"/>
    <col min="12841" max="12841" width="16.453125" customWidth="1"/>
    <col min="12842" max="12843" width="20.1796875" customWidth="1"/>
    <col min="12844" max="12844" width="37.1796875" customWidth="1"/>
    <col min="12845" max="12845" width="27" customWidth="1"/>
    <col min="12846" max="12846" width="12.1796875" customWidth="1"/>
    <col min="12847" max="12847" width="12.453125" bestFit="1" customWidth="1"/>
    <col min="12850" max="12850" width="34.81640625" customWidth="1"/>
    <col min="12855" max="12855" width="9.453125" customWidth="1"/>
    <col min="13061" max="13061" width="12" bestFit="1" customWidth="1"/>
    <col min="13062" max="13062" width="16.7265625" bestFit="1" customWidth="1"/>
    <col min="13063" max="13063" width="11.453125" customWidth="1"/>
    <col min="13064" max="13064" width="16.7265625" customWidth="1"/>
    <col min="13065" max="13065" width="11.453125" customWidth="1"/>
    <col min="13066" max="13066" width="10.1796875" customWidth="1"/>
    <col min="13067" max="13067" width="12.7265625" customWidth="1"/>
    <col min="13068" max="13068" width="11.54296875" customWidth="1"/>
    <col min="13069" max="13069" width="12" bestFit="1" customWidth="1"/>
    <col min="13070" max="13070" width="14" customWidth="1"/>
    <col min="13071" max="13071" width="11.54296875" customWidth="1"/>
    <col min="13072" max="13072" width="12.7265625" customWidth="1"/>
    <col min="13073" max="13073" width="12.54296875" customWidth="1"/>
    <col min="13074" max="13074" width="11.26953125" customWidth="1"/>
    <col min="13075" max="13075" width="34.54296875" customWidth="1"/>
    <col min="13076" max="13076" width="11" bestFit="1" customWidth="1"/>
    <col min="13078" max="13078" width="14.26953125" customWidth="1"/>
    <col min="13081" max="13081" width="39.453125" customWidth="1"/>
    <col min="13083" max="13083" width="22.26953125" customWidth="1"/>
    <col min="13087" max="13087" width="21.26953125" customWidth="1"/>
    <col min="13091" max="13091" width="20.26953125" customWidth="1"/>
    <col min="13095" max="13095" width="34.453125" customWidth="1"/>
    <col min="13096" max="13096" width="26.54296875" customWidth="1"/>
    <col min="13097" max="13097" width="16.453125" customWidth="1"/>
    <col min="13098" max="13099" width="20.1796875" customWidth="1"/>
    <col min="13100" max="13100" width="37.1796875" customWidth="1"/>
    <col min="13101" max="13101" width="27" customWidth="1"/>
    <col min="13102" max="13102" width="12.1796875" customWidth="1"/>
    <col min="13103" max="13103" width="12.453125" bestFit="1" customWidth="1"/>
    <col min="13106" max="13106" width="34.81640625" customWidth="1"/>
    <col min="13111" max="13111" width="9.453125" customWidth="1"/>
    <col min="13317" max="13317" width="12" bestFit="1" customWidth="1"/>
    <col min="13318" max="13318" width="16.7265625" bestFit="1" customWidth="1"/>
    <col min="13319" max="13319" width="11.453125" customWidth="1"/>
    <col min="13320" max="13320" width="16.7265625" customWidth="1"/>
    <col min="13321" max="13321" width="11.453125" customWidth="1"/>
    <col min="13322" max="13322" width="10.1796875" customWidth="1"/>
    <col min="13323" max="13323" width="12.7265625" customWidth="1"/>
    <col min="13324" max="13324" width="11.54296875" customWidth="1"/>
    <col min="13325" max="13325" width="12" bestFit="1" customWidth="1"/>
    <col min="13326" max="13326" width="14" customWidth="1"/>
    <col min="13327" max="13327" width="11.54296875" customWidth="1"/>
    <col min="13328" max="13328" width="12.7265625" customWidth="1"/>
    <col min="13329" max="13329" width="12.54296875" customWidth="1"/>
    <col min="13330" max="13330" width="11.26953125" customWidth="1"/>
    <col min="13331" max="13331" width="34.54296875" customWidth="1"/>
    <col min="13332" max="13332" width="11" bestFit="1" customWidth="1"/>
    <col min="13334" max="13334" width="14.26953125" customWidth="1"/>
    <col min="13337" max="13337" width="39.453125" customWidth="1"/>
    <col min="13339" max="13339" width="22.26953125" customWidth="1"/>
    <col min="13343" max="13343" width="21.26953125" customWidth="1"/>
    <col min="13347" max="13347" width="20.26953125" customWidth="1"/>
    <col min="13351" max="13351" width="34.453125" customWidth="1"/>
    <col min="13352" max="13352" width="26.54296875" customWidth="1"/>
    <col min="13353" max="13353" width="16.453125" customWidth="1"/>
    <col min="13354" max="13355" width="20.1796875" customWidth="1"/>
    <col min="13356" max="13356" width="37.1796875" customWidth="1"/>
    <col min="13357" max="13357" width="27" customWidth="1"/>
    <col min="13358" max="13358" width="12.1796875" customWidth="1"/>
    <col min="13359" max="13359" width="12.453125" bestFit="1" customWidth="1"/>
    <col min="13362" max="13362" width="34.81640625" customWidth="1"/>
    <col min="13367" max="13367" width="9.453125" customWidth="1"/>
    <col min="13573" max="13573" width="12" bestFit="1" customWidth="1"/>
    <col min="13574" max="13574" width="16.7265625" bestFit="1" customWidth="1"/>
    <col min="13575" max="13575" width="11.453125" customWidth="1"/>
    <col min="13576" max="13576" width="16.7265625" customWidth="1"/>
    <col min="13577" max="13577" width="11.453125" customWidth="1"/>
    <col min="13578" max="13578" width="10.1796875" customWidth="1"/>
    <col min="13579" max="13579" width="12.7265625" customWidth="1"/>
    <col min="13580" max="13580" width="11.54296875" customWidth="1"/>
    <col min="13581" max="13581" width="12" bestFit="1" customWidth="1"/>
    <col min="13582" max="13582" width="14" customWidth="1"/>
    <col min="13583" max="13583" width="11.54296875" customWidth="1"/>
    <col min="13584" max="13584" width="12.7265625" customWidth="1"/>
    <col min="13585" max="13585" width="12.54296875" customWidth="1"/>
    <col min="13586" max="13586" width="11.26953125" customWidth="1"/>
    <col min="13587" max="13587" width="34.54296875" customWidth="1"/>
    <col min="13588" max="13588" width="11" bestFit="1" customWidth="1"/>
    <col min="13590" max="13590" width="14.26953125" customWidth="1"/>
    <col min="13593" max="13593" width="39.453125" customWidth="1"/>
    <col min="13595" max="13595" width="22.26953125" customWidth="1"/>
    <col min="13599" max="13599" width="21.26953125" customWidth="1"/>
    <col min="13603" max="13603" width="20.26953125" customWidth="1"/>
    <col min="13607" max="13607" width="34.453125" customWidth="1"/>
    <col min="13608" max="13608" width="26.54296875" customWidth="1"/>
    <col min="13609" max="13609" width="16.453125" customWidth="1"/>
    <col min="13610" max="13611" width="20.1796875" customWidth="1"/>
    <col min="13612" max="13612" width="37.1796875" customWidth="1"/>
    <col min="13613" max="13613" width="27" customWidth="1"/>
    <col min="13614" max="13614" width="12.1796875" customWidth="1"/>
    <col min="13615" max="13615" width="12.453125" bestFit="1" customWidth="1"/>
    <col min="13618" max="13618" width="34.81640625" customWidth="1"/>
    <col min="13623" max="13623" width="9.453125" customWidth="1"/>
    <col min="13829" max="13829" width="12" bestFit="1" customWidth="1"/>
    <col min="13830" max="13830" width="16.7265625" bestFit="1" customWidth="1"/>
    <col min="13831" max="13831" width="11.453125" customWidth="1"/>
    <col min="13832" max="13832" width="16.7265625" customWidth="1"/>
    <col min="13833" max="13833" width="11.453125" customWidth="1"/>
    <col min="13834" max="13834" width="10.1796875" customWidth="1"/>
    <col min="13835" max="13835" width="12.7265625" customWidth="1"/>
    <col min="13836" max="13836" width="11.54296875" customWidth="1"/>
    <col min="13837" max="13837" width="12" bestFit="1" customWidth="1"/>
    <col min="13838" max="13838" width="14" customWidth="1"/>
    <col min="13839" max="13839" width="11.54296875" customWidth="1"/>
    <col min="13840" max="13840" width="12.7265625" customWidth="1"/>
    <col min="13841" max="13841" width="12.54296875" customWidth="1"/>
    <col min="13842" max="13842" width="11.26953125" customWidth="1"/>
    <col min="13843" max="13843" width="34.54296875" customWidth="1"/>
    <col min="13844" max="13844" width="11" bestFit="1" customWidth="1"/>
    <col min="13846" max="13846" width="14.26953125" customWidth="1"/>
    <col min="13849" max="13849" width="39.453125" customWidth="1"/>
    <col min="13851" max="13851" width="22.26953125" customWidth="1"/>
    <col min="13855" max="13855" width="21.26953125" customWidth="1"/>
    <col min="13859" max="13859" width="20.26953125" customWidth="1"/>
    <col min="13863" max="13863" width="34.453125" customWidth="1"/>
    <col min="13864" max="13864" width="26.54296875" customWidth="1"/>
    <col min="13865" max="13865" width="16.453125" customWidth="1"/>
    <col min="13866" max="13867" width="20.1796875" customWidth="1"/>
    <col min="13868" max="13868" width="37.1796875" customWidth="1"/>
    <col min="13869" max="13869" width="27" customWidth="1"/>
    <col min="13870" max="13870" width="12.1796875" customWidth="1"/>
    <col min="13871" max="13871" width="12.453125" bestFit="1" customWidth="1"/>
    <col min="13874" max="13874" width="34.81640625" customWidth="1"/>
    <col min="13879" max="13879" width="9.453125" customWidth="1"/>
    <col min="14085" max="14085" width="12" bestFit="1" customWidth="1"/>
    <col min="14086" max="14086" width="16.7265625" bestFit="1" customWidth="1"/>
    <col min="14087" max="14087" width="11.453125" customWidth="1"/>
    <col min="14088" max="14088" width="16.7265625" customWidth="1"/>
    <col min="14089" max="14089" width="11.453125" customWidth="1"/>
    <col min="14090" max="14090" width="10.1796875" customWidth="1"/>
    <col min="14091" max="14091" width="12.7265625" customWidth="1"/>
    <col min="14092" max="14092" width="11.54296875" customWidth="1"/>
    <col min="14093" max="14093" width="12" bestFit="1" customWidth="1"/>
    <col min="14094" max="14094" width="14" customWidth="1"/>
    <col min="14095" max="14095" width="11.54296875" customWidth="1"/>
    <col min="14096" max="14096" width="12.7265625" customWidth="1"/>
    <col min="14097" max="14097" width="12.54296875" customWidth="1"/>
    <col min="14098" max="14098" width="11.26953125" customWidth="1"/>
    <col min="14099" max="14099" width="34.54296875" customWidth="1"/>
    <col min="14100" max="14100" width="11" bestFit="1" customWidth="1"/>
    <col min="14102" max="14102" width="14.26953125" customWidth="1"/>
    <col min="14105" max="14105" width="39.453125" customWidth="1"/>
    <col min="14107" max="14107" width="22.26953125" customWidth="1"/>
    <col min="14111" max="14111" width="21.26953125" customWidth="1"/>
    <col min="14115" max="14115" width="20.26953125" customWidth="1"/>
    <col min="14119" max="14119" width="34.453125" customWidth="1"/>
    <col min="14120" max="14120" width="26.54296875" customWidth="1"/>
    <col min="14121" max="14121" width="16.453125" customWidth="1"/>
    <col min="14122" max="14123" width="20.1796875" customWidth="1"/>
    <col min="14124" max="14124" width="37.1796875" customWidth="1"/>
    <col min="14125" max="14125" width="27" customWidth="1"/>
    <col min="14126" max="14126" width="12.1796875" customWidth="1"/>
    <col min="14127" max="14127" width="12.453125" bestFit="1" customWidth="1"/>
    <col min="14130" max="14130" width="34.81640625" customWidth="1"/>
    <col min="14135" max="14135" width="9.453125" customWidth="1"/>
    <col min="14341" max="14341" width="12" bestFit="1" customWidth="1"/>
    <col min="14342" max="14342" width="16.7265625" bestFit="1" customWidth="1"/>
    <col min="14343" max="14343" width="11.453125" customWidth="1"/>
    <col min="14344" max="14344" width="16.7265625" customWidth="1"/>
    <col min="14345" max="14345" width="11.453125" customWidth="1"/>
    <col min="14346" max="14346" width="10.1796875" customWidth="1"/>
    <col min="14347" max="14347" width="12.7265625" customWidth="1"/>
    <col min="14348" max="14348" width="11.54296875" customWidth="1"/>
    <col min="14349" max="14349" width="12" bestFit="1" customWidth="1"/>
    <col min="14350" max="14350" width="14" customWidth="1"/>
    <col min="14351" max="14351" width="11.54296875" customWidth="1"/>
    <col min="14352" max="14352" width="12.7265625" customWidth="1"/>
    <col min="14353" max="14353" width="12.54296875" customWidth="1"/>
    <col min="14354" max="14354" width="11.26953125" customWidth="1"/>
    <col min="14355" max="14355" width="34.54296875" customWidth="1"/>
    <col min="14356" max="14356" width="11" bestFit="1" customWidth="1"/>
    <col min="14358" max="14358" width="14.26953125" customWidth="1"/>
    <col min="14361" max="14361" width="39.453125" customWidth="1"/>
    <col min="14363" max="14363" width="22.26953125" customWidth="1"/>
    <col min="14367" max="14367" width="21.26953125" customWidth="1"/>
    <col min="14371" max="14371" width="20.26953125" customWidth="1"/>
    <col min="14375" max="14375" width="34.453125" customWidth="1"/>
    <col min="14376" max="14376" width="26.54296875" customWidth="1"/>
    <col min="14377" max="14377" width="16.453125" customWidth="1"/>
    <col min="14378" max="14379" width="20.1796875" customWidth="1"/>
    <col min="14380" max="14380" width="37.1796875" customWidth="1"/>
    <col min="14381" max="14381" width="27" customWidth="1"/>
    <col min="14382" max="14382" width="12.1796875" customWidth="1"/>
    <col min="14383" max="14383" width="12.453125" bestFit="1" customWidth="1"/>
    <col min="14386" max="14386" width="34.81640625" customWidth="1"/>
    <col min="14391" max="14391" width="9.453125" customWidth="1"/>
    <col min="14597" max="14597" width="12" bestFit="1" customWidth="1"/>
    <col min="14598" max="14598" width="16.7265625" bestFit="1" customWidth="1"/>
    <col min="14599" max="14599" width="11.453125" customWidth="1"/>
    <col min="14600" max="14600" width="16.7265625" customWidth="1"/>
    <col min="14601" max="14601" width="11.453125" customWidth="1"/>
    <col min="14602" max="14602" width="10.1796875" customWidth="1"/>
    <col min="14603" max="14603" width="12.7265625" customWidth="1"/>
    <col min="14604" max="14604" width="11.54296875" customWidth="1"/>
    <col min="14605" max="14605" width="12" bestFit="1" customWidth="1"/>
    <col min="14606" max="14606" width="14" customWidth="1"/>
    <col min="14607" max="14607" width="11.54296875" customWidth="1"/>
    <col min="14608" max="14608" width="12.7265625" customWidth="1"/>
    <col min="14609" max="14609" width="12.54296875" customWidth="1"/>
    <col min="14610" max="14610" width="11.26953125" customWidth="1"/>
    <col min="14611" max="14611" width="34.54296875" customWidth="1"/>
    <col min="14612" max="14612" width="11" bestFit="1" customWidth="1"/>
    <col min="14614" max="14614" width="14.26953125" customWidth="1"/>
    <col min="14617" max="14617" width="39.453125" customWidth="1"/>
    <col min="14619" max="14619" width="22.26953125" customWidth="1"/>
    <col min="14623" max="14623" width="21.26953125" customWidth="1"/>
    <col min="14627" max="14627" width="20.26953125" customWidth="1"/>
    <col min="14631" max="14631" width="34.453125" customWidth="1"/>
    <col min="14632" max="14632" width="26.54296875" customWidth="1"/>
    <col min="14633" max="14633" width="16.453125" customWidth="1"/>
    <col min="14634" max="14635" width="20.1796875" customWidth="1"/>
    <col min="14636" max="14636" width="37.1796875" customWidth="1"/>
    <col min="14637" max="14637" width="27" customWidth="1"/>
    <col min="14638" max="14638" width="12.1796875" customWidth="1"/>
    <col min="14639" max="14639" width="12.453125" bestFit="1" customWidth="1"/>
    <col min="14642" max="14642" width="34.81640625" customWidth="1"/>
    <col min="14647" max="14647" width="9.453125" customWidth="1"/>
    <col min="14853" max="14853" width="12" bestFit="1" customWidth="1"/>
    <col min="14854" max="14854" width="16.7265625" bestFit="1" customWidth="1"/>
    <col min="14855" max="14855" width="11.453125" customWidth="1"/>
    <col min="14856" max="14856" width="16.7265625" customWidth="1"/>
    <col min="14857" max="14857" width="11.453125" customWidth="1"/>
    <col min="14858" max="14858" width="10.1796875" customWidth="1"/>
    <col min="14859" max="14859" width="12.7265625" customWidth="1"/>
    <col min="14860" max="14860" width="11.54296875" customWidth="1"/>
    <col min="14861" max="14861" width="12" bestFit="1" customWidth="1"/>
    <col min="14862" max="14862" width="14" customWidth="1"/>
    <col min="14863" max="14863" width="11.54296875" customWidth="1"/>
    <col min="14864" max="14864" width="12.7265625" customWidth="1"/>
    <col min="14865" max="14865" width="12.54296875" customWidth="1"/>
    <col min="14866" max="14866" width="11.26953125" customWidth="1"/>
    <col min="14867" max="14867" width="34.54296875" customWidth="1"/>
    <col min="14868" max="14868" width="11" bestFit="1" customWidth="1"/>
    <col min="14870" max="14870" width="14.26953125" customWidth="1"/>
    <col min="14873" max="14873" width="39.453125" customWidth="1"/>
    <col min="14875" max="14875" width="22.26953125" customWidth="1"/>
    <col min="14879" max="14879" width="21.26953125" customWidth="1"/>
    <col min="14883" max="14883" width="20.26953125" customWidth="1"/>
    <col min="14887" max="14887" width="34.453125" customWidth="1"/>
    <col min="14888" max="14888" width="26.54296875" customWidth="1"/>
    <col min="14889" max="14889" width="16.453125" customWidth="1"/>
    <col min="14890" max="14891" width="20.1796875" customWidth="1"/>
    <col min="14892" max="14892" width="37.1796875" customWidth="1"/>
    <col min="14893" max="14893" width="27" customWidth="1"/>
    <col min="14894" max="14894" width="12.1796875" customWidth="1"/>
    <col min="14895" max="14895" width="12.453125" bestFit="1" customWidth="1"/>
    <col min="14898" max="14898" width="34.81640625" customWidth="1"/>
    <col min="14903" max="14903" width="9.453125" customWidth="1"/>
    <col min="15109" max="15109" width="12" bestFit="1" customWidth="1"/>
    <col min="15110" max="15110" width="16.7265625" bestFit="1" customWidth="1"/>
    <col min="15111" max="15111" width="11.453125" customWidth="1"/>
    <col min="15112" max="15112" width="16.7265625" customWidth="1"/>
    <col min="15113" max="15113" width="11.453125" customWidth="1"/>
    <col min="15114" max="15114" width="10.1796875" customWidth="1"/>
    <col min="15115" max="15115" width="12.7265625" customWidth="1"/>
    <col min="15116" max="15116" width="11.54296875" customWidth="1"/>
    <col min="15117" max="15117" width="12" bestFit="1" customWidth="1"/>
    <col min="15118" max="15118" width="14" customWidth="1"/>
    <col min="15119" max="15119" width="11.54296875" customWidth="1"/>
    <col min="15120" max="15120" width="12.7265625" customWidth="1"/>
    <col min="15121" max="15121" width="12.54296875" customWidth="1"/>
    <col min="15122" max="15122" width="11.26953125" customWidth="1"/>
    <col min="15123" max="15123" width="34.54296875" customWidth="1"/>
    <col min="15124" max="15124" width="11" bestFit="1" customWidth="1"/>
    <col min="15126" max="15126" width="14.26953125" customWidth="1"/>
    <col min="15129" max="15129" width="39.453125" customWidth="1"/>
    <col min="15131" max="15131" width="22.26953125" customWidth="1"/>
    <col min="15135" max="15135" width="21.26953125" customWidth="1"/>
    <col min="15139" max="15139" width="20.26953125" customWidth="1"/>
    <col min="15143" max="15143" width="34.453125" customWidth="1"/>
    <col min="15144" max="15144" width="26.54296875" customWidth="1"/>
    <col min="15145" max="15145" width="16.453125" customWidth="1"/>
    <col min="15146" max="15147" width="20.1796875" customWidth="1"/>
    <col min="15148" max="15148" width="37.1796875" customWidth="1"/>
    <col min="15149" max="15149" width="27" customWidth="1"/>
    <col min="15150" max="15150" width="12.1796875" customWidth="1"/>
    <col min="15151" max="15151" width="12.453125" bestFit="1" customWidth="1"/>
    <col min="15154" max="15154" width="34.81640625" customWidth="1"/>
    <col min="15159" max="15159" width="9.453125" customWidth="1"/>
    <col min="15365" max="15365" width="12" bestFit="1" customWidth="1"/>
    <col min="15366" max="15366" width="16.7265625" bestFit="1" customWidth="1"/>
    <col min="15367" max="15367" width="11.453125" customWidth="1"/>
    <col min="15368" max="15368" width="16.7265625" customWidth="1"/>
    <col min="15369" max="15369" width="11.453125" customWidth="1"/>
    <col min="15370" max="15370" width="10.1796875" customWidth="1"/>
    <col min="15371" max="15371" width="12.7265625" customWidth="1"/>
    <col min="15372" max="15372" width="11.54296875" customWidth="1"/>
    <col min="15373" max="15373" width="12" bestFit="1" customWidth="1"/>
    <col min="15374" max="15374" width="14" customWidth="1"/>
    <col min="15375" max="15375" width="11.54296875" customWidth="1"/>
    <col min="15376" max="15376" width="12.7265625" customWidth="1"/>
    <col min="15377" max="15377" width="12.54296875" customWidth="1"/>
    <col min="15378" max="15378" width="11.26953125" customWidth="1"/>
    <col min="15379" max="15379" width="34.54296875" customWidth="1"/>
    <col min="15380" max="15380" width="11" bestFit="1" customWidth="1"/>
    <col min="15382" max="15382" width="14.26953125" customWidth="1"/>
    <col min="15385" max="15385" width="39.453125" customWidth="1"/>
    <col min="15387" max="15387" width="22.26953125" customWidth="1"/>
    <col min="15391" max="15391" width="21.26953125" customWidth="1"/>
    <col min="15395" max="15395" width="20.26953125" customWidth="1"/>
    <col min="15399" max="15399" width="34.453125" customWidth="1"/>
    <col min="15400" max="15400" width="26.54296875" customWidth="1"/>
    <col min="15401" max="15401" width="16.453125" customWidth="1"/>
    <col min="15402" max="15403" width="20.1796875" customWidth="1"/>
    <col min="15404" max="15404" width="37.1796875" customWidth="1"/>
    <col min="15405" max="15405" width="27" customWidth="1"/>
    <col min="15406" max="15406" width="12.1796875" customWidth="1"/>
    <col min="15407" max="15407" width="12.453125" bestFit="1" customWidth="1"/>
    <col min="15410" max="15410" width="34.81640625" customWidth="1"/>
    <col min="15415" max="15415" width="9.453125" customWidth="1"/>
    <col min="15621" max="15621" width="12" bestFit="1" customWidth="1"/>
    <col min="15622" max="15622" width="16.7265625" bestFit="1" customWidth="1"/>
    <col min="15623" max="15623" width="11.453125" customWidth="1"/>
    <col min="15624" max="15624" width="16.7265625" customWidth="1"/>
    <col min="15625" max="15625" width="11.453125" customWidth="1"/>
    <col min="15626" max="15626" width="10.1796875" customWidth="1"/>
    <col min="15627" max="15627" width="12.7265625" customWidth="1"/>
    <col min="15628" max="15628" width="11.54296875" customWidth="1"/>
    <col min="15629" max="15629" width="12" bestFit="1" customWidth="1"/>
    <col min="15630" max="15630" width="14" customWidth="1"/>
    <col min="15631" max="15631" width="11.54296875" customWidth="1"/>
    <col min="15632" max="15632" width="12.7265625" customWidth="1"/>
    <col min="15633" max="15633" width="12.54296875" customWidth="1"/>
    <col min="15634" max="15634" width="11.26953125" customWidth="1"/>
    <col min="15635" max="15635" width="34.54296875" customWidth="1"/>
    <col min="15636" max="15636" width="11" bestFit="1" customWidth="1"/>
    <col min="15638" max="15638" width="14.26953125" customWidth="1"/>
    <col min="15641" max="15641" width="39.453125" customWidth="1"/>
    <col min="15643" max="15643" width="22.26953125" customWidth="1"/>
    <col min="15647" max="15647" width="21.26953125" customWidth="1"/>
    <col min="15651" max="15651" width="20.26953125" customWidth="1"/>
    <col min="15655" max="15655" width="34.453125" customWidth="1"/>
    <col min="15656" max="15656" width="26.54296875" customWidth="1"/>
    <col min="15657" max="15657" width="16.453125" customWidth="1"/>
    <col min="15658" max="15659" width="20.1796875" customWidth="1"/>
    <col min="15660" max="15660" width="37.1796875" customWidth="1"/>
    <col min="15661" max="15661" width="27" customWidth="1"/>
    <col min="15662" max="15662" width="12.1796875" customWidth="1"/>
    <col min="15663" max="15663" width="12.453125" bestFit="1" customWidth="1"/>
    <col min="15666" max="15666" width="34.81640625" customWidth="1"/>
    <col min="15671" max="15671" width="9.453125" customWidth="1"/>
    <col min="15877" max="15877" width="12" bestFit="1" customWidth="1"/>
    <col min="15878" max="15878" width="16.7265625" bestFit="1" customWidth="1"/>
    <col min="15879" max="15879" width="11.453125" customWidth="1"/>
    <col min="15880" max="15880" width="16.7265625" customWidth="1"/>
    <col min="15881" max="15881" width="11.453125" customWidth="1"/>
    <col min="15882" max="15882" width="10.1796875" customWidth="1"/>
    <col min="15883" max="15883" width="12.7265625" customWidth="1"/>
    <col min="15884" max="15884" width="11.54296875" customWidth="1"/>
    <col min="15885" max="15885" width="12" bestFit="1" customWidth="1"/>
    <col min="15886" max="15886" width="14" customWidth="1"/>
    <col min="15887" max="15887" width="11.54296875" customWidth="1"/>
    <col min="15888" max="15888" width="12.7265625" customWidth="1"/>
    <col min="15889" max="15889" width="12.54296875" customWidth="1"/>
    <col min="15890" max="15890" width="11.26953125" customWidth="1"/>
    <col min="15891" max="15891" width="34.54296875" customWidth="1"/>
    <col min="15892" max="15892" width="11" bestFit="1" customWidth="1"/>
    <col min="15894" max="15894" width="14.26953125" customWidth="1"/>
    <col min="15897" max="15897" width="39.453125" customWidth="1"/>
    <col min="15899" max="15899" width="22.26953125" customWidth="1"/>
    <col min="15903" max="15903" width="21.26953125" customWidth="1"/>
    <col min="15907" max="15907" width="20.26953125" customWidth="1"/>
    <col min="15911" max="15911" width="34.453125" customWidth="1"/>
    <col min="15912" max="15912" width="26.54296875" customWidth="1"/>
    <col min="15913" max="15913" width="16.453125" customWidth="1"/>
    <col min="15914" max="15915" width="20.1796875" customWidth="1"/>
    <col min="15916" max="15916" width="37.1796875" customWidth="1"/>
    <col min="15917" max="15917" width="27" customWidth="1"/>
    <col min="15918" max="15918" width="12.1796875" customWidth="1"/>
    <col min="15919" max="15919" width="12.453125" bestFit="1" customWidth="1"/>
    <col min="15922" max="15922" width="34.81640625" customWidth="1"/>
    <col min="15927" max="15927" width="9.453125" customWidth="1"/>
    <col min="16133" max="16133" width="12" bestFit="1" customWidth="1"/>
    <col min="16134" max="16134" width="16.7265625" bestFit="1" customWidth="1"/>
    <col min="16135" max="16135" width="11.453125" customWidth="1"/>
    <col min="16136" max="16136" width="16.7265625" customWidth="1"/>
    <col min="16137" max="16137" width="11.453125" customWidth="1"/>
    <col min="16138" max="16138" width="10.1796875" customWidth="1"/>
    <col min="16139" max="16139" width="12.7265625" customWidth="1"/>
    <col min="16140" max="16140" width="11.54296875" customWidth="1"/>
    <col min="16141" max="16141" width="12" bestFit="1" customWidth="1"/>
    <col min="16142" max="16142" width="14" customWidth="1"/>
    <col min="16143" max="16143" width="11.54296875" customWidth="1"/>
    <col min="16144" max="16144" width="12.7265625" customWidth="1"/>
    <col min="16145" max="16145" width="12.54296875" customWidth="1"/>
    <col min="16146" max="16146" width="11.26953125" customWidth="1"/>
    <col min="16147" max="16147" width="34.54296875" customWidth="1"/>
    <col min="16148" max="16148" width="11" bestFit="1" customWidth="1"/>
    <col min="16150" max="16150" width="14.26953125" customWidth="1"/>
    <col min="16153" max="16153" width="39.453125" customWidth="1"/>
    <col min="16155" max="16155" width="22.26953125" customWidth="1"/>
    <col min="16159" max="16159" width="21.26953125" customWidth="1"/>
    <col min="16163" max="16163" width="20.26953125" customWidth="1"/>
    <col min="16167" max="16167" width="34.453125" customWidth="1"/>
    <col min="16168" max="16168" width="26.54296875" customWidth="1"/>
    <col min="16169" max="16169" width="16.453125" customWidth="1"/>
    <col min="16170" max="16171" width="20.1796875" customWidth="1"/>
    <col min="16172" max="16172" width="37.1796875" customWidth="1"/>
    <col min="16173" max="16173" width="27" customWidth="1"/>
    <col min="16174" max="16174" width="12.1796875" customWidth="1"/>
    <col min="16175" max="16175" width="12.453125" bestFit="1" customWidth="1"/>
    <col min="16178" max="16178" width="34.81640625" customWidth="1"/>
    <col min="16183" max="16183" width="9.453125" customWidth="1"/>
  </cols>
  <sheetData>
    <row r="1" spans="1:68" s="41" customFormat="1">
      <c r="BN1" s="193"/>
      <c r="BO1" s="193"/>
      <c r="BP1" s="193"/>
    </row>
    <row r="2" spans="1:68" s="41" customFormat="1">
      <c r="BN2" s="42"/>
      <c r="BO2" s="42"/>
      <c r="BP2" s="42"/>
    </row>
    <row r="3" spans="1:68" s="41" customFormat="1">
      <c r="BN3" s="42"/>
      <c r="BO3" s="42"/>
      <c r="BP3" s="42"/>
    </row>
    <row r="4" spans="1:68" s="41" customFormat="1">
      <c r="BN4" s="42"/>
      <c r="BO4" s="42"/>
      <c r="BP4" s="42"/>
    </row>
    <row r="5" spans="1:68" s="41" customFormat="1">
      <c r="BN5" s="42"/>
      <c r="BO5" s="42"/>
      <c r="BP5" s="42"/>
    </row>
    <row r="6" spans="1:68" s="41" customFormat="1">
      <c r="BN6" s="42"/>
      <c r="BO6" s="42"/>
      <c r="BP6" s="42"/>
    </row>
    <row r="7" spans="1:68" s="41" customFormat="1">
      <c r="BN7" s="42"/>
      <c r="BO7" s="42"/>
      <c r="BP7" s="42"/>
    </row>
    <row r="8" spans="1:68" s="41" customFormat="1">
      <c r="BN8" s="42"/>
      <c r="BO8" s="42"/>
      <c r="BP8" s="42"/>
    </row>
    <row r="9" spans="1:68" s="41" customFormat="1">
      <c r="BN9" s="42"/>
      <c r="BO9" s="42"/>
      <c r="BP9" s="42"/>
    </row>
    <row r="10" spans="1:68" s="41" customFormat="1">
      <c r="BN10" s="42"/>
      <c r="BO10" s="42"/>
      <c r="BP10" s="42"/>
    </row>
    <row r="11" spans="1:68" s="41" customFormat="1">
      <c r="BN11" s="42"/>
      <c r="BO11" s="42"/>
      <c r="BP11" s="42"/>
    </row>
    <row r="12" spans="1:68" s="41" customFormat="1">
      <c r="BN12" s="42"/>
      <c r="BO12" s="42"/>
      <c r="BP12" s="42"/>
    </row>
    <row r="13" spans="1:68" s="41" customFormat="1">
      <c r="BN13" s="42"/>
      <c r="BO13" s="42"/>
      <c r="BP13" s="42"/>
    </row>
    <row r="14" spans="1:68" s="41" customFormat="1">
      <c r="BN14" s="42"/>
      <c r="BO14" s="42"/>
      <c r="BP14" s="42"/>
    </row>
    <row r="15" spans="1:68" s="41" customFormat="1">
      <c r="BN15" s="42"/>
      <c r="BO15" s="42"/>
      <c r="BP15" s="42"/>
    </row>
    <row r="16" spans="1:68" ht="15.75" customHeight="1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5"/>
      <c r="M16" s="195"/>
      <c r="N16" s="195"/>
      <c r="O16" s="196" t="s">
        <v>147</v>
      </c>
      <c r="P16" s="197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BN16" s="42"/>
      <c r="BO16" s="42"/>
      <c r="BP16" s="42"/>
    </row>
    <row r="17" spans="1:68" ht="15.5">
      <c r="A17" s="198" t="s">
        <v>148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5"/>
      <c r="M17" s="195"/>
      <c r="N17" s="195"/>
      <c r="O17" s="196"/>
      <c r="P17" s="197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BN17" s="42"/>
      <c r="BO17" s="42"/>
      <c r="BP17" s="42"/>
    </row>
    <row r="18" spans="1:68" s="41" customFormat="1" ht="15.75" customHeight="1" thickBot="1">
      <c r="O18" s="181" t="s">
        <v>149</v>
      </c>
      <c r="P18" s="182"/>
      <c r="BN18" s="42"/>
      <c r="BO18" s="42"/>
      <c r="BP18" s="42"/>
    </row>
    <row r="19" spans="1:68" ht="15.75" customHeight="1" thickBot="1">
      <c r="A19" s="188" t="s">
        <v>150</v>
      </c>
      <c r="B19" s="191"/>
      <c r="C19" s="191"/>
      <c r="D19" s="191"/>
      <c r="E19" s="192"/>
      <c r="F19" s="41"/>
      <c r="G19" s="41"/>
      <c r="H19" s="41"/>
      <c r="I19" s="41"/>
      <c r="J19" s="188" t="s">
        <v>151</v>
      </c>
      <c r="K19" s="184"/>
      <c r="L19" s="184"/>
      <c r="M19" s="184"/>
      <c r="N19" s="185"/>
      <c r="O19" s="181" t="s">
        <v>152</v>
      </c>
      <c r="P19" s="182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BN19" s="42"/>
      <c r="BO19" s="42"/>
      <c r="BP19" s="42"/>
    </row>
    <row r="20" spans="1:68" ht="15.75" customHeight="1">
      <c r="A20" s="43"/>
      <c r="B20" s="44"/>
      <c r="C20" s="44"/>
      <c r="D20" s="44"/>
      <c r="E20" s="45"/>
      <c r="F20" s="41"/>
      <c r="G20" s="41"/>
      <c r="H20" s="41"/>
      <c r="I20" s="41"/>
      <c r="J20" s="178" t="s">
        <v>153</v>
      </c>
      <c r="K20" s="179"/>
      <c r="L20" s="180"/>
      <c r="M20" s="101">
        <v>0.74</v>
      </c>
      <c r="N20" s="102" t="s">
        <v>8</v>
      </c>
      <c r="O20" s="181" t="s">
        <v>154</v>
      </c>
      <c r="P20" s="18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BN20" s="42"/>
      <c r="BO20" s="42"/>
      <c r="BP20" s="42"/>
    </row>
    <row r="21" spans="1:68" ht="15.5">
      <c r="A21" s="43"/>
      <c r="B21" s="44"/>
      <c r="C21" s="44"/>
      <c r="D21" s="44"/>
      <c r="E21" s="45"/>
      <c r="F21" s="41"/>
      <c r="G21" s="41"/>
      <c r="H21" s="41"/>
      <c r="I21" s="41"/>
      <c r="J21" s="46" t="s">
        <v>155</v>
      </c>
      <c r="K21" s="47"/>
      <c r="L21" s="47"/>
      <c r="M21" s="103">
        <v>0.8</v>
      </c>
      <c r="N21" s="104" t="s">
        <v>5</v>
      </c>
      <c r="O21" s="181"/>
      <c r="P21" s="182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BN21" s="42"/>
      <c r="BO21" s="42"/>
      <c r="BP21" s="42"/>
    </row>
    <row r="22" spans="1:68">
      <c r="A22" s="43"/>
      <c r="B22" s="44"/>
      <c r="C22" s="44"/>
      <c r="D22" s="44"/>
      <c r="E22" s="45"/>
      <c r="F22" s="41"/>
      <c r="G22" s="41"/>
      <c r="H22" s="41"/>
      <c r="I22" s="41"/>
      <c r="J22" s="46" t="s">
        <v>156</v>
      </c>
      <c r="K22" s="47"/>
      <c r="L22" s="47"/>
      <c r="M22" s="105">
        <f>+Dmax*(Vin-Vout)/(Lout*0.000001)</f>
        <v>799200.00000000012</v>
      </c>
      <c r="N22" s="104" t="s">
        <v>157</v>
      </c>
      <c r="O22" s="41" t="s">
        <v>158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BN22" s="42"/>
      <c r="BO22" s="42"/>
      <c r="BP22" s="42"/>
    </row>
    <row r="23" spans="1:68" ht="16" thickBot="1">
      <c r="A23" s="43"/>
      <c r="B23" s="44"/>
      <c r="C23" s="44"/>
      <c r="D23" s="44"/>
      <c r="E23" s="45"/>
      <c r="F23" s="41"/>
      <c r="G23" s="41"/>
      <c r="H23" s="41"/>
      <c r="I23" s="41"/>
      <c r="J23" s="46" t="s">
        <v>159</v>
      </c>
      <c r="K23" s="47"/>
      <c r="L23" s="47"/>
      <c r="M23" s="105">
        <f>1+Se*C28/(Sn)</f>
        <v>3.0020020020020017</v>
      </c>
      <c r="N23" s="104" t="s">
        <v>157</v>
      </c>
      <c r="O23" s="41" t="s">
        <v>160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BN23" s="42"/>
      <c r="BO23" s="42"/>
      <c r="BP23" s="42"/>
    </row>
    <row r="24" spans="1:68">
      <c r="A24" s="48"/>
      <c r="B24" s="49" t="s">
        <v>161</v>
      </c>
      <c r="C24" s="50">
        <f>SQRT(1/(Lout*0.000001*ncap*Cap*0.000001*(Rout+ESR*0.001/ncap)/(Rout+DCR*0.001)))</f>
        <v>78196.623949278903</v>
      </c>
      <c r="D24" s="51" t="s">
        <v>126</v>
      </c>
      <c r="E24" s="48"/>
      <c r="F24" s="41"/>
      <c r="G24" s="41"/>
      <c r="H24" s="41"/>
      <c r="I24" s="41"/>
      <c r="J24" s="46" t="s">
        <v>162</v>
      </c>
      <c r="K24" s="47"/>
      <c r="L24" s="47"/>
      <c r="M24" s="106">
        <v>10000000</v>
      </c>
      <c r="N24" s="104" t="s">
        <v>163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BN24" s="42"/>
      <c r="BO24" s="42"/>
      <c r="BP24" s="42"/>
    </row>
    <row r="25" spans="1:68">
      <c r="A25" s="52"/>
      <c r="B25" s="53" t="s">
        <v>164</v>
      </c>
      <c r="C25" s="54">
        <f>1/(2*PI()*Cap*0.000001*ESR*0.001)</f>
        <v>1872411.0951987684</v>
      </c>
      <c r="D25" s="55" t="s">
        <v>126</v>
      </c>
      <c r="E25" s="52"/>
      <c r="F25" s="41"/>
      <c r="G25" s="41"/>
      <c r="H25" s="41"/>
      <c r="I25" s="41"/>
      <c r="J25" s="46" t="s">
        <v>165</v>
      </c>
      <c r="K25" s="47"/>
      <c r="L25" s="47"/>
      <c r="M25" s="106">
        <v>0.8</v>
      </c>
      <c r="N25" s="104" t="s">
        <v>5</v>
      </c>
      <c r="O25" s="41" t="s">
        <v>265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BN25" s="42"/>
      <c r="BO25" s="42"/>
      <c r="BP25" s="42"/>
    </row>
    <row r="26" spans="1:68" ht="15" thickBot="1">
      <c r="A26" s="52"/>
      <c r="B26" s="53" t="s">
        <v>166</v>
      </c>
      <c r="C26" s="54">
        <f>1/(2*PI()*Cap*0.000001*ncap*(ESR*0.001/ncap+Vout/Iout))</f>
        <v>3892.7465596647994</v>
      </c>
      <c r="D26" s="55" t="s">
        <v>126</v>
      </c>
      <c r="E26" s="52"/>
      <c r="F26" s="41"/>
      <c r="G26" s="41"/>
      <c r="H26" s="41"/>
      <c r="I26" s="41"/>
      <c r="J26" s="56" t="s">
        <v>167</v>
      </c>
      <c r="K26" s="57"/>
      <c r="L26" s="57"/>
      <c r="M26" s="107">
        <v>1E-4</v>
      </c>
      <c r="N26" s="108" t="s">
        <v>168</v>
      </c>
      <c r="O26" s="41" t="s">
        <v>266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BN26" s="42"/>
      <c r="BO26" s="42"/>
      <c r="BP26" s="42"/>
    </row>
    <row r="27" spans="1:68" ht="15" thickBot="1">
      <c r="A27" s="52"/>
      <c r="B27" s="53" t="s">
        <v>169</v>
      </c>
      <c r="C27" s="59">
        <f>1/(Gdo*(Cap*0.000001*ESR*0.001*Vout/(Iout*(Vout/Iout+DCR*0.001))+(Vout/Iout+ESR*0.001)*Cap*0.000001*ncap*DCR*0.001/(Vout/Iout+DCR*0.001)+Lout*0.000001/(Vout/Iout+DCR*0.001)))</f>
        <v>2.2368857583811566</v>
      </c>
      <c r="D27" s="55"/>
      <c r="E27" s="52"/>
      <c r="F27" s="41"/>
      <c r="G27" s="41"/>
      <c r="H27" s="41"/>
      <c r="I27" s="41"/>
      <c r="J27" s="183" t="s">
        <v>170</v>
      </c>
      <c r="K27" s="184"/>
      <c r="L27" s="185"/>
      <c r="M27" s="186" t="s">
        <v>171</v>
      </c>
      <c r="N27" s="187"/>
      <c r="O27" s="41" t="s">
        <v>267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BN27" s="42"/>
      <c r="BO27" s="42"/>
      <c r="BP27" s="42"/>
    </row>
    <row r="28" spans="1:68" ht="15" thickBot="1">
      <c r="A28" s="60"/>
      <c r="B28" s="61" t="s">
        <v>172</v>
      </c>
      <c r="C28" s="62">
        <f>+Fs*1000</f>
        <v>2000000</v>
      </c>
      <c r="D28" s="63" t="s">
        <v>126</v>
      </c>
      <c r="E28" s="60"/>
      <c r="F28" s="41"/>
      <c r="G28" s="41"/>
      <c r="H28" s="41"/>
      <c r="I28" s="41"/>
      <c r="J28" s="64" t="s">
        <v>173</v>
      </c>
      <c r="K28" s="132">
        <v>0.1</v>
      </c>
      <c r="L28" s="65" t="s">
        <v>174</v>
      </c>
      <c r="M28" s="109">
        <f>+C28*K28</f>
        <v>200000</v>
      </c>
      <c r="N28" s="66" t="s">
        <v>126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BN28" s="42"/>
      <c r="BO28" s="42"/>
      <c r="BP28" s="42"/>
    </row>
    <row r="29" spans="1:68" ht="15.7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3" t="s">
        <v>253</v>
      </c>
      <c r="K29" s="67">
        <f>2*PI()*Fc*Vout*Cap*ncap*0.000001*Dmax/(EA_BW*VFB)</f>
        <v>237127.41349295751</v>
      </c>
      <c r="L29" s="68" t="s">
        <v>163</v>
      </c>
      <c r="M29" s="166">
        <v>194000</v>
      </c>
      <c r="N29" s="68" t="s">
        <v>163</v>
      </c>
      <c r="O29" s="133"/>
      <c r="P29" s="134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BN29" s="42"/>
      <c r="BO29" s="42"/>
      <c r="BP29" s="42"/>
    </row>
    <row r="30" spans="1:68" ht="15.75" customHeight="1" thickBot="1">
      <c r="A30" s="188" t="s">
        <v>175</v>
      </c>
      <c r="B30" s="189"/>
      <c r="C30" s="189"/>
      <c r="D30" s="189"/>
      <c r="E30" s="189"/>
      <c r="F30" s="189"/>
      <c r="G30" s="190"/>
      <c r="H30" s="41"/>
      <c r="I30" s="41"/>
      <c r="J30" s="43" t="s">
        <v>244</v>
      </c>
      <c r="K30" s="69">
        <f>1/(2*PI()*K29*F0)</f>
        <v>1.7241785501622002E-10</v>
      </c>
      <c r="L30" s="68" t="s">
        <v>176</v>
      </c>
      <c r="M30" s="166">
        <v>2.8799999999999999E-10</v>
      </c>
      <c r="N30" s="68" t="s">
        <v>176</v>
      </c>
      <c r="O30" s="133"/>
      <c r="P30" s="134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BN30" s="42"/>
      <c r="BO30" s="42"/>
      <c r="BP30" s="42"/>
    </row>
    <row r="31" spans="1:68" ht="15.75" customHeight="1" thickBot="1">
      <c r="A31" s="173" t="s">
        <v>177</v>
      </c>
      <c r="B31" s="174"/>
      <c r="C31" s="70">
        <f>+_Rfb2*(Vout/VFB-1)</f>
        <v>15.049999999999994</v>
      </c>
      <c r="D31" s="71" t="s">
        <v>8</v>
      </c>
      <c r="E31" s="72"/>
      <c r="F31" s="72"/>
      <c r="G31" s="51" t="s">
        <v>8</v>
      </c>
      <c r="H31" s="41"/>
      <c r="I31" s="41"/>
      <c r="J31" s="43" t="s">
        <v>245</v>
      </c>
      <c r="K31" s="69">
        <f>1/(2*PI()*K29*C28*0.5)</f>
        <v>6.7117901193917468E-13</v>
      </c>
      <c r="L31" s="80" t="s">
        <v>176</v>
      </c>
      <c r="M31" s="167">
        <v>9.9999999999999998E-13</v>
      </c>
      <c r="N31" s="80" t="s">
        <v>176</v>
      </c>
      <c r="O31" s="41" t="s">
        <v>268</v>
      </c>
      <c r="P31" s="134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BN31" s="42"/>
      <c r="BO31" s="42"/>
      <c r="BP31" s="42"/>
    </row>
    <row r="32" spans="1:68" ht="15" thickBot="1">
      <c r="A32" s="171" t="s">
        <v>178</v>
      </c>
      <c r="B32" s="172"/>
      <c r="C32" s="58">
        <v>30.1</v>
      </c>
      <c r="D32" s="73" t="s">
        <v>8</v>
      </c>
      <c r="E32" s="60" t="str">
        <f>IF(_Rfb2&gt;30000, "Please lower R2", " ")</f>
        <v xml:space="preserve"> </v>
      </c>
      <c r="F32" s="74"/>
      <c r="G32" s="63"/>
      <c r="H32" s="41"/>
      <c r="I32" s="41"/>
      <c r="J32" s="75" t="s">
        <v>179</v>
      </c>
      <c r="K32" s="76">
        <f>1/(2*PI()*K29*K30)</f>
        <v>3892.7465596647994</v>
      </c>
      <c r="L32" s="66" t="s">
        <v>126</v>
      </c>
      <c r="M32" s="115">
        <f>1/(2*PI()*M29*M30)</f>
        <v>2848.5635576298569</v>
      </c>
      <c r="N32" s="66" t="s">
        <v>126</v>
      </c>
      <c r="O32" s="41" t="s">
        <v>269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BN32" s="42"/>
      <c r="BO32" s="42"/>
      <c r="BP32" s="42"/>
    </row>
    <row r="33" spans="1:68" ht="15" thickBot="1">
      <c r="A33" s="173" t="s">
        <v>263</v>
      </c>
      <c r="B33" s="174"/>
      <c r="C33" s="77">
        <v>1E-10</v>
      </c>
      <c r="D33" s="51" t="s">
        <v>176</v>
      </c>
      <c r="E33" s="44"/>
      <c r="F33" s="41"/>
      <c r="G33" s="41"/>
      <c r="H33" s="41"/>
      <c r="I33" s="41"/>
      <c r="J33" s="78" t="s">
        <v>180</v>
      </c>
      <c r="K33" s="79">
        <f>1/(2*PI()*K29*K31)</f>
        <v>1000000</v>
      </c>
      <c r="L33" s="68" t="s">
        <v>126</v>
      </c>
      <c r="M33" s="69">
        <f>1/(2*PI()*M29*M31)</f>
        <v>820386.30459739873</v>
      </c>
      <c r="N33" s="68" t="s">
        <v>126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BN33" s="42"/>
      <c r="BO33" s="42"/>
      <c r="BP33" s="42"/>
    </row>
    <row r="34" spans="1:68" ht="15" thickBot="1">
      <c r="A34" s="175" t="s">
        <v>181</v>
      </c>
      <c r="B34" s="176"/>
      <c r="C34" s="93">
        <v>1.0000000000000001E-18</v>
      </c>
      <c r="D34" s="94"/>
      <c r="E34" s="44"/>
      <c r="F34" s="41"/>
      <c r="G34" s="41"/>
      <c r="H34" s="41"/>
      <c r="I34" s="41"/>
      <c r="J34" s="41"/>
      <c r="K34" s="41"/>
      <c r="L34" s="65" t="s">
        <v>182</v>
      </c>
      <c r="M34" s="89">
        <f>LOOKUP(1,BH64:BH264,B64:B264)/1000</f>
        <v>109.64781961431864</v>
      </c>
      <c r="N34" s="66" t="s">
        <v>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BN34" s="42"/>
      <c r="BO34" s="42"/>
      <c r="BP34" s="42"/>
    </row>
    <row r="35" spans="1:68" ht="18">
      <c r="A35" s="41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92" t="s">
        <v>183</v>
      </c>
      <c r="M35" s="90">
        <f>LOOKUP(1,BH64:BH264,BF64:BF264)</f>
        <v>24.014514357536967</v>
      </c>
      <c r="N35" s="68" t="s">
        <v>184</v>
      </c>
      <c r="O35" s="3" t="str">
        <f>IF(M35&lt;45,"Desired Phase Margin should be &gt;45 degree, Recommend to inrease Cout or adjust C4", " ")</f>
        <v>Desired Phase Margin should be &gt;45 degree, Recommend to inrease Cout or adjust C4</v>
      </c>
      <c r="P35" s="13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BN35" s="42"/>
      <c r="BO35" s="42"/>
      <c r="BP35" s="42"/>
    </row>
    <row r="36" spans="1:68" s="85" customFormat="1" ht="18.5" thickBot="1">
      <c r="A36" s="82"/>
      <c r="B36" s="82"/>
      <c r="C36" s="82"/>
      <c r="D36" s="82"/>
      <c r="E36" s="82"/>
      <c r="F36" s="82"/>
      <c r="G36" s="82"/>
      <c r="H36" s="82"/>
      <c r="I36" s="83"/>
      <c r="J36" s="84"/>
      <c r="K36" s="83"/>
      <c r="L36" s="81" t="s">
        <v>242</v>
      </c>
      <c r="M36" s="91">
        <f>LOOKUP(1,BI65:BI265,BE65:BE265)</f>
        <v>-4.999612406161539</v>
      </c>
      <c r="N36" s="80" t="s">
        <v>247</v>
      </c>
      <c r="O36" s="3" t="str">
        <f>IF(M36 &gt; -10,"Desired Gain margin should be &lt;-10dB, Recommend to increase Cout ", " ")</f>
        <v xml:space="preserve">Desired Gain margin should be &lt;-10dB, Recommend to increase Cout 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BN36" s="42"/>
      <c r="BO36" s="42"/>
      <c r="BP36" s="42"/>
    </row>
    <row r="37" spans="1:68" s="82" customFormat="1">
      <c r="BN37" s="42"/>
      <c r="BO37" s="42"/>
      <c r="BP37" s="42"/>
    </row>
    <row r="38" spans="1:68" s="82" customForma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BN38" s="42"/>
      <c r="BO38" s="42"/>
      <c r="BP38" s="42"/>
    </row>
    <row r="39" spans="1:68" s="82" customFormat="1">
      <c r="A39" s="86" t="s">
        <v>185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N39" s="42"/>
      <c r="BO39" s="42"/>
      <c r="BP39" s="42"/>
    </row>
    <row r="40" spans="1:68" s="82" customFormat="1">
      <c r="A40" s="152">
        <f>PI()*C28</f>
        <v>6283185.307179586</v>
      </c>
      <c r="B40" s="86" t="s">
        <v>186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N40" s="42"/>
      <c r="BO40" s="42"/>
      <c r="BP40" s="42"/>
    </row>
    <row r="41" spans="1:68" s="82" customFormat="1">
      <c r="A41" s="86">
        <f>-2/PI()</f>
        <v>-0.63661977236758138</v>
      </c>
      <c r="B41" s="86" t="s">
        <v>187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N41" s="42"/>
      <c r="BO41" s="42"/>
      <c r="BP41" s="42"/>
    </row>
    <row r="42" spans="1:68" s="82" customForma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N42" s="42"/>
      <c r="BO42" s="42"/>
      <c r="BP42" s="42"/>
    </row>
    <row r="43" spans="1:68" s="82" customFormat="1">
      <c r="A43" s="152">
        <f>1/(EA_DC*Sn*(1/C28))</f>
        <v>0.8336112037345782</v>
      </c>
      <c r="B43" s="86" t="s">
        <v>188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N43" s="42"/>
      <c r="BO43" s="42"/>
      <c r="BP43" s="42"/>
    </row>
    <row r="44" spans="1:68" s="82" customForma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N44" s="42"/>
      <c r="BO44" s="42"/>
      <c r="BP44" s="42"/>
    </row>
    <row r="45" spans="1:68" s="82" customForma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N45" s="42"/>
      <c r="BO45" s="42"/>
      <c r="BP45" s="42"/>
    </row>
    <row r="46" spans="1:68" s="82" customForma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N46" s="42"/>
      <c r="BO46" s="42"/>
      <c r="BP46" s="42"/>
    </row>
    <row r="47" spans="1:68" s="82" customForma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N47" s="42"/>
      <c r="BO47" s="42"/>
      <c r="BP47" s="42"/>
    </row>
    <row r="48" spans="1:68" s="82" customForma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N48" s="42"/>
      <c r="BO48" s="42"/>
      <c r="BP48" s="42"/>
    </row>
    <row r="49" spans="1:68" s="82" customForma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N49" s="42"/>
      <c r="BO49" s="42"/>
      <c r="BP49" s="42"/>
    </row>
    <row r="50" spans="1:68" s="82" customForma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N50" s="42"/>
      <c r="BO50" s="42"/>
      <c r="BP50" s="42"/>
    </row>
    <row r="51" spans="1:68" s="82" customForma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N51" s="42"/>
      <c r="BO51" s="42"/>
      <c r="BP51" s="42"/>
    </row>
    <row r="52" spans="1:68" s="82" customForma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N52" s="42"/>
      <c r="BO52" s="42"/>
      <c r="BP52" s="42"/>
    </row>
    <row r="53" spans="1:68" s="82" customForma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N53" s="42"/>
      <c r="BO53" s="42"/>
      <c r="BP53" s="42"/>
    </row>
    <row r="54" spans="1:68" s="82" customForma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N54" s="42"/>
      <c r="BO54" s="42"/>
      <c r="BP54" s="42"/>
    </row>
    <row r="55" spans="1:68" s="86" customFormat="1">
      <c r="B55" s="86" t="s">
        <v>189</v>
      </c>
      <c r="C55" s="86">
        <v>100</v>
      </c>
      <c r="Q55" s="152"/>
      <c r="BN55" s="42"/>
      <c r="BO55" s="42"/>
      <c r="BP55" s="42"/>
    </row>
    <row r="56" spans="1:68" s="86" customFormat="1">
      <c r="B56" s="86" t="s">
        <v>190</v>
      </c>
      <c r="C56" s="86">
        <v>1000000</v>
      </c>
      <c r="BN56" s="42"/>
      <c r="BO56" s="42"/>
      <c r="BP56" s="42"/>
    </row>
    <row r="57" spans="1:68" s="86" customFormat="1">
      <c r="B57" s="86" t="s">
        <v>191</v>
      </c>
      <c r="C57" s="86">
        <v>200</v>
      </c>
      <c r="BN57" s="42"/>
      <c r="BO57" s="42"/>
      <c r="BP57" s="42"/>
    </row>
    <row r="58" spans="1:68" s="86" customFormat="1">
      <c r="B58" s="86" t="s">
        <v>192</v>
      </c>
      <c r="C58" s="86">
        <f>LOG(Fstop/Fstart)/Fstep</f>
        <v>0.02</v>
      </c>
      <c r="BN58" s="42"/>
      <c r="BO58" s="42"/>
      <c r="BP58" s="42"/>
    </row>
    <row r="59" spans="1:68" s="86" customFormat="1">
      <c r="BN59" s="42"/>
      <c r="BO59" s="42"/>
      <c r="BP59" s="42"/>
    </row>
    <row r="60" spans="1:68" s="86" customFormat="1">
      <c r="F60" s="86" t="s">
        <v>193</v>
      </c>
      <c r="X60" s="153" t="s">
        <v>194</v>
      </c>
      <c r="AB60" s="153" t="s">
        <v>195</v>
      </c>
      <c r="AF60" s="153" t="s">
        <v>196</v>
      </c>
      <c r="AK60" s="86" t="s">
        <v>197</v>
      </c>
      <c r="AQ60" s="86" t="s">
        <v>198</v>
      </c>
      <c r="BN60" s="42"/>
      <c r="BO60" s="42"/>
      <c r="BP60" s="42"/>
    </row>
    <row r="61" spans="1:68" s="86" customFormat="1">
      <c r="J61" s="86" t="s">
        <v>199</v>
      </c>
      <c r="R61" s="86" t="s">
        <v>200</v>
      </c>
      <c r="X61" s="153" t="s">
        <v>201</v>
      </c>
      <c r="AB61" s="153" t="s">
        <v>202</v>
      </c>
      <c r="AF61" s="153" t="s">
        <v>203</v>
      </c>
      <c r="BN61" s="42"/>
      <c r="BO61" s="42"/>
      <c r="BP61" s="42"/>
    </row>
    <row r="62" spans="1:68" s="86" customFormat="1">
      <c r="A62" s="17"/>
      <c r="B62" s="17"/>
      <c r="C62" s="17"/>
      <c r="D62" s="17"/>
      <c r="E62" s="17"/>
      <c r="F62" s="17"/>
      <c r="G62" s="17"/>
      <c r="H62" s="17"/>
      <c r="AF62" s="153"/>
      <c r="AV62" s="177"/>
      <c r="AW62" s="177"/>
      <c r="AX62" s="17" t="s">
        <v>204</v>
      </c>
      <c r="AY62" s="17"/>
      <c r="AZ62" s="17" t="s">
        <v>205</v>
      </c>
      <c r="BD62" s="86" t="s">
        <v>206</v>
      </c>
      <c r="BH62" s="86" t="s">
        <v>207</v>
      </c>
      <c r="BN62" s="42"/>
      <c r="BO62" s="42"/>
      <c r="BP62" s="42"/>
    </row>
    <row r="63" spans="1:68" s="86" customFormat="1">
      <c r="A63" s="17" t="s">
        <v>192</v>
      </c>
      <c r="B63" s="17" t="s">
        <v>176</v>
      </c>
      <c r="C63" s="17" t="s">
        <v>208</v>
      </c>
      <c r="D63" s="17" t="s">
        <v>209</v>
      </c>
      <c r="E63" s="17" t="s">
        <v>210</v>
      </c>
      <c r="F63" s="17" t="s">
        <v>211</v>
      </c>
      <c r="G63" s="17" t="s">
        <v>212</v>
      </c>
      <c r="H63" s="17" t="s">
        <v>213</v>
      </c>
      <c r="J63" s="17" t="s">
        <v>214</v>
      </c>
      <c r="K63" s="17" t="s">
        <v>215</v>
      </c>
      <c r="N63" s="17" t="s">
        <v>216</v>
      </c>
      <c r="P63" s="154" t="s">
        <v>217</v>
      </c>
      <c r="R63" s="86" t="s">
        <v>214</v>
      </c>
      <c r="S63" s="86" t="s">
        <v>215</v>
      </c>
      <c r="T63" s="86" t="s">
        <v>218</v>
      </c>
      <c r="V63" s="154" t="s">
        <v>219</v>
      </c>
      <c r="X63" s="154" t="s">
        <v>220</v>
      </c>
      <c r="Y63" s="86" t="s">
        <v>214</v>
      </c>
      <c r="Z63" s="86" t="s">
        <v>221</v>
      </c>
      <c r="AB63" s="154" t="s">
        <v>222</v>
      </c>
      <c r="AC63" s="86" t="s">
        <v>214</v>
      </c>
      <c r="AD63" s="86" t="s">
        <v>221</v>
      </c>
      <c r="AF63" s="154" t="s">
        <v>223</v>
      </c>
      <c r="AG63" s="86" t="s">
        <v>224</v>
      </c>
      <c r="AH63" s="86" t="s">
        <v>225</v>
      </c>
      <c r="AJ63" s="86" t="s">
        <v>226</v>
      </c>
      <c r="AK63" s="86" t="s">
        <v>227</v>
      </c>
      <c r="AL63" s="155" t="s">
        <v>228</v>
      </c>
      <c r="AM63" s="155" t="s">
        <v>229</v>
      </c>
      <c r="AN63" s="155" t="s">
        <v>230</v>
      </c>
      <c r="AO63" s="86" t="s">
        <v>231</v>
      </c>
      <c r="AP63" s="154" t="s">
        <v>232</v>
      </c>
      <c r="AQ63" s="17" t="s">
        <v>233</v>
      </c>
      <c r="AR63" s="17"/>
      <c r="AS63" s="17"/>
      <c r="AT63" s="17" t="s">
        <v>234</v>
      </c>
      <c r="AU63" s="154" t="s">
        <v>235</v>
      </c>
      <c r="AV63" s="17"/>
      <c r="AW63" s="17" t="s">
        <v>236</v>
      </c>
      <c r="AX63" s="17" t="s">
        <v>237</v>
      </c>
      <c r="AY63" s="17" t="s">
        <v>221</v>
      </c>
      <c r="AZ63" s="17" t="s">
        <v>238</v>
      </c>
      <c r="BA63" s="17" t="s">
        <v>237</v>
      </c>
      <c r="BB63" s="17" t="s">
        <v>225</v>
      </c>
      <c r="BD63" s="17" t="s">
        <v>239</v>
      </c>
      <c r="BE63" s="17" t="s">
        <v>224</v>
      </c>
      <c r="BF63" s="17" t="s">
        <v>225</v>
      </c>
      <c r="BG63" s="17"/>
      <c r="BH63" s="17" t="s">
        <v>240</v>
      </c>
      <c r="BI63" s="156" t="s">
        <v>241</v>
      </c>
      <c r="BJ63" s="4"/>
      <c r="BK63" s="4"/>
      <c r="BL63" s="88"/>
      <c r="BM63" s="88"/>
      <c r="BN63" s="42"/>
      <c r="BO63" s="42"/>
      <c r="BP63" s="42"/>
    </row>
    <row r="64" spans="1:68" s="86" customFormat="1">
      <c r="A64" s="86">
        <v>0</v>
      </c>
      <c r="B64" s="86">
        <f>Fstart*10^(Step*A64)</f>
        <v>100</v>
      </c>
      <c r="C64" s="86" t="str">
        <f t="shared" ref="C64:C127" si="0">COMPLEX(0,2*PI()*B64,"j")</f>
        <v>628.318530717959j</v>
      </c>
      <c r="D64" s="86">
        <f t="shared" ref="D64:D127" si="1">(IMPRODUCT(C64,C64))/wn^2 + 1</f>
        <v>0.99999998999999995</v>
      </c>
      <c r="E64" s="86" t="str">
        <f t="shared" ref="E64:E127" si="2">IMDIV(C64,wn*Qn)</f>
        <v>-0.00015707963267949j</v>
      </c>
      <c r="F64" s="86" t="str">
        <f t="shared" ref="F64:F127" si="3">IMSUM(D64,E64)</f>
        <v>0.99999999-0.00015707963267949j</v>
      </c>
      <c r="G64" s="86">
        <f t="shared" ref="G64:G127" si="4">20*LOG(IMABS(F64),10)</f>
        <v>2.0298971641966498E-8</v>
      </c>
      <c r="H64" s="86">
        <f t="shared" ref="H64:H127" si="5">(IMARGUMENT(F64)*(180/PI()))</f>
        <v>-9.0000000159779891E-3</v>
      </c>
      <c r="J64" s="86">
        <f t="shared" ref="J64:J127" si="6">Vin/(Rout+DCR/1000)</f>
        <v>4.8</v>
      </c>
      <c r="K64" s="86" t="str">
        <f t="shared" ref="K64:K127" si="7">IMSUM(1,IMPRODUCT(C64,ncap*(Cap*10^-6)*(Rout+(ESR/(ncap*1000)))))</f>
        <v>1+0.0256888031284038j</v>
      </c>
      <c r="L64" s="86">
        <f t="shared" ref="L64:L127" si="8">(IMPRODUCT(C64,C64))/Gdo^2 + 1</f>
        <v>0.99993543699584986</v>
      </c>
      <c r="M64" s="86" t="str">
        <f t="shared" ref="M64:M127" si="9">IMDIV(C64,Q*Gdo)</f>
        <v>0.00359209704011457j</v>
      </c>
      <c r="N64" s="86" t="str">
        <f t="shared" ref="N64:N127" si="10">IMSUM(L64,M64)</f>
        <v>0.99993543699585+0.00359209704011457j</v>
      </c>
      <c r="O64" s="86" t="str">
        <f t="shared" ref="O64:O127" si="11">IMDIV(K64,N64)</f>
        <v>1.00014394907788+0.0220976156976867j</v>
      </c>
      <c r="P64" s="86" t="str">
        <f t="shared" ref="P64:P127" si="12">IMPRODUCT(J64,O64)</f>
        <v>4.80069095557382+0.106068555348896j</v>
      </c>
      <c r="R64" s="86">
        <f t="shared" ref="R64:R127" si="13">Vin/(1+((DCR*10^-3)/Rout))</f>
        <v>11.52</v>
      </c>
      <c r="S64" s="86" t="str">
        <f t="shared" ref="S64:S127" si="14">IMSUM(1,IMPRODUCT(C64,ncap*(Cap*10^-6)*(ESR/(ncap*1000))))</f>
        <v>1+0.0000534070751110265j</v>
      </c>
      <c r="T64" s="86" t="str">
        <f t="shared" ref="T64:T127" si="15">IMSUM(L64,M64)</f>
        <v>0.99993543699585+0.00359209704011457j</v>
      </c>
      <c r="U64" s="86" t="str">
        <f t="shared" ref="U64:U127" si="16">IMDIV(S64,T64)</f>
        <v>1.00005185354437-0.00353910472319972j</v>
      </c>
      <c r="V64" s="86" t="str">
        <f t="shared" ref="V64:V127" si="17">IMPRODUCT(R64,U64)</f>
        <v>11.5205973528311-0.0407704864112608j</v>
      </c>
      <c r="X64" s="86" t="str">
        <f t="shared" ref="X64:X127" si="18">IMPRODUCT(Fm,Dmax,P64,F64)</f>
        <v>2.96142347523733+0.064965574359839j</v>
      </c>
      <c r="Y64" s="86">
        <f t="shared" ref="Y64:Y127" si="19">20*LOG(IMABS(X64),10)</f>
        <v>9.4320998088082675</v>
      </c>
      <c r="Z64" s="86">
        <f t="shared" ref="Z64:Z127" si="20">IF((IMARGUMENT(X64)*(180/PI()))&lt;0,(IMARGUMENT(X64)*(180/PI()))+180,(IMARGUMENT(X64)*(180/PI()))-180)</f>
        <v>-178.74328804251107</v>
      </c>
      <c r="AB64" s="86" t="str">
        <f t="shared" ref="AB64:AB127" si="21">IMPRODUCT(Fm,V64)</f>
        <v>9.60369902703493-0.0339867342541354j</v>
      </c>
      <c r="AC64" s="86">
        <f t="shared" ref="AC64:AC127" si="22">20*LOG(IMABS(AB64),10)</f>
        <v>19.648825213022221</v>
      </c>
      <c r="AD64" s="86">
        <f t="shared" ref="AD64:AD127" si="23">IF((IMARGUMENT(AB64)*(180/PI()))&lt;0,(IMARGUMENT(AB64)*(180/PI()))+180,(IMARGUMENT(AB64)*(180/PI()))-180)</f>
        <v>179.79723559667121</v>
      </c>
      <c r="AF64" s="86" t="str">
        <f t="shared" ref="AF64:AF127" si="24">IMDIV(AB64,IMSUM(1,X64))</f>
        <v>2.4235125817842-0.0483239477664208j</v>
      </c>
      <c r="AG64" s="86">
        <f t="shared" ref="AG64:AG127" si="25">20*LOG(IMABS(AF64),10)</f>
        <v>7.6906319380138024</v>
      </c>
      <c r="AH64" s="86">
        <f t="shared" ref="AH64:AH127" si="26">IF((IMARGUMENT(AF64)*(180/PI()))&lt;0,(IMARGUMENT(AF64)*(180/PI()))+180,(IMARGUMENT(AF64)*(180/PI()))-180)</f>
        <v>178.85769464444903</v>
      </c>
      <c r="AJ64" s="86" t="str">
        <f t="shared" ref="AJ64:AJ127" si="27">IMDIV(_Rfb1,IMSUM(1,IMPRODUCT(C64,_Cfb1*_Rfb1)))</f>
        <v>15.0499999999865-0.0000142315718003817j</v>
      </c>
      <c r="AK64" s="86" t="str">
        <f t="shared" ref="AK64:AK127" si="28">IMDIV(_Rfb2,IMSUM(1,IMPRODUCT(C64,_Cfb2*_Rfb2)))</f>
        <v>30.1-5.69262872015779E-13j</v>
      </c>
      <c r="AL64" s="86" t="str">
        <f>IMDIV(IMSUM(1,IMPRODUCT(C64,10000,0.000000000045)),IMPRODUCT(C64,0.000000000045))</f>
        <v>10000-35367765.1315322j</v>
      </c>
      <c r="AM64" s="86" t="str">
        <f>IMDIV(AL64,IMSUM(1,IMPRODUCT(C64,AL64,0.0000000001)))</f>
        <v>963.13908347349-10976203.1596625j</v>
      </c>
      <c r="AN64" s="86" t="str">
        <f>IMSUM(10000,AM64)</f>
        <v>10963.1390834735-10976203.1596625j</v>
      </c>
      <c r="AO64" s="86" t="str">
        <f>IMDIV(IMPRODUCT(AN64,AK64),IMSUM(AN64,AK64))</f>
        <v>30.0999999173288-0.0000825430327997193j</v>
      </c>
      <c r="AP64" s="86" t="str">
        <f>IMDIV(AK64,IMSUM(AJ64,AK64))</f>
        <v>0.6666666666668+2.10137637737282E-07j</v>
      </c>
      <c r="AQ64" s="86" t="str">
        <f t="shared" ref="AQ64:AQ127" si="29">IMSUM(1,IMPRODUCT(C64,_res1*_Cap1))</f>
        <v>1+0.0351054129482738j</v>
      </c>
      <c r="AR64" s="86">
        <f t="shared" ref="AR64:AR95" si="30">(IMPRODUCT(C64,C64))*_res1*_Cap1*_cap2 + (1/Roerr)</f>
        <v>9.9977942618516083E-8</v>
      </c>
      <c r="AS64" s="86" t="str">
        <f t="shared" ref="AS64:AS127" si="31">IMPRODUCT(C64,(_Cap1+_cap2+(_Cap1*_res1/Roerr)))</f>
        <v>1.85094596672318E-07j</v>
      </c>
      <c r="AT64" s="86" t="str">
        <f t="shared" ref="AT64:AT127" si="32">IMSUM(AR64,AS64)</f>
        <v>9.99779426185161E-08+1.85094596672318E-07j</v>
      </c>
      <c r="AU64" s="86" t="str">
        <f t="shared" ref="AU64:AU127" si="33">IMPRODUCT(EA_BW,IMDIV(AQ64,AT64))</f>
        <v>240.592756466274-410.309282739546j</v>
      </c>
      <c r="AW64" s="86" t="str">
        <f>IMDIV(IMPRODUCT(AP64,AU64),IMPRODUCT(IMSUM(1,IMPRODUCT(C64,1/1500000)),IMSUM(1,IMPRODUCT(C64,1/35000000))))</f>
        <v>160.275737304381-273.609486733442j</v>
      </c>
      <c r="AX64" s="86">
        <f t="shared" ref="AX64:AX127" si="34">20*LOG(IMABS(AW64),10)</f>
        <v>50.023840755723086</v>
      </c>
      <c r="AY64" s="86">
        <f t="shared" ref="AY64:AY127" si="35">IF((IMARGUMENT(AW64)*(180/PI()))&lt;0,(IMARGUMENT(AW64)*(180/PI()))+180,(IMARGUMENT(AW64)*(180/PI()))-180)</f>
        <v>120.36103917570969</v>
      </c>
      <c r="AZ64" s="86" t="str">
        <f t="shared" ref="AZ64:AZ127" si="36">IMPRODUCT(AW64,Fm,V64)</f>
        <v>1529.94084949237-2633.11041042063j</v>
      </c>
      <c r="BA64" s="86">
        <f t="shared" ref="BA64:BA127" si="37">20*LOG(IMABS(AZ64),10)</f>
        <v>69.672665968745292</v>
      </c>
      <c r="BB64" s="86">
        <f t="shared" ref="BB64:BB127" si="38">IF((IMARGUMENT(AZ64)*(180/PI()))&lt;0,(IMARGUMENT(AZ64)*(180/PI()))+180,(IMARGUMENT(AZ64)*(180/PI()))-180)</f>
        <v>120.15827477238093</v>
      </c>
      <c r="BD64" s="86" t="str">
        <f t="shared" ref="BD64:BD127" si="39">IMDIV(AZ64,IMSUM(1,X64))</f>
        <v>375.208375366602-670.841189951734j</v>
      </c>
      <c r="BE64" s="86">
        <f t="shared" ref="BE64:BE127" si="40">20*LOG(IMABS(BD64),10)</f>
        <v>57.71447269373688</v>
      </c>
      <c r="BF64" s="86">
        <f t="shared" ref="BF64:BF127" si="41">IF((IMARGUMENT(BD64)*(180/PI()))&lt;0,(IMARGUMENT(BD64)*(180/PI()))+180,(IMARGUMENT(BD64)*(180/PI()))-180)</f>
        <v>119.21873382015872</v>
      </c>
      <c r="BH64" s="86">
        <f>1-BE64</f>
        <v>-56.71447269373688</v>
      </c>
      <c r="BI64" s="157">
        <f>+-1*BF64</f>
        <v>-119.21873382015872</v>
      </c>
      <c r="BJ64" s="88"/>
      <c r="BK64" s="88"/>
      <c r="BL64" s="88"/>
      <c r="BM64" s="88"/>
      <c r="BN64" s="42"/>
      <c r="BO64" s="42"/>
      <c r="BP64" s="42"/>
    </row>
    <row r="65" spans="1:68" s="86" customFormat="1">
      <c r="A65" s="86">
        <v>1</v>
      </c>
      <c r="B65" s="86">
        <f t="shared" ref="B65:B127" si="42">Fstart*10^(Step*A65)</f>
        <v>104.71285480508996</v>
      </c>
      <c r="C65" s="86" t="str">
        <f t="shared" si="0"/>
        <v>657.930270784171j</v>
      </c>
      <c r="D65" s="86">
        <f t="shared" si="1"/>
        <v>0.99999998903521803</v>
      </c>
      <c r="E65" s="86" t="str">
        <f t="shared" si="2"/>
        <v>-0.000164482567696043j</v>
      </c>
      <c r="F65" s="86" t="str">
        <f t="shared" si="3"/>
        <v>0.999999989035218-0.000164482567696043j</v>
      </c>
      <c r="G65" s="86">
        <f t="shared" si="4"/>
        <v>2.2257379929928519E-8</v>
      </c>
      <c r="H65" s="86">
        <f t="shared" si="5"/>
        <v>-9.4241569508032776E-3</v>
      </c>
      <c r="J65" s="86">
        <f t="shared" si="6"/>
        <v>4.8</v>
      </c>
      <c r="K65" s="86" t="str">
        <f t="shared" si="7"/>
        <v>1+0.0268994791210108j</v>
      </c>
      <c r="L65" s="86">
        <f t="shared" si="8"/>
        <v>0.9999292080736718</v>
      </c>
      <c r="M65" s="86" t="str">
        <f t="shared" si="9"/>
        <v>0.0037613873580731j</v>
      </c>
      <c r="N65" s="86" t="str">
        <f t="shared" si="10"/>
        <v>0.999929208073672+0.0037613873580731j</v>
      </c>
      <c r="O65" s="86" t="str">
        <f t="shared" si="11"/>
        <v>1.00015783835415+0.0231391361357684j</v>
      </c>
      <c r="P65" s="86" t="str">
        <f t="shared" si="12"/>
        <v>4.80075762409992+0.111067853451688j</v>
      </c>
      <c r="R65" s="86">
        <f t="shared" si="13"/>
        <v>11.52</v>
      </c>
      <c r="S65" s="86" t="str">
        <f t="shared" si="14"/>
        <v>1+0.0000559240730166545j</v>
      </c>
      <c r="T65" s="86" t="str">
        <f t="shared" si="15"/>
        <v>0.999929208073672+0.0037613873580731j</v>
      </c>
      <c r="U65" s="86" t="str">
        <f t="shared" si="16"/>
        <v>1.00005685647734-0.00370593949488724j</v>
      </c>
      <c r="V65" s="86" t="str">
        <f t="shared" si="17"/>
        <v>11.520654986619-0.042692422981101j</v>
      </c>
      <c r="X65" s="86" t="str">
        <f t="shared" si="18"/>
        <v>2.96146558997826+0.0680275728215961j</v>
      </c>
      <c r="Y65" s="86">
        <f t="shared" si="19"/>
        <v>9.4324248230900825</v>
      </c>
      <c r="Z65" s="86">
        <f t="shared" si="20"/>
        <v>-178.68409496724618</v>
      </c>
      <c r="AB65" s="86" t="str">
        <f t="shared" si="21"/>
        <v>9.60374707120624-0.0355888821116214j</v>
      </c>
      <c r="AC65" s="86">
        <f t="shared" si="22"/>
        <v>19.648873913801367</v>
      </c>
      <c r="AD65" s="86">
        <f t="shared" si="23"/>
        <v>179.78767835162191</v>
      </c>
      <c r="AF65" s="86" t="str">
        <f t="shared" si="24"/>
        <v>2.42342251562958-0.0505995645344501j</v>
      </c>
      <c r="AG65" s="86">
        <f t="shared" si="25"/>
        <v>7.6904756587711534</v>
      </c>
      <c r="AH65" s="86">
        <f t="shared" si="26"/>
        <v>178.80387332696949</v>
      </c>
      <c r="AJ65" s="86" t="str">
        <f t="shared" si="27"/>
        <v>15.0499999999852-0.0000149022851158145j</v>
      </c>
      <c r="AK65" s="86" t="str">
        <f t="shared" si="28"/>
        <v>30.1-5.96091404633165E-13j</v>
      </c>
      <c r="AL65" s="86" t="str">
        <f t="shared" ref="AL65:AL128" si="43">IMDIV(IMSUM(1,IMPRODUCT(C65,10000,0.000000000045)),IMPRODUCT(C65,0.000000000045))</f>
        <v>10000-33775953.4847608j</v>
      </c>
      <c r="AM65" s="86" t="str">
        <f t="shared" ref="AM65:AM128" si="44">IMDIV(AL65,IMSUM(1,IMPRODUCT(C65,AL65,0.0000000001)))</f>
        <v>963.139079940295-10482192.6574466j</v>
      </c>
      <c r="AN65" s="86" t="str">
        <f t="shared" ref="AN65:AN128" si="45">IMSUM(10000,AM65)</f>
        <v>10963.1390799403-10482192.6574466j</v>
      </c>
      <c r="AO65" s="86" t="str">
        <f t="shared" ref="AO65:AO128" si="46">IMDIV(IMPRODUCT(AN65,AK65),IMSUM(AN65,AK65))</f>
        <v>30.0999999093529-0.0000864331575798212j</v>
      </c>
      <c r="AP65" s="86" t="str">
        <f t="shared" ref="AP65:AP128" si="47">IMDIV(AK65,IMSUM(AJ65,AK65))</f>
        <v>0.666666666666813+2.20041119494676E-07j</v>
      </c>
      <c r="AQ65" s="86" t="str">
        <f t="shared" si="29"/>
        <v>1+0.0367598800892532j</v>
      </c>
      <c r="AR65" s="86">
        <f t="shared" si="30"/>
        <v>9.9975814562138876E-8</v>
      </c>
      <c r="AS65" s="86" t="str">
        <f t="shared" si="31"/>
        <v>1.93817836265551E-07j</v>
      </c>
      <c r="AT65" s="86" t="str">
        <f t="shared" si="32"/>
        <v>9.99758145621389E-08+1.93817836265551E-07j</v>
      </c>
      <c r="AU65" s="86" t="str">
        <f t="shared" si="33"/>
        <v>225.187910888524-399.79114756605j</v>
      </c>
      <c r="AW65" s="86" t="str">
        <f t="shared" ref="AW65:AW128" si="48">IMDIV(IMPRODUCT(AP65,AU65),IMPRODUCT(IMSUM(1,IMPRODUCT(C65,1/1500000)),IMSUM(1,IMPRODUCT(C65,1/35000000))))</f>
        <v>150.003417274314-266.595998649654j</v>
      </c>
      <c r="AX65" s="86">
        <f t="shared" si="34"/>
        <v>49.711572909965639</v>
      </c>
      <c r="AY65" s="86">
        <f t="shared" si="35"/>
        <v>119.36480065666214</v>
      </c>
      <c r="AZ65" s="86" t="str">
        <f t="shared" si="36"/>
        <v>1431.10702575175-2565.65899516063j</v>
      </c>
      <c r="BA65" s="86">
        <f t="shared" si="37"/>
        <v>69.360446823767006</v>
      </c>
      <c r="BB65" s="86">
        <f t="shared" si="38"/>
        <v>119.1524790082841</v>
      </c>
      <c r="BD65" s="86" t="str">
        <f t="shared" si="39"/>
        <v>350.032017405653-653.664853297083j</v>
      </c>
      <c r="BE65" s="86">
        <f t="shared" si="40"/>
        <v>57.402048568736781</v>
      </c>
      <c r="BF65" s="86">
        <f t="shared" si="41"/>
        <v>118.16867398363173</v>
      </c>
      <c r="BH65" s="86">
        <f t="shared" ref="BH65:BH128" si="49">1-BE65</f>
        <v>-56.402048568736781</v>
      </c>
      <c r="BI65" s="157">
        <f t="shared" ref="BI65:BI128" si="50">+-1*BF65</f>
        <v>-118.16867398363173</v>
      </c>
      <c r="BJ65" s="88"/>
      <c r="BK65" s="88"/>
      <c r="BL65" s="88"/>
      <c r="BM65" s="88"/>
      <c r="BN65" s="42"/>
      <c r="BO65" s="42"/>
      <c r="BP65" s="42"/>
    </row>
    <row r="66" spans="1:68" s="86" customFormat="1">
      <c r="A66" s="86">
        <v>2</v>
      </c>
      <c r="B66" s="86">
        <f t="shared" si="42"/>
        <v>109.64781961431851</v>
      </c>
      <c r="C66" s="86" t="str">
        <f t="shared" si="0"/>
        <v>688.937569164964j</v>
      </c>
      <c r="D66" s="86">
        <f t="shared" si="1"/>
        <v>0.99999998797735568</v>
      </c>
      <c r="E66" s="86" t="str">
        <f t="shared" si="2"/>
        <v>-0.000172234392291241j</v>
      </c>
      <c r="F66" s="86" t="str">
        <f t="shared" si="3"/>
        <v>0.999999987977356-0.000172234392291241j</v>
      </c>
      <c r="G66" s="86">
        <f t="shared" si="4"/>
        <v>2.4404736612061661E-8</v>
      </c>
      <c r="H66" s="86">
        <f t="shared" si="5"/>
        <v>-9.8683037863517287E-3</v>
      </c>
      <c r="J66" s="86">
        <f t="shared" si="6"/>
        <v>4.8</v>
      </c>
      <c r="K66" s="86" t="str">
        <f t="shared" si="7"/>
        <v>1+0.0281672125153096j</v>
      </c>
      <c r="L66" s="86">
        <f t="shared" si="8"/>
        <v>0.99992237819631824</v>
      </c>
      <c r="M66" s="86" t="str">
        <f t="shared" si="9"/>
        <v>0.0039386560829161j</v>
      </c>
      <c r="N66" s="86" t="str">
        <f t="shared" si="10"/>
        <v>0.999922378196318+0.0039386560829161j</v>
      </c>
      <c r="O66" s="86" t="str">
        <f t="shared" si="11"/>
        <v>1.00017306791155+0.0242297555347383j</v>
      </c>
      <c r="P66" s="86" t="str">
        <f t="shared" si="12"/>
        <v>4.80083072597544+0.116302826566744j</v>
      </c>
      <c r="R66" s="86">
        <f t="shared" si="13"/>
        <v>11.52</v>
      </c>
      <c r="S66" s="86" t="str">
        <f t="shared" si="14"/>
        <v>1+0.0000585596933790219j</v>
      </c>
      <c r="T66" s="86" t="str">
        <f t="shared" si="15"/>
        <v>0.999922378196318+0.0039386560829161j</v>
      </c>
      <c r="U66" s="86" t="str">
        <f t="shared" si="16"/>
        <v>1.00006234212402-0.00388064315624429j</v>
      </c>
      <c r="V66" s="86" t="str">
        <f t="shared" si="17"/>
        <v>11.5207181812687-0.0447050091599342j</v>
      </c>
      <c r="X66" s="86" t="str">
        <f t="shared" si="18"/>
        <v>2.96151176867833+0.0712339181263441j</v>
      </c>
      <c r="Y66" s="86">
        <f t="shared" si="19"/>
        <v>9.4327811741992651</v>
      </c>
      <c r="Z66" s="86">
        <f t="shared" si="20"/>
        <v>-178.62211723283806</v>
      </c>
      <c r="AB66" s="86" t="str">
        <f t="shared" si="21"/>
        <v>9.60379975097424-0.0372665964987781j</v>
      </c>
      <c r="AC66" s="86">
        <f t="shared" si="22"/>
        <v>19.648927313384046</v>
      </c>
      <c r="AD66" s="86">
        <f t="shared" si="23"/>
        <v>179.77767050181893</v>
      </c>
      <c r="AF66" s="86" t="str">
        <f t="shared" si="24"/>
        <v>2.42332376749591-0.0529821582269917j</v>
      </c>
      <c r="AG66" s="86">
        <f t="shared" si="25"/>
        <v>7.6903043084368727</v>
      </c>
      <c r="AH66" s="86">
        <f t="shared" si="26"/>
        <v>178.74751754390738</v>
      </c>
      <c r="AJ66" s="86" t="str">
        <f t="shared" si="27"/>
        <v>15.0499999999838-0.0000156046081759619j</v>
      </c>
      <c r="AK66" s="86" t="str">
        <f t="shared" si="28"/>
        <v>30.1-6.24184327039149E-13j</v>
      </c>
      <c r="AL66" s="86" t="str">
        <f t="shared" si="43"/>
        <v>10000-32255785.1637514j</v>
      </c>
      <c r="AM66" s="86" t="str">
        <f t="shared" si="44"/>
        <v>963.139076066234-10010416.2912292j</v>
      </c>
      <c r="AN66" s="86" t="str">
        <f t="shared" si="45"/>
        <v>10963.1390760662-10010416.2912292j</v>
      </c>
      <c r="AO66" s="86" t="str">
        <f t="shared" si="46"/>
        <v>30.0999999006074-0.0000905066170321392j</v>
      </c>
      <c r="AP66" s="86" t="str">
        <f t="shared" si="47"/>
        <v>0.666666666666826+2.30411337967945E-07j</v>
      </c>
      <c r="AQ66" s="86" t="str">
        <f t="shared" si="29"/>
        <v>1+0.0384923198643849j</v>
      </c>
      <c r="AR66" s="86">
        <f t="shared" si="30"/>
        <v>9.9973481194721111E-8</v>
      </c>
      <c r="AS66" s="86" t="str">
        <f t="shared" si="31"/>
        <v>2.02952189475113E-07j</v>
      </c>
      <c r="AT66" s="86" t="str">
        <f t="shared" si="32"/>
        <v>9.99734811947211E-08+2.02952189475113E-07j</v>
      </c>
      <c r="AU66" s="86" t="str">
        <f t="shared" si="33"/>
        <v>210.583336556153-388.994328994725j</v>
      </c>
      <c r="AW66" s="86" t="str">
        <f t="shared" si="48"/>
        <v>140.264737237848-259.396689880297j</v>
      </c>
      <c r="AX66" s="86">
        <f t="shared" si="34"/>
        <v>49.393237223456488</v>
      </c>
      <c r="AY66" s="86">
        <f t="shared" si="35"/>
        <v>118.40161856646394</v>
      </c>
      <c r="AZ66" s="86" t="str">
        <f t="shared" si="36"/>
        <v>1337.40761678042-2496.42105504159j</v>
      </c>
      <c r="BA66" s="86">
        <f t="shared" si="37"/>
        <v>69.042164536840531</v>
      </c>
      <c r="BB66" s="86">
        <f t="shared" si="38"/>
        <v>118.1792890682828</v>
      </c>
      <c r="BD66" s="86" t="str">
        <f t="shared" si="39"/>
        <v>326.163475023248-636.033692298692j</v>
      </c>
      <c r="BE66" s="86">
        <f t="shared" si="40"/>
        <v>57.083541531893339</v>
      </c>
      <c r="BF66" s="86">
        <f t="shared" si="41"/>
        <v>117.14913611037119</v>
      </c>
      <c r="BH66" s="86">
        <f t="shared" si="49"/>
        <v>-56.083541531893339</v>
      </c>
      <c r="BI66" s="157">
        <f t="shared" si="50"/>
        <v>-117.14913611037119</v>
      </c>
      <c r="BJ66" s="88"/>
      <c r="BK66" s="88"/>
      <c r="BL66" s="88"/>
      <c r="BM66" s="88"/>
      <c r="BN66" s="42"/>
      <c r="BO66" s="42"/>
      <c r="BP66" s="42"/>
    </row>
    <row r="67" spans="1:68" s="86" customFormat="1">
      <c r="A67" s="86">
        <v>3</v>
      </c>
      <c r="B67" s="86">
        <f t="shared" si="42"/>
        <v>114.81536214968828</v>
      </c>
      <c r="C67" s="86" t="str">
        <f t="shared" si="0"/>
        <v>721.406196497425j</v>
      </c>
      <c r="D67" s="86">
        <f t="shared" si="1"/>
        <v>0.99999998681743263</v>
      </c>
      <c r="E67" s="86" t="str">
        <f t="shared" si="2"/>
        <v>-0.000180351549124356j</v>
      </c>
      <c r="F67" s="86" t="str">
        <f t="shared" si="3"/>
        <v>0.999999986817433-0.000180351549124356j</v>
      </c>
      <c r="G67" s="86">
        <f t="shared" si="4"/>
        <v>2.6759259762667802E-8</v>
      </c>
      <c r="H67" s="86">
        <f t="shared" si="5"/>
        <v>-1.0333382617655564E-2</v>
      </c>
      <c r="J67" s="86">
        <f t="shared" si="6"/>
        <v>4.8</v>
      </c>
      <c r="K67" s="86" t="str">
        <f t="shared" si="7"/>
        <v>1+0.0294946923437972j</v>
      </c>
      <c r="L67" s="86">
        <f t="shared" si="8"/>
        <v>0.99991488938471762</v>
      </c>
      <c r="M67" s="86" t="str">
        <f t="shared" si="9"/>
        <v>0.00412427922537578j</v>
      </c>
      <c r="N67" s="86" t="str">
        <f t="shared" si="10"/>
        <v>0.999914889384718+0.00412427922537578j</v>
      </c>
      <c r="O67" s="86" t="str">
        <f t="shared" si="11"/>
        <v>1.00018976711237+0.0253717898745092j</v>
      </c>
      <c r="P67" s="86" t="str">
        <f t="shared" si="12"/>
        <v>4.80091088213938+0.121784591397644j</v>
      </c>
      <c r="R67" s="86">
        <f t="shared" si="13"/>
        <v>11.52</v>
      </c>
      <c r="S67" s="86" t="str">
        <f t="shared" si="14"/>
        <v>1+0.0000613195267022811j</v>
      </c>
      <c r="T67" s="86" t="str">
        <f t="shared" si="15"/>
        <v>0.999914889384718+0.00412427922537578j</v>
      </c>
      <c r="U67" s="86" t="str">
        <f t="shared" si="16"/>
        <v>1.00006835706378-0.00406358747672196j</v>
      </c>
      <c r="V67" s="86" t="str">
        <f t="shared" si="17"/>
        <v>11.5207874733747-0.046812527731837j</v>
      </c>
      <c r="X67" s="86" t="str">
        <f t="shared" si="18"/>
        <v>2.96156240358384+0.0745914189540533j</v>
      </c>
      <c r="Y67" s="86">
        <f t="shared" si="19"/>
        <v>9.4331718814218206</v>
      </c>
      <c r="Z67" s="86">
        <f t="shared" si="20"/>
        <v>-178.55722434597681</v>
      </c>
      <c r="AB67" s="86" t="str">
        <f t="shared" si="21"/>
        <v>9.60385751365013-0.039023447592395j</v>
      </c>
      <c r="AC67" s="86">
        <f t="shared" si="22"/>
        <v>19.648985865150923</v>
      </c>
      <c r="AD67" s="86">
        <f t="shared" si="23"/>
        <v>179.76719078340244</v>
      </c>
      <c r="AF67" s="86" t="str">
        <f t="shared" si="24"/>
        <v>2.42321550126548-0.055476730611242j</v>
      </c>
      <c r="AG67" s="86">
        <f t="shared" si="25"/>
        <v>7.6901164342826327</v>
      </c>
      <c r="AH67" s="86">
        <f t="shared" si="26"/>
        <v>178.68850815384369</v>
      </c>
      <c r="AJ67" s="86" t="str">
        <f t="shared" si="27"/>
        <v>15.0499999999823-0.0000163400307021965j</v>
      </c>
      <c r="AK67" s="86" t="str">
        <f t="shared" si="28"/>
        <v>30.1-6.53601228088632E-13j</v>
      </c>
      <c r="AL67" s="86" t="str">
        <f t="shared" si="43"/>
        <v>10000-30804035.6876829j</v>
      </c>
      <c r="AM67" s="86" t="str">
        <f t="shared" si="44"/>
        <v>963.139071818403-9559873.36008538j</v>
      </c>
      <c r="AN67" s="86" t="str">
        <f t="shared" si="45"/>
        <v>10963.1390718184-9559873.36008538j</v>
      </c>
      <c r="AO67" s="86" t="str">
        <f t="shared" si="46"/>
        <v>30.0999998910182-0.0000947720512668303j</v>
      </c>
      <c r="AP67" s="86" t="str">
        <f t="shared" si="47"/>
        <v>0.666666666666841+2.41270289780827E-07j</v>
      </c>
      <c r="AQ67" s="86" t="str">
        <f t="shared" si="29"/>
        <v>1+0.0403064070107041j</v>
      </c>
      <c r="AR67" s="86">
        <f t="shared" si="30"/>
        <v>9.9970922708223925E-8</v>
      </c>
      <c r="AS67" s="86" t="str">
        <f t="shared" si="31"/>
        <v>2.12517031488826E-07j</v>
      </c>
      <c r="AT67" s="86" t="str">
        <f t="shared" si="32"/>
        <v>9.99709227082239E-08+2.12517031488826E-07j</v>
      </c>
      <c r="AU67" s="86" t="str">
        <f t="shared" si="33"/>
        <v>196.775376275185-377.984689061194j</v>
      </c>
      <c r="AW67" s="86" t="str">
        <f t="shared" si="48"/>
        <v>131.057258487867-252.05547937618j</v>
      </c>
      <c r="AX67" s="86">
        <f t="shared" si="34"/>
        <v>49.069164222030714</v>
      </c>
      <c r="AY67" s="86">
        <f t="shared" si="35"/>
        <v>117.47235763401447</v>
      </c>
      <c r="AZ67" s="86" t="str">
        <f t="shared" si="36"/>
        <v>1248.81916285728-2425.81921552182j</v>
      </c>
      <c r="BA67" s="86">
        <f t="shared" si="37"/>
        <v>68.718150087181655</v>
      </c>
      <c r="BB67" s="86">
        <f t="shared" si="38"/>
        <v>117.23954841741696</v>
      </c>
      <c r="BD67" s="86" t="str">
        <f t="shared" si="39"/>
        <v>303.596766392718-618.055373027042j</v>
      </c>
      <c r="BE67" s="86">
        <f t="shared" si="40"/>
        <v>56.759280656313379</v>
      </c>
      <c r="BF67" s="86">
        <f t="shared" si="41"/>
        <v>116.1608657878582</v>
      </c>
      <c r="BH67" s="86">
        <f t="shared" si="49"/>
        <v>-55.759280656313379</v>
      </c>
      <c r="BI67" s="157">
        <f t="shared" si="50"/>
        <v>-116.1608657878582</v>
      </c>
      <c r="BJ67" s="88"/>
      <c r="BK67" s="88"/>
      <c r="BL67" s="88"/>
      <c r="BM67" s="88"/>
      <c r="BN67" s="42"/>
      <c r="BO67" s="42"/>
      <c r="BP67" s="42"/>
    </row>
    <row r="68" spans="1:68" s="86" customFormat="1">
      <c r="A68" s="86">
        <v>4</v>
      </c>
      <c r="B68" s="86">
        <f t="shared" si="42"/>
        <v>120.2264434617413</v>
      </c>
      <c r="C68" s="86" t="str">
        <f t="shared" si="0"/>
        <v>755.40502309327j</v>
      </c>
      <c r="D68" s="86">
        <f t="shared" si="1"/>
        <v>0.99999998554560232</v>
      </c>
      <c r="E68" s="86" t="str">
        <f t="shared" si="2"/>
        <v>-0.000188851255773317j</v>
      </c>
      <c r="F68" s="86" t="str">
        <f t="shared" si="3"/>
        <v>0.999999985545602-0.000188851255773317j</v>
      </c>
      <c r="G68" s="86">
        <f t="shared" si="4"/>
        <v>2.9340937961237692E-8</v>
      </c>
      <c r="H68" s="86">
        <f t="shared" si="5"/>
        <v>-1.0820379939323214E-2</v>
      </c>
      <c r="J68" s="86">
        <f t="shared" si="6"/>
        <v>4.8</v>
      </c>
      <c r="K68" s="86" t="str">
        <f t="shared" si="7"/>
        <v>1+0.0308847343691683j</v>
      </c>
      <c r="L68" s="86">
        <f t="shared" si="8"/>
        <v>0.99990667806608247</v>
      </c>
      <c r="M68" s="86" t="str">
        <f t="shared" si="9"/>
        <v>0.00431865051702422j</v>
      </c>
      <c r="N68" s="86" t="str">
        <f t="shared" si="10"/>
        <v>0.999906678066082+0.00431865051702422j</v>
      </c>
      <c r="O68" s="86" t="str">
        <f t="shared" si="11"/>
        <v>1.00020807781053+0.0265676645826386j</v>
      </c>
      <c r="P68" s="86" t="str">
        <f t="shared" si="12"/>
        <v>4.80099877349054+0.127524789996665j</v>
      </c>
      <c r="R68" s="86">
        <f t="shared" si="13"/>
        <v>11.52</v>
      </c>
      <c r="S68" s="86" t="str">
        <f t="shared" si="14"/>
        <v>1+0.000064209426962928j</v>
      </c>
      <c r="T68" s="86" t="str">
        <f t="shared" si="15"/>
        <v>0.999906678066082+0.00431865051702422j</v>
      </c>
      <c r="U68" s="86" t="str">
        <f t="shared" si="16"/>
        <v>1.00007495237155-0.00425516188309551j</v>
      </c>
      <c r="V68" s="86" t="str">
        <f t="shared" si="17"/>
        <v>11.5208634513203-0.0490194648932603j</v>
      </c>
      <c r="X68" s="86" t="str">
        <f t="shared" si="18"/>
        <v>2.96161792481717+0.0781072057306294j</v>
      </c>
      <c r="Y68" s="86">
        <f t="shared" si="19"/>
        <v>9.4336002545238031</v>
      </c>
      <c r="Z68" s="86">
        <f t="shared" si="20"/>
        <v>-178.48927977336419</v>
      </c>
      <c r="AB68" s="86" t="str">
        <f t="shared" si="21"/>
        <v>9.60392084971682-0.0408631751360956j</v>
      </c>
      <c r="AC68" s="86">
        <f t="shared" si="22"/>
        <v>19.649050066234128</v>
      </c>
      <c r="AD68" s="86">
        <f t="shared" si="23"/>
        <v>179.75621692630065</v>
      </c>
      <c r="AF68" s="86" t="str">
        <f t="shared" si="24"/>
        <v>2.42309680045748-0.0580885132796542j</v>
      </c>
      <c r="AG68" s="86">
        <f t="shared" si="25"/>
        <v>7.6899104436875385</v>
      </c>
      <c r="AH68" s="86">
        <f t="shared" si="26"/>
        <v>178.62672044542691</v>
      </c>
      <c r="AJ68" s="86" t="str">
        <f t="shared" si="27"/>
        <v>15.0499999999805-0.0000171101126242962j</v>
      </c>
      <c r="AK68" s="86" t="str">
        <f t="shared" si="28"/>
        <v>30.1-6.84404504972733E-13j</v>
      </c>
      <c r="AL68" s="86" t="str">
        <f t="shared" si="43"/>
        <v>10000-29417625.7012769j</v>
      </c>
      <c r="AM68" s="86" t="str">
        <f t="shared" si="44"/>
        <v>963.13906716075-9129608.20205286j</v>
      </c>
      <c r="AN68" s="86" t="str">
        <f t="shared" si="45"/>
        <v>10963.1390671607-9129608.20205286j</v>
      </c>
      <c r="AO68" s="86" t="str">
        <f t="shared" si="46"/>
        <v>30.0999998805039-0.0000992385075621282j</v>
      </c>
      <c r="AP68" s="86" t="str">
        <f t="shared" si="47"/>
        <v>0.666666666666859+2.52641008226006E-07j</v>
      </c>
      <c r="AQ68" s="86" t="str">
        <f t="shared" si="29"/>
        <v>1+0.0422059894502672j</v>
      </c>
      <c r="AR68" s="86">
        <f t="shared" si="30"/>
        <v>9.9968117383564642E-8</v>
      </c>
      <c r="AS68" s="86" t="str">
        <f t="shared" si="31"/>
        <v>2.22532650618982E-07j</v>
      </c>
      <c r="AT68" s="86" t="str">
        <f t="shared" si="32"/>
        <v>9.99681173835646E-08+2.22532650618982E-07j</v>
      </c>
      <c r="AU68" s="86" t="str">
        <f t="shared" si="33"/>
        <v>183.754383383729-366.824463758883j</v>
      </c>
      <c r="AW68" s="86" t="str">
        <f t="shared" si="48"/>
        <v>122.374548396438-244.613868183205j</v>
      </c>
      <c r="AX68" s="86">
        <f t="shared" si="34"/>
        <v>48.739682151702993</v>
      </c>
      <c r="AY68" s="86">
        <f t="shared" si="35"/>
        <v>116.57771958704038</v>
      </c>
      <c r="AZ68" s="86" t="str">
        <f t="shared" si="36"/>
        <v>1165.27977748294-2354.25284137789j</v>
      </c>
      <c r="BA68" s="86">
        <f t="shared" si="37"/>
        <v>68.388732217937118</v>
      </c>
      <c r="BB68" s="86">
        <f t="shared" si="38"/>
        <v>116.33393651334097</v>
      </c>
      <c r="BD68" s="86" t="str">
        <f t="shared" si="39"/>
        <v>282.31612074649-599.831636921871j</v>
      </c>
      <c r="BE68" s="86">
        <f t="shared" si="40"/>
        <v>56.429592595390545</v>
      </c>
      <c r="BF68" s="86">
        <f t="shared" si="41"/>
        <v>115.20444003246723</v>
      </c>
      <c r="BH68" s="86">
        <f t="shared" si="49"/>
        <v>-55.429592595390545</v>
      </c>
      <c r="BI68" s="157">
        <f t="shared" si="50"/>
        <v>-115.20444003246723</v>
      </c>
      <c r="BJ68" s="88"/>
      <c r="BK68" s="88"/>
      <c r="BL68" s="88"/>
      <c r="BM68" s="88"/>
      <c r="BN68" s="42"/>
      <c r="BO68" s="42"/>
      <c r="BP68" s="42"/>
    </row>
    <row r="69" spans="1:68" s="86" customFormat="1">
      <c r="A69" s="86">
        <v>5</v>
      </c>
      <c r="B69" s="86">
        <f t="shared" si="42"/>
        <v>125.89254117941672</v>
      </c>
      <c r="C69" s="86" t="str">
        <f t="shared" si="0"/>
        <v>791.006165022012j</v>
      </c>
      <c r="D69" s="86">
        <f t="shared" si="1"/>
        <v>0.99999998415106806</v>
      </c>
      <c r="E69" s="86" t="str">
        <f t="shared" si="2"/>
        <v>-0.000197751541255503j</v>
      </c>
      <c r="F69" s="86" t="str">
        <f t="shared" si="3"/>
        <v>0.999999984151068-0.000197751541255503j</v>
      </c>
      <c r="G69" s="86">
        <f t="shared" si="4"/>
        <v>3.2171703871386865E-8</v>
      </c>
      <c r="H69" s="86">
        <f t="shared" si="5"/>
        <v>-1.1330328738027737E-2</v>
      </c>
      <c r="J69" s="86">
        <f t="shared" si="6"/>
        <v>4.8</v>
      </c>
      <c r="K69" s="86" t="str">
        <f t="shared" si="7"/>
        <v>1+0.032340287056925j</v>
      </c>
      <c r="L69" s="86">
        <f t="shared" si="8"/>
        <v>0.99989767453423761</v>
      </c>
      <c r="M69" s="86" t="str">
        <f t="shared" si="9"/>
        <v>0.00452218224543084j</v>
      </c>
      <c r="N69" s="86" t="str">
        <f t="shared" si="10"/>
        <v>0.999897674534238+0.00452218224543084j</v>
      </c>
      <c r="O69" s="86" t="str">
        <f t="shared" si="11"/>
        <v>1.00022815555899+0.0278199197367206j</v>
      </c>
      <c r="P69" s="86" t="str">
        <f t="shared" si="12"/>
        <v>4.80109514668315+0.133535614736259j</v>
      </c>
      <c r="R69" s="86">
        <f t="shared" si="13"/>
        <v>11.52</v>
      </c>
      <c r="S69" s="86" t="str">
        <f t="shared" si="14"/>
        <v>1+0.000067235524026871j</v>
      </c>
      <c r="T69" s="86" t="str">
        <f t="shared" si="15"/>
        <v>0.999897674534238+0.00452218224543084j</v>
      </c>
      <c r="U69" s="86" t="str">
        <f t="shared" si="16"/>
        <v>1.0000821840518-0.00445577431184567j</v>
      </c>
      <c r="V69" s="86" t="str">
        <f t="shared" si="17"/>
        <v>11.5209467602767-0.0513305200724621j</v>
      </c>
      <c r="X69" s="86" t="str">
        <f t="shared" si="18"/>
        <v>2.96167880403782+0.081788745919156j</v>
      </c>
      <c r="Y69" s="86">
        <f t="shared" si="19"/>
        <v>9.434069921612295</v>
      </c>
      <c r="Z69" s="86">
        <f t="shared" si="20"/>
        <v>-178.41814067329898</v>
      </c>
      <c r="AB69" s="86" t="str">
        <f t="shared" si="21"/>
        <v>9.60399029699625-0.0427896966259271j</v>
      </c>
      <c r="AC69" s="86">
        <f t="shared" si="22"/>
        <v>19.649120461739425</v>
      </c>
      <c r="AD69" s="86">
        <f t="shared" si="23"/>
        <v>179.74472560620418</v>
      </c>
      <c r="AF69" s="86" t="str">
        <f t="shared" si="24"/>
        <v>2.42296666053567-0.0608229776097631j</v>
      </c>
      <c r="AG69" s="86">
        <f t="shared" si="25"/>
        <v>7.6896845906933393</v>
      </c>
      <c r="AH69" s="86">
        <f t="shared" si="26"/>
        <v>178.56202388152909</v>
      </c>
      <c r="AJ69" s="86" t="str">
        <f t="shared" si="27"/>
        <v>15.0499999999787-0.0000179164873892645j</v>
      </c>
      <c r="AK69" s="86" t="str">
        <f t="shared" si="28"/>
        <v>30.1-7.16659495571594E-13j</v>
      </c>
      <c r="AL69" s="86" t="str">
        <f t="shared" si="43"/>
        <v>10000-28093614.4430731j</v>
      </c>
      <c r="AM69" s="86" t="str">
        <f t="shared" si="44"/>
        <v>963.13906205374-8718708.16704475j</v>
      </c>
      <c r="AN69" s="86" t="str">
        <f t="shared" si="45"/>
        <v>10963.1390620537-8718708.16704475j</v>
      </c>
      <c r="AO69" s="86" t="str">
        <f t="shared" si="46"/>
        <v>30.0999998689751-0.000103915459550014j</v>
      </c>
      <c r="AP69" s="86" t="str">
        <f t="shared" si="47"/>
        <v>0.666666666666876+2.64547612121799E-07j</v>
      </c>
      <c r="AQ69" s="86" t="str">
        <f t="shared" si="29"/>
        <v>1+0.0441950964521099j</v>
      </c>
      <c r="AR69" s="86">
        <f t="shared" si="30"/>
        <v>9.9965041406242638E-8</v>
      </c>
      <c r="AS69" s="86" t="str">
        <f t="shared" si="31"/>
        <v>2.33020291336572E-07j</v>
      </c>
      <c r="AT69" s="86" t="str">
        <f t="shared" si="32"/>
        <v>9.99650414062426E-08+2.33020291336572E-07j</v>
      </c>
      <c r="AU69" s="86" t="str">
        <f t="shared" si="33"/>
        <v>171.50549376106-355.571807671899j</v>
      </c>
      <c r="AW69" s="86" t="str">
        <f t="shared" si="48"/>
        <v>114.206695208917-237.110635793931j</v>
      </c>
      <c r="AX69" s="86">
        <f t="shared" si="34"/>
        <v>48.405114737231649</v>
      </c>
      <c r="AY69" s="86">
        <f t="shared" si="35"/>
        <v>115.71825395027879</v>
      </c>
      <c r="AZ69" s="86" t="str">
        <f t="shared" si="36"/>
        <v>1086.69410046604-2282.09511532016j</v>
      </c>
      <c r="BA69" s="86">
        <f t="shared" si="37"/>
        <v>68.054235198971057</v>
      </c>
      <c r="BB69" s="86">
        <f t="shared" si="38"/>
        <v>115.46297955648295</v>
      </c>
      <c r="BD69" s="86" t="str">
        <f t="shared" si="39"/>
        <v>262.297240009233-581.457556652687j</v>
      </c>
      <c r="BE69" s="86">
        <f t="shared" si="40"/>
        <v>56.094799327924974</v>
      </c>
      <c r="BF69" s="86">
        <f t="shared" si="41"/>
        <v>114.28027783180782</v>
      </c>
      <c r="BH69" s="86">
        <f t="shared" si="49"/>
        <v>-55.094799327924974</v>
      </c>
      <c r="BI69" s="157">
        <f t="shared" si="50"/>
        <v>-114.28027783180782</v>
      </c>
      <c r="BJ69" s="88"/>
      <c r="BK69" s="88"/>
      <c r="BL69" s="88"/>
      <c r="BM69" s="88"/>
      <c r="BN69" s="42"/>
      <c r="BO69" s="42"/>
      <c r="BP69" s="42"/>
    </row>
    <row r="70" spans="1:68" s="86" customFormat="1">
      <c r="A70" s="86">
        <v>6</v>
      </c>
      <c r="B70" s="86">
        <f t="shared" si="42"/>
        <v>131.82567385564073</v>
      </c>
      <c r="C70" s="86" t="str">
        <f t="shared" si="0"/>
        <v>828.28513707881j</v>
      </c>
      <c r="D70" s="86">
        <f t="shared" si="1"/>
        <v>0.99999998262199175</v>
      </c>
      <c r="E70" s="86" t="str">
        <f t="shared" si="2"/>
        <v>-0.000207071284269703j</v>
      </c>
      <c r="F70" s="86" t="str">
        <f t="shared" si="3"/>
        <v>0.999999982621992-0.000207071284269703j</v>
      </c>
      <c r="G70" s="86">
        <f t="shared" si="4"/>
        <v>3.5275573104001316E-8</v>
      </c>
      <c r="H70" s="86">
        <f t="shared" si="5"/>
        <v>-1.1864310683611098E-2</v>
      </c>
      <c r="J70" s="86">
        <f t="shared" si="6"/>
        <v>4.8</v>
      </c>
      <c r="K70" s="86" t="str">
        <f t="shared" si="7"/>
        <v>1+0.0338644378294671j</v>
      </c>
      <c r="L70" s="86">
        <f t="shared" si="8"/>
        <v>0.99988780235788133</v>
      </c>
      <c r="M70" s="86" t="str">
        <f t="shared" si="9"/>
        <v>0.00473530612867956j</v>
      </c>
      <c r="N70" s="86" t="str">
        <f t="shared" si="10"/>
        <v>0.999887802357881+0.00473530612867956j</v>
      </c>
      <c r="O70" s="86" t="str">
        <f t="shared" si="11"/>
        <v>1.00025017093409+0.0291312155185234j</v>
      </c>
      <c r="P70" s="86" t="str">
        <f t="shared" si="12"/>
        <v>4.80120082048363+0.139829834488912j</v>
      </c>
      <c r="R70" s="86">
        <f t="shared" si="13"/>
        <v>11.52</v>
      </c>
      <c r="S70" s="86" t="str">
        <f t="shared" si="14"/>
        <v>1+0.0000704042366516988j</v>
      </c>
      <c r="T70" s="86" t="str">
        <f t="shared" si="15"/>
        <v>0.999887802357881+0.00473530612867956j</v>
      </c>
      <c r="U70" s="86" t="str">
        <f t="shared" si="16"/>
        <v>1.00009011351458-0.00466585210471033j</v>
      </c>
      <c r="V70" s="86" t="str">
        <f t="shared" si="17"/>
        <v>11.521038107688-0.053750616246263j</v>
      </c>
      <c r="X70" s="86" t="str">
        <f t="shared" si="18"/>
        <v>2.96174555845772+0.085643860050742j</v>
      </c>
      <c r="Y70" s="86">
        <f t="shared" si="19"/>
        <v>9.4345848596503092</v>
      </c>
      <c r="Z70" s="86">
        <f t="shared" si="20"/>
        <v>-178.34365761700488</v>
      </c>
      <c r="AB70" s="86" t="str">
        <f t="shared" si="21"/>
        <v>9.60406644522174-0.0448071159105227j</v>
      </c>
      <c r="AC70" s="86">
        <f t="shared" si="22"/>
        <v>19.649197649378262</v>
      </c>
      <c r="AD70" s="86">
        <f t="shared" si="23"/>
        <v>179.73269239418752</v>
      </c>
      <c r="AF70" s="86" t="str">
        <f t="shared" si="24"/>
        <v>2.42282398048714-0.0636858450650138j</v>
      </c>
      <c r="AG70" s="86">
        <f t="shared" si="25"/>
        <v>7.6894369612763427</v>
      </c>
      <c r="AH70" s="86">
        <f t="shared" si="26"/>
        <v>178.4942818323274</v>
      </c>
      <c r="AJ70" s="86" t="str">
        <f t="shared" si="27"/>
        <v>15.0499999999766-0.0000187608654260902j</v>
      </c>
      <c r="AK70" s="86" t="str">
        <f t="shared" si="28"/>
        <v>30.1-7.50434617044773E-13j</v>
      </c>
      <c r="AL70" s="86" t="str">
        <f t="shared" si="43"/>
        <v>10000-26829193.5076795j</v>
      </c>
      <c r="AM70" s="86" t="str">
        <f t="shared" si="44"/>
        <v>963.139056454012-8326301.68099654j</v>
      </c>
      <c r="AN70" s="86" t="str">
        <f t="shared" si="45"/>
        <v>10963.139056454-8326301.68099654j</v>
      </c>
      <c r="AO70" s="86" t="str">
        <f t="shared" si="46"/>
        <v>30.0999998563341-0.000108812827304j</v>
      </c>
      <c r="AP70" s="86" t="str">
        <f t="shared" si="47"/>
        <v>0.666666666666897+2.77015356971415E-07j</v>
      </c>
      <c r="AQ70" s="86" t="str">
        <f t="shared" si="29"/>
        <v>1+0.0462779471788673j</v>
      </c>
      <c r="AR70" s="86">
        <f t="shared" si="30"/>
        <v>9.9961668664177227E-8</v>
      </c>
      <c r="AS70" s="86" t="str">
        <f t="shared" si="31"/>
        <v>2.44002199333663E-07j</v>
      </c>
      <c r="AT70" s="86" t="str">
        <f t="shared" si="32"/>
        <v>9.99616686641772E-08+2.44002199333663E-07j</v>
      </c>
      <c r="AU70" s="86" t="str">
        <f t="shared" si="33"/>
        <v>160.009400318145-344.280476043457j</v>
      </c>
      <c r="AW70" s="86" t="str">
        <f t="shared" si="48"/>
        <v>106.540824492744-229.581628144518j</v>
      </c>
      <c r="AX70" s="86">
        <f t="shared" si="34"/>
        <v>48.065779260819724</v>
      </c>
      <c r="AY70" s="86">
        <f t="shared" si="35"/>
        <v>114.89436989428886</v>
      </c>
      <c r="AZ70" s="86" t="str">
        <f t="shared" si="36"/>
        <v>1012.93826693382-2209.69099837439j</v>
      </c>
      <c r="BA70" s="86">
        <f t="shared" si="37"/>
        <v>67.71497691019799</v>
      </c>
      <c r="BB70" s="86">
        <f t="shared" si="38"/>
        <v>114.6270622884763</v>
      </c>
      <c r="BD70" s="86" t="str">
        <f t="shared" si="39"/>
        <v>243.508564482106-563.021016589563j</v>
      </c>
      <c r="BE70" s="86">
        <f t="shared" si="40"/>
        <v>55.755216222096067</v>
      </c>
      <c r="BF70" s="86">
        <f t="shared" si="41"/>
        <v>113.38865172661622</v>
      </c>
      <c r="BH70" s="86">
        <f t="shared" si="49"/>
        <v>-54.755216222096067</v>
      </c>
      <c r="BI70" s="157">
        <f t="shared" si="50"/>
        <v>-113.38865172661622</v>
      </c>
      <c r="BJ70" s="88"/>
      <c r="BK70" s="88"/>
      <c r="BL70" s="88"/>
      <c r="BM70" s="88"/>
      <c r="BN70" s="42"/>
      <c r="BO70" s="42"/>
      <c r="BP70" s="42"/>
    </row>
    <row r="71" spans="1:68" s="86" customFormat="1">
      <c r="A71" s="86">
        <v>7</v>
      </c>
      <c r="B71" s="86">
        <f t="shared" si="42"/>
        <v>138.03842646028849</v>
      </c>
      <c r="C71" s="86" t="str">
        <f t="shared" si="0"/>
        <v>867.321012961474j</v>
      </c>
      <c r="D71" s="86">
        <f t="shared" si="1"/>
        <v>0.99999998094539277</v>
      </c>
      <c r="E71" s="86" t="str">
        <f t="shared" si="2"/>
        <v>-0.000216830253240369j</v>
      </c>
      <c r="F71" s="86" t="str">
        <f t="shared" si="3"/>
        <v>0.999999980945393-0.000216830253240369j</v>
      </c>
      <c r="G71" s="86">
        <f t="shared" si="4"/>
        <v>3.8678896871022011E-8</v>
      </c>
      <c r="H71" s="86">
        <f t="shared" si="5"/>
        <v>-1.2423458423452318E-2</v>
      </c>
      <c r="J71" s="86">
        <f t="shared" si="6"/>
        <v>4.8</v>
      </c>
      <c r="K71" s="86" t="str">
        <f t="shared" si="7"/>
        <v>1+0.0354604196149299j</v>
      </c>
      <c r="L71" s="86">
        <f t="shared" si="8"/>
        <v>0.99987697773175821</v>
      </c>
      <c r="M71" s="86" t="str">
        <f t="shared" si="9"/>
        <v>0.00495847423110075j</v>
      </c>
      <c r="N71" s="86" t="str">
        <f t="shared" si="10"/>
        <v>0.999876977731758+0.00495847423110075j</v>
      </c>
      <c r="O71" s="86" t="str">
        <f t="shared" si="11"/>
        <v>1.00027431098818+0.0305043379327067j</v>
      </c>
      <c r="P71" s="86" t="str">
        <f t="shared" si="12"/>
        <v>4.80131669274326+0.146420822076992j</v>
      </c>
      <c r="R71" s="86">
        <f t="shared" si="13"/>
        <v>11.52</v>
      </c>
      <c r="S71" s="86" t="str">
        <f t="shared" si="14"/>
        <v>1+0.0000737222861017253j</v>
      </c>
      <c r="T71" s="86" t="str">
        <f t="shared" si="15"/>
        <v>0.999876977731758+0.00495847423110075j</v>
      </c>
      <c r="U71" s="86" t="str">
        <f t="shared" si="16"/>
        <v>1.00009880809747-0.00488584294988614j</v>
      </c>
      <c r="V71" s="86" t="str">
        <f t="shared" si="17"/>
        <v>11.5211382692829-0.0562849107826883j</v>
      </c>
      <c r="X71" s="86" t="str">
        <f t="shared" si="18"/>
        <v>2.96181875524574+0.0896807385326303j</v>
      </c>
      <c r="Y71" s="86">
        <f t="shared" si="19"/>
        <v>9.4351494278764712</v>
      </c>
      <c r="Z71" s="86">
        <f t="shared" si="20"/>
        <v>-178.26567429956893</v>
      </c>
      <c r="AB71" s="86" t="str">
        <f t="shared" si="21"/>
        <v>9.60414994104943-0.0469197322296501j</v>
      </c>
      <c r="AC71" s="86">
        <f t="shared" si="22"/>
        <v>19.649282284544618</v>
      </c>
      <c r="AD71" s="86">
        <f t="shared" si="23"/>
        <v>179.72009170385311</v>
      </c>
      <c r="AF71" s="86" t="str">
        <f t="shared" si="24"/>
        <v>2.42266755360259-0.0666830978337838j</v>
      </c>
      <c r="AG71" s="86">
        <f t="shared" si="25"/>
        <v>7.6891654572081158</v>
      </c>
      <c r="AH71" s="86">
        <f t="shared" si="26"/>
        <v>178.42335129693464</v>
      </c>
      <c r="AJ71" s="86" t="str">
        <f t="shared" si="27"/>
        <v>15.0499999999744-0.0000196450377737972j</v>
      </c>
      <c r="AK71" s="86" t="str">
        <f t="shared" si="28"/>
        <v>30.1-7.85801510953226E-13j</v>
      </c>
      <c r="AL71" s="86" t="str">
        <f t="shared" si="43"/>
        <v>10000-25621680.8887684j</v>
      </c>
      <c r="AM71" s="86" t="str">
        <f t="shared" si="44"/>
        <v>963.139050314031-7951556.39714043j</v>
      </c>
      <c r="AN71" s="86" t="str">
        <f t="shared" si="45"/>
        <v>10963.139050314-7951556.39714043j</v>
      </c>
      <c r="AO71" s="86" t="str">
        <f t="shared" si="46"/>
        <v>30.0999998424735-0.000113940998374624j</v>
      </c>
      <c r="AP71" s="86" t="str">
        <f t="shared" si="47"/>
        <v>0.666666666666919+2.90070688533259E-07j</v>
      </c>
      <c r="AQ71" s="86" t="str">
        <f t="shared" si="29"/>
        <v>1+0.0484589596361835j</v>
      </c>
      <c r="AR71" s="86">
        <f t="shared" si="30"/>
        <v>9.9957970526041286E-8</v>
      </c>
      <c r="AS71" s="86" t="str">
        <f t="shared" si="31"/>
        <v>2.55501668709484E-07j</v>
      </c>
      <c r="AT71" s="86" t="str">
        <f t="shared" si="32"/>
        <v>9.99579705260413E-08+2.55501668709484E-07j</v>
      </c>
      <c r="AU71" s="86" t="str">
        <f t="shared" si="33"/>
        <v>149.243108974141-332.999632220366j</v>
      </c>
      <c r="AW71" s="86" t="str">
        <f t="shared" si="48"/>
        <v>99.3616032406367-222.059629215486j</v>
      </c>
      <c r="AX71" s="86">
        <f t="shared" si="34"/>
        <v>47.721984957912944</v>
      </c>
      <c r="AY71" s="86">
        <f t="shared" si="35"/>
        <v>114.10634878062775</v>
      </c>
      <c r="AZ71" s="86" t="str">
        <f t="shared" si="36"/>
        <v>943.864757564332-2137.35599465733j</v>
      </c>
      <c r="BA71" s="86">
        <f t="shared" si="37"/>
        <v>67.371267242457563</v>
      </c>
      <c r="BB71" s="86">
        <f t="shared" si="38"/>
        <v>113.82644048448087</v>
      </c>
      <c r="BD71" s="86" t="str">
        <f t="shared" si="39"/>
        <v>225.912508265114-544.602398175197j</v>
      </c>
      <c r="BE71" s="86">
        <f t="shared" si="40"/>
        <v>55.411150415121064</v>
      </c>
      <c r="BF71" s="86">
        <f t="shared" si="41"/>
        <v>112.52970007756235</v>
      </c>
      <c r="BH71" s="86">
        <f t="shared" si="49"/>
        <v>-54.411150415121064</v>
      </c>
      <c r="BI71" s="157">
        <f t="shared" si="50"/>
        <v>-112.52970007756235</v>
      </c>
      <c r="BJ71" s="88"/>
      <c r="BK71" s="88"/>
      <c r="BL71" s="88"/>
      <c r="BM71" s="88"/>
      <c r="BN71" s="42"/>
      <c r="BO71" s="42"/>
      <c r="BP71" s="42"/>
    </row>
    <row r="72" spans="1:68" s="86" customFormat="1">
      <c r="A72" s="86">
        <v>8</v>
      </c>
      <c r="B72" s="86">
        <f t="shared" si="42"/>
        <v>144.54397707459273</v>
      </c>
      <c r="C72" s="86" t="str">
        <f t="shared" si="0"/>
        <v>908.196592996384j</v>
      </c>
      <c r="D72" s="86">
        <f t="shared" si="1"/>
        <v>0.99999997910703864</v>
      </c>
      <c r="E72" s="86" t="str">
        <f t="shared" si="2"/>
        <v>-0.000227049148249096j</v>
      </c>
      <c r="F72" s="86" t="str">
        <f t="shared" si="3"/>
        <v>0.999999979107039-0.000227049148249096j</v>
      </c>
      <c r="G72" s="86">
        <f t="shared" si="4"/>
        <v>4.2410568351508776E-8</v>
      </c>
      <c r="H72" s="86">
        <f t="shared" si="5"/>
        <v>-1.300895798496603E-2</v>
      </c>
      <c r="J72" s="86">
        <f t="shared" si="6"/>
        <v>4.8</v>
      </c>
      <c r="K72" s="86" t="str">
        <f t="shared" si="7"/>
        <v>1+0.0371316177046572j</v>
      </c>
      <c r="L72" s="86">
        <f t="shared" si="8"/>
        <v>0.99986510876523271</v>
      </c>
      <c r="M72" s="86" t="str">
        <f t="shared" si="9"/>
        <v>0.00519215992216033j</v>
      </c>
      <c r="N72" s="86" t="str">
        <f t="shared" si="10"/>
        <v>0.999865108765233+0.00519215992216033j</v>
      </c>
      <c r="O72" s="86" t="str">
        <f t="shared" si="11"/>
        <v>1.00030078084307+0.0319422048037053j</v>
      </c>
      <c r="P72" s="86" t="str">
        <f t="shared" si="12"/>
        <v>4.80144374804674+0.153322583057785j</v>
      </c>
      <c r="R72" s="86">
        <f t="shared" si="13"/>
        <v>11.52</v>
      </c>
      <c r="S72" s="86" t="str">
        <f t="shared" si="14"/>
        <v>1+0.0000771967104046926j</v>
      </c>
      <c r="T72" s="86" t="str">
        <f t="shared" si="15"/>
        <v>0.999865108765233+0.00519215992216033j</v>
      </c>
      <c r="U72" s="86" t="str">
        <f t="shared" si="16"/>
        <v>1.0001083416381-0.00511621587154314j</v>
      </c>
      <c r="V72" s="86" t="str">
        <f t="shared" si="17"/>
        <v>11.5212480956709-0.058938806840177j</v>
      </c>
      <c r="X72" s="86" t="str">
        <f t="shared" si="18"/>
        <v>2.96189901635901+0.0939079592734129j</v>
      </c>
      <c r="Y72" s="86">
        <f t="shared" si="19"/>
        <v>9.4357684044008678</v>
      </c>
      <c r="Z72" s="86">
        <f t="shared" si="20"/>
        <v>-178.18402724040328</v>
      </c>
      <c r="AB72" s="86" t="str">
        <f t="shared" si="21"/>
        <v>9.60424149355694-0.0491320497167197j</v>
      </c>
      <c r="AC72" s="86">
        <f t="shared" si="22"/>
        <v>19.649375085884831</v>
      </c>
      <c r="AD72" s="86">
        <f t="shared" si="23"/>
        <v>179.70689673586654</v>
      </c>
      <c r="AF72" s="86" t="str">
        <f t="shared" si="24"/>
        <v>2.42249605738577-0.0698209898009778j</v>
      </c>
      <c r="AG72" s="86">
        <f t="shared" si="25"/>
        <v>7.6888677783775217</v>
      </c>
      <c r="AH72" s="86">
        <f t="shared" si="26"/>
        <v>178.34908261320476</v>
      </c>
      <c r="AJ72" s="86" t="str">
        <f t="shared" si="27"/>
        <v>15.0499999999719-0.0000205708798804779j</v>
      </c>
      <c r="AK72" s="86" t="str">
        <f t="shared" si="28"/>
        <v>30.1-8.22835195220655E-13j</v>
      </c>
      <c r="AL72" s="86" t="str">
        <f t="shared" si="43"/>
        <v>10000-24468515.2901809j</v>
      </c>
      <c r="AM72" s="86" t="str">
        <f t="shared" si="44"/>
        <v>963.139043581681-7593677.43048637j</v>
      </c>
      <c r="AN72" s="86" t="str">
        <f t="shared" si="45"/>
        <v>10963.1390435817-7593677.43048637j</v>
      </c>
      <c r="AO72" s="86" t="str">
        <f t="shared" si="46"/>
        <v>30.0999998272757-0.00011931084981456j</v>
      </c>
      <c r="AP72" s="86" t="str">
        <f t="shared" si="47"/>
        <v>0.666666666666943+3.03741298915934E-07j</v>
      </c>
      <c r="AQ72" s="86" t="str">
        <f t="shared" si="29"/>
        <v>1+0.050742760043894j</v>
      </c>
      <c r="AR72" s="86">
        <f t="shared" si="30"/>
        <v>9.9953915598208898E-8</v>
      </c>
      <c r="AS72" s="86" t="str">
        <f t="shared" si="31"/>
        <v>2.67543091380344E-07j</v>
      </c>
      <c r="AT72" s="86" t="str">
        <f t="shared" si="32"/>
        <v>9.99539155982089E-08+2.67543091380344E-07j</v>
      </c>
      <c r="AU72" s="86" t="str">
        <f t="shared" si="33"/>
        <v>139.180659368347-321.773766148977j</v>
      </c>
      <c r="AW72" s="86" t="str">
        <f t="shared" si="48"/>
        <v>92.651720458538-214.574306684315j</v>
      </c>
      <c r="AX72" s="86">
        <f t="shared" si="34"/>
        <v>47.374031719390217</v>
      </c>
      <c r="AY72" s="86">
        <f t="shared" si="35"/>
        <v>113.35435708472251</v>
      </c>
      <c r="AZ72" s="86" t="str">
        <f t="shared" si="36"/>
        <v>879.307022573384-2065.37562864462j</v>
      </c>
      <c r="BA72" s="86">
        <f t="shared" si="37"/>
        <v>67.023406805275044</v>
      </c>
      <c r="BB72" s="86">
        <f t="shared" si="38"/>
        <v>113.06125382058902</v>
      </c>
      <c r="BD72" s="86" t="str">
        <f t="shared" si="39"/>
        <v>209.46663704226-526.274446788218j</v>
      </c>
      <c r="BE72" s="86">
        <f t="shared" si="40"/>
        <v>55.062899497767752</v>
      </c>
      <c r="BF72" s="86">
        <f t="shared" si="41"/>
        <v>111.70343969792727</v>
      </c>
      <c r="BH72" s="86">
        <f t="shared" si="49"/>
        <v>-54.062899497767752</v>
      </c>
      <c r="BI72" s="157">
        <f t="shared" si="50"/>
        <v>-111.70343969792727</v>
      </c>
      <c r="BJ72" s="88"/>
      <c r="BK72" s="88"/>
      <c r="BL72" s="88"/>
      <c r="BM72" s="88"/>
      <c r="BN72" s="42"/>
      <c r="BO72" s="42"/>
      <c r="BP72" s="42"/>
    </row>
    <row r="73" spans="1:68" s="86" customFormat="1">
      <c r="A73" s="86">
        <v>9</v>
      </c>
      <c r="B73" s="86">
        <f t="shared" si="42"/>
        <v>151.35612484362082</v>
      </c>
      <c r="C73" s="86" t="str">
        <f t="shared" si="0"/>
        <v>950.998579769077j</v>
      </c>
      <c r="D73" s="86">
        <f t="shared" si="1"/>
        <v>0.99999997709132349</v>
      </c>
      <c r="E73" s="86" t="str">
        <f t="shared" si="2"/>
        <v>-0.000237749644942269j</v>
      </c>
      <c r="F73" s="86" t="str">
        <f t="shared" si="3"/>
        <v>0.999999977091323-0.000237749644942269j</v>
      </c>
      <c r="G73" s="86">
        <f t="shared" si="4"/>
        <v>4.6502256058870561E-8</v>
      </c>
      <c r="H73" s="86">
        <f t="shared" si="5"/>
        <v>-1.3622051291327356E-2</v>
      </c>
      <c r="J73" s="86">
        <f t="shared" si="6"/>
        <v>4.8</v>
      </c>
      <c r="K73" s="86" t="str">
        <f t="shared" si="7"/>
        <v>1+0.0388815769338587j</v>
      </c>
      <c r="L73" s="86">
        <f t="shared" si="8"/>
        <v>0.99985209470222691</v>
      </c>
      <c r="M73" s="86" t="str">
        <f t="shared" si="9"/>
        <v>0.00543685888053981j</v>
      </c>
      <c r="N73" s="86" t="str">
        <f t="shared" si="10"/>
        <v>0.999852094702227+0.00543685888053981j</v>
      </c>
      <c r="O73" s="86" t="str">
        <f t="shared" si="11"/>
        <v>1.00032980543802+0.033447872065172j</v>
      </c>
      <c r="P73" s="86" t="str">
        <f t="shared" si="12"/>
        <v>4.8015830661025+0.160549785912826j</v>
      </c>
      <c r="R73" s="86">
        <f t="shared" si="13"/>
        <v>11.52</v>
      </c>
      <c r="S73" s="86" t="str">
        <f t="shared" si="14"/>
        <v>1+0.0000808348792803716j</v>
      </c>
      <c r="T73" s="86" t="str">
        <f t="shared" si="15"/>
        <v>0.999852094702227+0.00543685888053981j</v>
      </c>
      <c r="U73" s="86" t="str">
        <f t="shared" si="16"/>
        <v>1.00011879510188-0.00535746227051646j</v>
      </c>
      <c r="V73" s="86" t="str">
        <f t="shared" si="17"/>
        <v>11.5213685195737-0.0617179653563496j</v>
      </c>
      <c r="X73" s="86" t="str">
        <f t="shared" si="18"/>
        <v>2.96198702384278+0.0983345061675808j</v>
      </c>
      <c r="Y73" s="86">
        <f t="shared" si="19"/>
        <v>9.4364470262743545</v>
      </c>
      <c r="Z73" s="86">
        <f t="shared" si="20"/>
        <v>-178.09854547319642</v>
      </c>
      <c r="AB73" s="86" t="str">
        <f t="shared" si="21"/>
        <v>9.60434188027151-0.0514487873927556j</v>
      </c>
      <c r="AC73" s="86">
        <f t="shared" si="22"/>
        <v>19.649476841403491</v>
      </c>
      <c r="AD73" s="86">
        <f t="shared" si="23"/>
        <v>179.69307941974179</v>
      </c>
      <c r="AF73" s="86" t="str">
        <f t="shared" si="24"/>
        <v>2.42230804251026-0.0731060578431251j</v>
      </c>
      <c r="AG73" s="86">
        <f t="shared" si="25"/>
        <v>7.6885414034236979</v>
      </c>
      <c r="AH73" s="86">
        <f t="shared" si="26"/>
        <v>178.27131915534648</v>
      </c>
      <c r="AJ73" s="86" t="str">
        <f t="shared" si="27"/>
        <v>15.0499999999692-0.0000215403555813704j</v>
      </c>
      <c r="AK73" s="86" t="str">
        <f t="shared" si="28"/>
        <v>30.1-8.61614223256581E-13j</v>
      </c>
      <c r="AL73" s="86" t="str">
        <f t="shared" si="43"/>
        <v>10000-23367250.6930749j</v>
      </c>
      <c r="AM73" s="86" t="str">
        <f t="shared" si="44"/>
        <v>963.139036199803-7251905.67176445j</v>
      </c>
      <c r="AN73" s="86" t="str">
        <f t="shared" si="45"/>
        <v>10963.1390361998-7251905.67176445j</v>
      </c>
      <c r="AO73" s="86" t="str">
        <f t="shared" si="46"/>
        <v>30.0999998106116-0.000124933771240807j</v>
      </c>
      <c r="AP73" s="86" t="str">
        <f t="shared" si="47"/>
        <v>0.66666666666697+3.1805618531691E-07j</v>
      </c>
      <c r="AQ73" s="86" t="str">
        <f t="shared" si="29"/>
        <v>1+0.0531341926488579j</v>
      </c>
      <c r="AR73" s="86">
        <f t="shared" si="30"/>
        <v>9.9949469458253756E-8</v>
      </c>
      <c r="AS73" s="86" t="str">
        <f t="shared" si="31"/>
        <v>2.80152008818149E-07j</v>
      </c>
      <c r="AT73" s="86" t="str">
        <f t="shared" si="32"/>
        <v>9.99494694582538E-08+2.80152008818149E-07j</v>
      </c>
      <c r="AU73" s="86" t="str">
        <f t="shared" si="33"/>
        <v>129.793797706382-310.642708390379j</v>
      </c>
      <c r="AW73" s="86" t="str">
        <f t="shared" si="48"/>
        <v>86.3923358355159-207.152221272627j</v>
      </c>
      <c r="AX73" s="86">
        <f t="shared" si="34"/>
        <v>47.022209083499369</v>
      </c>
      <c r="AY73" s="86">
        <f t="shared" si="35"/>
        <v>112.63845941799181</v>
      </c>
      <c r="AZ73" s="86" t="str">
        <f t="shared" si="36"/>
        <v>819.083798609334-1994.00553527873j</v>
      </c>
      <c r="BA73" s="86">
        <f t="shared" si="37"/>
        <v>66.671685924902874</v>
      </c>
      <c r="BB73" s="86">
        <f t="shared" si="38"/>
        <v>112.33153883773358</v>
      </c>
      <c r="BD73" s="86" t="str">
        <f t="shared" si="39"/>
        <v>194.124767634929-508.102294713344j</v>
      </c>
      <c r="BE73" s="86">
        <f t="shared" si="40"/>
        <v>54.710750486923075</v>
      </c>
      <c r="BF73" s="86">
        <f t="shared" si="41"/>
        <v>110.90977857333824</v>
      </c>
      <c r="BH73" s="86">
        <f t="shared" si="49"/>
        <v>-53.710750486923075</v>
      </c>
      <c r="BI73" s="157">
        <f t="shared" si="50"/>
        <v>-110.90977857333824</v>
      </c>
      <c r="BJ73" s="88"/>
      <c r="BK73" s="88"/>
      <c r="BL73" s="88"/>
      <c r="BM73" s="88"/>
      <c r="BN73" s="42"/>
      <c r="BO73" s="42"/>
      <c r="BP73" s="42"/>
    </row>
    <row r="74" spans="1:68" s="86" customFormat="1">
      <c r="A74" s="86">
        <v>10</v>
      </c>
      <c r="B74" s="86">
        <f t="shared" si="42"/>
        <v>158.48931924611136</v>
      </c>
      <c r="C74" s="86" t="str">
        <f t="shared" si="0"/>
        <v>995.817762032062j</v>
      </c>
      <c r="D74" s="86">
        <f t="shared" si="1"/>
        <v>0.99999997488113568</v>
      </c>
      <c r="E74" s="86" t="str">
        <f t="shared" si="2"/>
        <v>-0.000248954440508015j</v>
      </c>
      <c r="F74" s="86" t="str">
        <f t="shared" si="3"/>
        <v>0.999999974881136-0.000248954440508015j</v>
      </c>
      <c r="G74" s="86">
        <f t="shared" si="4"/>
        <v>5.0988716282944113E-8</v>
      </c>
      <c r="H74" s="86">
        <f t="shared" si="5"/>
        <v>-1.4264038795759423E-2</v>
      </c>
      <c r="J74" s="86">
        <f t="shared" si="6"/>
        <v>4.8</v>
      </c>
      <c r="K74" s="86" t="str">
        <f t="shared" si="7"/>
        <v>1+0.0407140092006809j</v>
      </c>
      <c r="L74" s="86">
        <f t="shared" si="8"/>
        <v>0.99983782506589769</v>
      </c>
      <c r="M74" s="86" t="str">
        <f t="shared" si="9"/>
        <v>0.0056930901455373j</v>
      </c>
      <c r="N74" s="86" t="str">
        <f t="shared" si="10"/>
        <v>0.999837825065898+0.0056930901455373j</v>
      </c>
      <c r="O74" s="86" t="str">
        <f t="shared" si="11"/>
        <v>1.00036163144722+0.0350245403572395j</v>
      </c>
      <c r="P74" s="86" t="str">
        <f t="shared" si="12"/>
        <v>4.80173583094666+0.16811779371475j</v>
      </c>
      <c r="R74" s="86">
        <f t="shared" si="13"/>
        <v>11.52</v>
      </c>
      <c r="S74" s="86" t="str">
        <f t="shared" si="14"/>
        <v>1+0.0000846445097727253j</v>
      </c>
      <c r="T74" s="86" t="str">
        <f t="shared" si="15"/>
        <v>0.999837825065898+0.0056930901455373j</v>
      </c>
      <c r="U74" s="86" t="str">
        <f t="shared" si="16"/>
        <v>1.00013025727051-0.00561009701926211j</v>
      </c>
      <c r="V74" s="86" t="str">
        <f t="shared" si="17"/>
        <v>11.5215005637563-0.0646283176618995j</v>
      </c>
      <c r="X74" s="86" t="str">
        <f t="shared" si="18"/>
        <v>2.96208352564422+0.102969788484141j</v>
      </c>
      <c r="Y74" s="86">
        <f t="shared" si="19"/>
        <v>9.4371910333541145</v>
      </c>
      <c r="Z74" s="86">
        <f t="shared" si="20"/>
        <v>-178.00905022538686</v>
      </c>
      <c r="AB74" s="86" t="str">
        <f t="shared" si="21"/>
        <v>9.60445195378151-0.0538748896814767j</v>
      </c>
      <c r="AC74" s="86">
        <f t="shared" si="22"/>
        <v>19.64958841515973</v>
      </c>
      <c r="AD74" s="86">
        <f t="shared" si="23"/>
        <v>179.67861035272716</v>
      </c>
      <c r="AF74" s="86" t="str">
        <f t="shared" si="24"/>
        <v>2.42210192073676-0.0765451334339198j</v>
      </c>
      <c r="AG74" s="86">
        <f t="shared" si="25"/>
        <v>7.6881835685235611</v>
      </c>
      <c r="AH74" s="86">
        <f t="shared" si="26"/>
        <v>178.18989701898894</v>
      </c>
      <c r="AJ74" s="86" t="str">
        <f t="shared" si="27"/>
        <v>15.0499999999662-0.000022555521264416j</v>
      </c>
      <c r="AK74" s="86" t="str">
        <f t="shared" si="28"/>
        <v>30.1-9.0222085057867E-13j</v>
      </c>
      <c r="AL74" s="86" t="str">
        <f t="shared" si="43"/>
        <v>10000-22315551.1675908j</v>
      </c>
      <c r="AM74" s="86" t="str">
        <f t="shared" si="44"/>
        <v>963.139028105732-6925516.17725227j</v>
      </c>
      <c r="AN74" s="86" t="str">
        <f t="shared" si="45"/>
        <v>10963.1390281057-6925516.17725227j</v>
      </c>
      <c r="AO74" s="86" t="str">
        <f t="shared" si="46"/>
        <v>30.0999997923397-0.000130821688983366j</v>
      </c>
      <c r="AP74" s="86" t="str">
        <f t="shared" si="47"/>
        <v>0.666666666666999+3.33045711529476E-07j</v>
      </c>
      <c r="AQ74" s="86" t="str">
        <f t="shared" si="29"/>
        <v>1+0.0556383300002554j</v>
      </c>
      <c r="AR74" s="86">
        <f t="shared" si="30"/>
        <v>9.9944594362735939E-8</v>
      </c>
      <c r="AS74" s="86" t="str">
        <f t="shared" si="31"/>
        <v>2.93355166227291E-07j</v>
      </c>
      <c r="AT74" s="86" t="str">
        <f t="shared" si="32"/>
        <v>9.99445943627359E-08+2.93355166227291E-07j</v>
      </c>
      <c r="AU74" s="86" t="str">
        <f t="shared" si="33"/>
        <v>121.052592994855-299.641723808832j</v>
      </c>
      <c r="AW74" s="86" t="str">
        <f t="shared" si="48"/>
        <v>80.5634906637526-199.816889221476j</v>
      </c>
      <c r="AX74" s="86">
        <f t="shared" si="34"/>
        <v>46.666795496587795</v>
      </c>
      <c r="AY74" s="86">
        <f t="shared" si="35"/>
        <v>111.95863141295504</v>
      </c>
      <c r="AZ74" s="86" t="str">
        <f t="shared" si="36"/>
        <v>763.003062445634-1923.47206125361j</v>
      </c>
      <c r="BA74" s="86">
        <f t="shared" si="37"/>
        <v>66.316383911747508</v>
      </c>
      <c r="BB74" s="86">
        <f t="shared" si="38"/>
        <v>111.63724176568223</v>
      </c>
      <c r="BD74" s="86" t="str">
        <f t="shared" si="39"/>
        <v>179.837975030124-490.143614321739j</v>
      </c>
      <c r="BE74" s="86">
        <f t="shared" si="40"/>
        <v>54.354979065111316</v>
      </c>
      <c r="BF74" s="86">
        <f t="shared" si="41"/>
        <v>110.148528431944</v>
      </c>
      <c r="BH74" s="86">
        <f t="shared" si="49"/>
        <v>-53.354979065111316</v>
      </c>
      <c r="BI74" s="157">
        <f t="shared" si="50"/>
        <v>-110.148528431944</v>
      </c>
      <c r="BJ74" s="88"/>
      <c r="BK74" s="88"/>
      <c r="BL74" s="88"/>
      <c r="BM74" s="88"/>
      <c r="BN74" s="42"/>
      <c r="BO74" s="42"/>
      <c r="BP74" s="42"/>
    </row>
    <row r="75" spans="1:68" s="86" customFormat="1">
      <c r="A75" s="86">
        <v>11</v>
      </c>
      <c r="B75" s="86">
        <f t="shared" si="42"/>
        <v>165.95869074375605</v>
      </c>
      <c r="C75" s="86" t="str">
        <f t="shared" si="0"/>
        <v>1042.74920727993j</v>
      </c>
      <c r="D75" s="86">
        <f t="shared" si="1"/>
        <v>0.99999997245771299</v>
      </c>
      <c r="E75" s="86" t="str">
        <f t="shared" si="2"/>
        <v>-0.000260687301819983j</v>
      </c>
      <c r="F75" s="86" t="str">
        <f t="shared" si="3"/>
        <v>0.999999972457713-0.000260687301819983j</v>
      </c>
      <c r="G75" s="86">
        <f t="shared" si="4"/>
        <v>5.5908012956632582E-8</v>
      </c>
      <c r="H75" s="86">
        <f t="shared" si="5"/>
        <v>-1.4936282239971488E-2</v>
      </c>
      <c r="J75" s="86">
        <f t="shared" si="6"/>
        <v>4.8</v>
      </c>
      <c r="K75" s="86" t="str">
        <f t="shared" si="7"/>
        <v>1+0.0426328013396399j</v>
      </c>
      <c r="L75" s="86">
        <f t="shared" si="8"/>
        <v>0.99982217872079582</v>
      </c>
      <c r="M75" s="86" t="str">
        <f t="shared" si="9"/>
        <v>0.00596139721801936j</v>
      </c>
      <c r="N75" s="86" t="str">
        <f t="shared" si="10"/>
        <v>0.999822178720796+0.00596139721801936j</v>
      </c>
      <c r="O75" s="86" t="str">
        <f t="shared" si="11"/>
        <v>1.00039652938353+0.0366755619477978j</v>
      </c>
      <c r="P75" s="86" t="str">
        <f t="shared" si="12"/>
        <v>4.80190334104094+0.176042697349429j</v>
      </c>
      <c r="R75" s="86">
        <f t="shared" si="13"/>
        <v>11.52</v>
      </c>
      <c r="S75" s="86" t="str">
        <f t="shared" si="14"/>
        <v>1+0.0000886336826187941j</v>
      </c>
      <c r="T75" s="86" t="str">
        <f t="shared" si="15"/>
        <v>0.999822178720796+0.00596139721801936j</v>
      </c>
      <c r="U75" s="86" t="str">
        <f t="shared" si="16"/>
        <v>1.00014282549713-0.00587465961440937j</v>
      </c>
      <c r="V75" s="86" t="str">
        <f t="shared" si="17"/>
        <v>11.5216453497269-0.0676760787579959j</v>
      </c>
      <c r="X75" s="86" t="str">
        <f t="shared" si="18"/>
        <v>2.96218934199081+0.107823661206797j</v>
      </c>
      <c r="Y75" s="86">
        <f t="shared" si="19"/>
        <v>9.4380067163192312</v>
      </c>
      <c r="Z75" s="86">
        <f t="shared" si="20"/>
        <v>-177.91535458726869</v>
      </c>
      <c r="AB75" s="86" t="str">
        <f t="shared" si="21"/>
        <v>9.60457264898875-0.0564155374774891j</v>
      </c>
      <c r="AC75" s="86">
        <f t="shared" si="22"/>
        <v>19.649710754611725</v>
      </c>
      <c r="AD75" s="86">
        <f t="shared" si="23"/>
        <v>179.66345873563199</v>
      </c>
      <c r="AF75" s="86" t="str">
        <f t="shared" si="24"/>
        <v>2.42187595169588-0.0801453545424159j</v>
      </c>
      <c r="AG75" s="86">
        <f t="shared" si="25"/>
        <v>7.6877912441606409</v>
      </c>
      <c r="AH75" s="86">
        <f t="shared" si="26"/>
        <v>178.10464469335821</v>
      </c>
      <c r="AJ75" s="86" t="str">
        <f t="shared" si="27"/>
        <v>15.0499999999629-0.000023618530232134j</v>
      </c>
      <c r="AK75" s="86" t="str">
        <f t="shared" si="28"/>
        <v>30.1-9.44741209287689E-13j</v>
      </c>
      <c r="AL75" s="86" t="str">
        <f t="shared" si="43"/>
        <v>10000-21311185.9180312j</v>
      </c>
      <c r="AM75" s="86" t="str">
        <f t="shared" si="44"/>
        <v>963.139019230762-6613816.63107217j</v>
      </c>
      <c r="AN75" s="86" t="str">
        <f t="shared" si="45"/>
        <v>10963.1390192308-6613816.63107217j</v>
      </c>
      <c r="AO75" s="86" t="str">
        <f t="shared" si="46"/>
        <v>30.0999997723051-0.000136987091369816j</v>
      </c>
      <c r="AP75" s="86" t="str">
        <f t="shared" si="47"/>
        <v>0.666666666667032+3.48741672348405E-07j</v>
      </c>
      <c r="AQ75" s="86" t="str">
        <f t="shared" si="29"/>
        <v>1+0.0582604837091442j</v>
      </c>
      <c r="AR75" s="86">
        <f t="shared" si="30"/>
        <v>9.9939248926796536E-8</v>
      </c>
      <c r="AS75" s="86" t="str">
        <f t="shared" si="31"/>
        <v>3.07180569274814E-07j</v>
      </c>
      <c r="AT75" s="86" t="str">
        <f t="shared" si="32"/>
        <v>9.99392489267965E-08+3.07180569274814E-07j</v>
      </c>
      <c r="AU75" s="86" t="str">
        <f t="shared" si="33"/>
        <v>112.925991347984-288.801669486464j</v>
      </c>
      <c r="AW75" s="86" t="str">
        <f t="shared" si="48"/>
        <v>75.1444774634228-192.588887594303j</v>
      </c>
      <c r="AX75" s="86">
        <f t="shared" si="34"/>
        <v>46.308057818862508</v>
      </c>
      <c r="AY75" s="86">
        <f t="shared" si="35"/>
        <v>111.31477227708488</v>
      </c>
      <c r="AZ75" s="86" t="str">
        <f t="shared" si="36"/>
        <v>710.865587361918-1853.97327837197j</v>
      </c>
      <c r="BA75" s="86">
        <f t="shared" si="37"/>
        <v>65.957768573474198</v>
      </c>
      <c r="BB75" s="86">
        <f t="shared" si="38"/>
        <v>110.97823101271695</v>
      </c>
      <c r="BD75" s="86" t="str">
        <f t="shared" si="39"/>
        <v>166.555498194242-472.448876216713j</v>
      </c>
      <c r="BE75" s="86">
        <f t="shared" si="40"/>
        <v>53.995849063023122</v>
      </c>
      <c r="BF75" s="86">
        <f t="shared" si="41"/>
        <v>109.41941697044315</v>
      </c>
      <c r="BH75" s="86">
        <f t="shared" si="49"/>
        <v>-52.995849063023122</v>
      </c>
      <c r="BI75" s="157">
        <f t="shared" si="50"/>
        <v>-109.41941697044315</v>
      </c>
      <c r="BJ75" s="88"/>
      <c r="BK75" s="88"/>
      <c r="BL75" s="88"/>
      <c r="BM75" s="88"/>
      <c r="BN75" s="42"/>
      <c r="BO75" s="42"/>
      <c r="BP75" s="42"/>
    </row>
    <row r="76" spans="1:68" s="86" customFormat="1">
      <c r="A76" s="86">
        <v>12</v>
      </c>
      <c r="B76" s="86">
        <f t="shared" si="42"/>
        <v>173.78008287493756</v>
      </c>
      <c r="C76" s="86" t="str">
        <f t="shared" si="0"/>
        <v>1091.89246340026j</v>
      </c>
      <c r="D76" s="86">
        <f t="shared" si="1"/>
        <v>0.99999996980048278</v>
      </c>
      <c r="E76" s="86" t="str">
        <f t="shared" si="2"/>
        <v>-0.000272973115850065j</v>
      </c>
      <c r="F76" s="86" t="str">
        <f t="shared" si="3"/>
        <v>0.999999969800483-0.000272973115850065j</v>
      </c>
      <c r="G76" s="86">
        <f t="shared" si="4"/>
        <v>6.1301918816102E-8</v>
      </c>
      <c r="H76" s="86">
        <f t="shared" si="5"/>
        <v>-1.5640207542597956E-2</v>
      </c>
      <c r="J76" s="86">
        <f t="shared" si="6"/>
        <v>4.8</v>
      </c>
      <c r="K76" s="86" t="str">
        <f t="shared" si="7"/>
        <v>1+0.0446420233661196j</v>
      </c>
      <c r="L76" s="86">
        <f t="shared" si="8"/>
        <v>0.99980502284454242</v>
      </c>
      <c r="M76" s="86" t="str">
        <f t="shared" si="9"/>
        <v>0.00624234921325929j</v>
      </c>
      <c r="N76" s="86" t="str">
        <f t="shared" si="10"/>
        <v>0.999805022844542+0.00624234921325929j</v>
      </c>
      <c r="O76" s="86" t="str">
        <f t="shared" si="11"/>
        <v>1.00043479590645+0.0384044479950027j</v>
      </c>
      <c r="P76" s="86" t="str">
        <f t="shared" si="12"/>
        <v>4.80208702035096+0.184341350376013j</v>
      </c>
      <c r="R76" s="86">
        <f t="shared" si="13"/>
        <v>11.52</v>
      </c>
      <c r="S76" s="86" t="str">
        <f t="shared" si="14"/>
        <v>1+0.0000928108593890221j</v>
      </c>
      <c r="T76" s="86" t="str">
        <f t="shared" si="15"/>
        <v>0.999805022844542+0.00624234921325929j</v>
      </c>
      <c r="U76" s="86" t="str">
        <f t="shared" si="16"/>
        <v>1.00015660653443-0.00615171539051527j</v>
      </c>
      <c r="V76" s="86" t="str">
        <f t="shared" si="17"/>
        <v>11.5218041072766-0.0708677612987359j</v>
      </c>
      <c r="X76" s="86" t="str">
        <f t="shared" si="18"/>
        <v>2.96230537238801+0.112906446376145j</v>
      </c>
      <c r="Y76" s="86">
        <f t="shared" si="19"/>
        <v>9.4389009692187837</v>
      </c>
      <c r="Z76" s="86">
        <f t="shared" si="20"/>
        <v>-177.81726317093214</v>
      </c>
      <c r="AB76" s="86" t="str">
        <f t="shared" si="21"/>
        <v>9.60470499106085-0.059076159802214j</v>
      </c>
      <c r="AC76" s="86">
        <f t="shared" si="22"/>
        <v>19.649844898669635</v>
      </c>
      <c r="AD76" s="86">
        <f t="shared" si="23"/>
        <v>179.6475923054235</v>
      </c>
      <c r="AF76" s="86" t="str">
        <f t="shared" si="24"/>
        <v>2.42162822843257-0.0839141778005632j</v>
      </c>
      <c r="AG76" s="86">
        <f t="shared" si="25"/>
        <v>7.6873611096836765</v>
      </c>
      <c r="AH76" s="86">
        <f t="shared" si="26"/>
        <v>178.01538272024365</v>
      </c>
      <c r="AJ76" s="86" t="str">
        <f t="shared" si="27"/>
        <v>15.0499999999594-0.0000247316372690649j</v>
      </c>
      <c r="AK76" s="86" t="str">
        <f t="shared" si="28"/>
        <v>30.1-9.89265490765269E-13j</v>
      </c>
      <c r="AL76" s="86" t="str">
        <f t="shared" si="43"/>
        <v>10000-20352024.5510442j</v>
      </c>
      <c r="AM76" s="86" t="str">
        <f t="shared" si="44"/>
        <v>963.139009499554-6316145.87669641j</v>
      </c>
      <c r="AN76" s="86" t="str">
        <f t="shared" si="45"/>
        <v>10963.1390094996-6316145.87669641j</v>
      </c>
      <c r="AO76" s="86" t="str">
        <f t="shared" si="46"/>
        <v>30.0999997503377-0.000143443055201272j</v>
      </c>
      <c r="AP76" s="86" t="str">
        <f t="shared" si="47"/>
        <v>0.666666666667066+3.65177361010989E-07j</v>
      </c>
      <c r="AQ76" s="86" t="str">
        <f t="shared" si="29"/>
        <v>1+0.0610062157150993j</v>
      </c>
      <c r="AR76" s="86">
        <f t="shared" si="30"/>
        <v>9.9933387772840114E-8</v>
      </c>
      <c r="AS76" s="86" t="str">
        <f t="shared" si="31"/>
        <v>3.21657543494185E-07j</v>
      </c>
      <c r="AT76" s="86" t="str">
        <f t="shared" si="32"/>
        <v>9.99333877728401E-08+3.21657543494185E-07j</v>
      </c>
      <c r="AU76" s="86" t="str">
        <f t="shared" si="33"/>
        <v>105.382305977656-278.149202348666j</v>
      </c>
      <c r="AW76" s="86" t="str">
        <f t="shared" si="48"/>
        <v>70.1141667197462-185.485992728271j</v>
      </c>
      <c r="AX76" s="86">
        <f t="shared" si="34"/>
        <v>45.946251049904362</v>
      </c>
      <c r="AY76" s="86">
        <f t="shared" si="35"/>
        <v>110.70671686129559</v>
      </c>
      <c r="AZ76" s="86" t="str">
        <f t="shared" si="36"/>
        <v>662.468086889731-1785.68031584664j</v>
      </c>
      <c r="BA76" s="86">
        <f t="shared" si="37"/>
        <v>65.596095948574018</v>
      </c>
      <c r="BB76" s="86">
        <f t="shared" si="38"/>
        <v>110.35430916671903</v>
      </c>
      <c r="BD76" s="86" t="str">
        <f t="shared" si="39"/>
        <v>154.22554076825-455.061688622079j</v>
      </c>
      <c r="BE76" s="86">
        <f t="shared" si="40"/>
        <v>53.63361215958804</v>
      </c>
      <c r="BF76" s="86">
        <f t="shared" si="41"/>
        <v>108.72209958153914</v>
      </c>
      <c r="BH76" s="86">
        <f t="shared" si="49"/>
        <v>-52.63361215958804</v>
      </c>
      <c r="BI76" s="157">
        <f t="shared" si="50"/>
        <v>-108.72209958153914</v>
      </c>
      <c r="BJ76" s="88"/>
      <c r="BK76" s="88"/>
      <c r="BL76" s="88"/>
      <c r="BM76" s="88"/>
      <c r="BN76" s="42"/>
      <c r="BO76" s="42"/>
      <c r="BP76" s="42"/>
    </row>
    <row r="77" spans="1:68" s="86" customFormat="1">
      <c r="A77" s="86">
        <v>13</v>
      </c>
      <c r="B77" s="86">
        <f t="shared" si="42"/>
        <v>181.97008586099835</v>
      </c>
      <c r="C77" s="86" t="str">
        <f t="shared" si="0"/>
        <v>1143.35176982803j</v>
      </c>
      <c r="D77" s="86">
        <f t="shared" si="1"/>
        <v>0.99999996688688786</v>
      </c>
      <c r="E77" s="86" t="str">
        <f t="shared" si="2"/>
        <v>-0.000285837942457008j</v>
      </c>
      <c r="F77" s="86" t="str">
        <f t="shared" si="3"/>
        <v>0.999999966886888-0.000285837942457008j</v>
      </c>
      <c r="G77" s="86">
        <f t="shared" si="4"/>
        <v>6.7216218199571002E-8</v>
      </c>
      <c r="H77" s="86">
        <f t="shared" si="5"/>
        <v>-1.6377307823766608E-2</v>
      </c>
      <c r="J77" s="86">
        <f t="shared" si="6"/>
        <v>4.8</v>
      </c>
      <c r="K77" s="86" t="str">
        <f t="shared" si="7"/>
        <v>1+0.046745937109419j</v>
      </c>
      <c r="L77" s="86">
        <f t="shared" si="8"/>
        <v>0.9997862118002947</v>
      </c>
      <c r="M77" s="86" t="str">
        <f t="shared" si="9"/>
        <v>0.00653654206810685j</v>
      </c>
      <c r="N77" s="86" t="str">
        <f t="shared" si="10"/>
        <v>0.999786211800295+0.00653654206810685j</v>
      </c>
      <c r="O77" s="86" t="str">
        <f t="shared" si="11"/>
        <v>1.00047675635443+0.0402148761693228j</v>
      </c>
      <c r="P77" s="86" t="str">
        <f t="shared" si="12"/>
        <v>4.80228843050126+0.193031405612749j</v>
      </c>
      <c r="R77" s="86">
        <f t="shared" si="13"/>
        <v>11.52</v>
      </c>
      <c r="S77" s="86" t="str">
        <f t="shared" si="14"/>
        <v>1+0.0000971849004353826j</v>
      </c>
      <c r="T77" s="86" t="str">
        <f t="shared" si="15"/>
        <v>0.999786211800295+0.00653654206810685j</v>
      </c>
      <c r="U77" s="86" t="str">
        <f t="shared" si="16"/>
        <v>1.00017171744291-0.00644185679892864j</v>
      </c>
      <c r="V77" s="86" t="str">
        <f t="shared" si="17"/>
        <v>11.5219781849423-0.0742101903236579j</v>
      </c>
      <c r="X77" s="86" t="str">
        <f t="shared" si="18"/>
        <v>2.96243260329688+0.118228955487534j</v>
      </c>
      <c r="Y77" s="86">
        <f t="shared" si="19"/>
        <v>9.439881346969992</v>
      </c>
      <c r="Z77" s="86">
        <f t="shared" si="20"/>
        <v>-177.71457175935026</v>
      </c>
      <c r="AB77" s="86" t="str">
        <f t="shared" si="21"/>
        <v>9.6048501041533-0.0618624460850766j</v>
      </c>
      <c r="AC77" s="86">
        <f t="shared" si="22"/>
        <v>19.649991986526999</v>
      </c>
      <c r="AD77" s="86">
        <f t="shared" si="23"/>
        <v>179.63097726441075</v>
      </c>
      <c r="AF77" s="86" t="str">
        <f t="shared" si="24"/>
        <v>2.42135666160057-0.0878593909103293j</v>
      </c>
      <c r="AG77" s="86">
        <f t="shared" si="25"/>
        <v>7.6868895254496685</v>
      </c>
      <c r="AH77" s="86">
        <f t="shared" si="26"/>
        <v>177.92192333946048</v>
      </c>
      <c r="AJ77" s="86" t="str">
        <f t="shared" si="27"/>
        <v>15.0499999999554-0.0000258972034244706j</v>
      </c>
      <c r="AK77" s="86" t="str">
        <f t="shared" si="28"/>
        <v>30.1-1.03588813698189E-12j</v>
      </c>
      <c r="AL77" s="86" t="str">
        <f t="shared" si="43"/>
        <v>9999.99999999998-19436032.5567735j</v>
      </c>
      <c r="AM77" s="86" t="str">
        <f t="shared" si="44"/>
        <v>963.138998829491-6031872.51454558j</v>
      </c>
      <c r="AN77" s="86" t="str">
        <f t="shared" si="45"/>
        <v>10963.1389988295-6031872.51454558j</v>
      </c>
      <c r="AO77" s="86" t="str">
        <f t="shared" si="46"/>
        <v>30.0999997262508-0.000150203273473116j</v>
      </c>
      <c r="AP77" s="86" t="str">
        <f t="shared" si="47"/>
        <v>0.666666666667106+3.82387639816451E-07j</v>
      </c>
      <c r="AQ77" s="86" t="str">
        <f t="shared" si="29"/>
        <v>1+0.0638813500838317j</v>
      </c>
      <c r="AR77" s="86">
        <f t="shared" si="30"/>
        <v>9.9926961145322646E-8</v>
      </c>
      <c r="AS77" s="86" t="str">
        <f t="shared" si="31"/>
        <v>3.36816796488684E-07j</v>
      </c>
      <c r="AT77" s="86" t="str">
        <f t="shared" si="32"/>
        <v>9.99269611453226E-08+3.36816796488684E-07j</v>
      </c>
      <c r="AU77" s="86" t="str">
        <f t="shared" si="33"/>
        <v>98.389642878764-267.707023280773j</v>
      </c>
      <c r="AW77" s="86" t="str">
        <f t="shared" si="48"/>
        <v>65.4512907401092-178.523343018937j</v>
      </c>
      <c r="AX77" s="86">
        <f t="shared" si="34"/>
        <v>45.58161824823258</v>
      </c>
      <c r="AY77" s="86">
        <f t="shared" si="35"/>
        <v>110.13424712604042</v>
      </c>
      <c r="AZ77" s="86" t="str">
        <f t="shared" si="36"/>
        <v>617.605945999669-1718.73892673384j</v>
      </c>
      <c r="BA77" s="86">
        <f t="shared" si="37"/>
        <v>65.231610234759572</v>
      </c>
      <c r="BB77" s="86">
        <f t="shared" si="38"/>
        <v>109.76522439045118</v>
      </c>
      <c r="BD77" s="86" t="str">
        <f t="shared" si="39"/>
        <v>142.795966663-438.019196408828j</v>
      </c>
      <c r="BE77" s="86">
        <f t="shared" si="40"/>
        <v>53.268507773682252</v>
      </c>
      <c r="BF77" s="86">
        <f t="shared" si="41"/>
        <v>108.05617046550093</v>
      </c>
      <c r="BH77" s="86">
        <f t="shared" si="49"/>
        <v>-52.268507773682252</v>
      </c>
      <c r="BI77" s="157">
        <f t="shared" si="50"/>
        <v>-108.05617046550093</v>
      </c>
      <c r="BJ77" s="88"/>
      <c r="BK77" s="88"/>
      <c r="BL77" s="88"/>
      <c r="BM77" s="88"/>
      <c r="BN77" s="42"/>
      <c r="BO77" s="42"/>
      <c r="BP77" s="42"/>
    </row>
    <row r="78" spans="1:68" s="86" customFormat="1">
      <c r="A78" s="86">
        <v>14</v>
      </c>
      <c r="B78" s="86">
        <f t="shared" si="42"/>
        <v>190.54607179632475</v>
      </c>
      <c r="C78" s="86" t="str">
        <f t="shared" si="0"/>
        <v>1197.23627865145j</v>
      </c>
      <c r="D78" s="86">
        <f t="shared" si="1"/>
        <v>0.99999996369219457</v>
      </c>
      <c r="E78" s="86" t="str">
        <f t="shared" si="2"/>
        <v>-0.000299309069662862j</v>
      </c>
      <c r="F78" s="86" t="str">
        <f t="shared" si="3"/>
        <v>0.999999963692195-0.000299309069662862j</v>
      </c>
      <c r="G78" s="86">
        <f t="shared" si="4"/>
        <v>7.3701121708079146E-8</v>
      </c>
      <c r="H78" s="86">
        <f t="shared" si="5"/>
        <v>-1.7149146572209648E-2</v>
      </c>
      <c r="J78" s="86">
        <f t="shared" si="6"/>
        <v>4.8</v>
      </c>
      <c r="K78" s="86" t="str">
        <f t="shared" si="7"/>
        <v>1+0.0489490052526645j</v>
      </c>
      <c r="L78" s="86">
        <f t="shared" si="8"/>
        <v>0.99976558590043041</v>
      </c>
      <c r="M78" s="86" t="str">
        <f t="shared" si="9"/>
        <v>0.00684459980505034j</v>
      </c>
      <c r="N78" s="86" t="str">
        <f t="shared" si="10"/>
        <v>0.99976558590043+0.00684459980505034j</v>
      </c>
      <c r="O78" s="86" t="str">
        <f t="shared" si="11"/>
        <v>1.00052276752345+0.0421106986546324j</v>
      </c>
      <c r="P78" s="86" t="str">
        <f t="shared" si="12"/>
        <v>4.80250928411256+0.202131353542236j</v>
      </c>
      <c r="R78" s="86">
        <f t="shared" si="13"/>
        <v>11.52</v>
      </c>
      <c r="S78" s="86" t="str">
        <f t="shared" si="14"/>
        <v>1+0.000101765083685373j</v>
      </c>
      <c r="T78" s="86" t="str">
        <f t="shared" si="15"/>
        <v>0.99976558590043+0.00684459980505034j</v>
      </c>
      <c r="U78" s="86" t="str">
        <f t="shared" si="16"/>
        <v>1.00018828658714-0.00674570475600896j</v>
      </c>
      <c r="V78" s="86" t="str">
        <f t="shared" si="17"/>
        <v>11.5221690614839-0.0777105187892232j</v>
      </c>
      <c r="X78" s="86" t="str">
        <f t="shared" si="18"/>
        <v>2.96257211655853+0.12380251300174j</v>
      </c>
      <c r="Y78" s="86">
        <f t="shared" si="19"/>
        <v>9.4409561282609644</v>
      </c>
      <c r="Z78" s="86">
        <f t="shared" si="20"/>
        <v>-177.60706694605224</v>
      </c>
      <c r="AB78" s="86" t="str">
        <f t="shared" si="21"/>
        <v>9.60500922097691-0.0647803591107229j</v>
      </c>
      <c r="AC78" s="86">
        <f t="shared" si="22"/>
        <v>19.650153267346987</v>
      </c>
      <c r="AD78" s="86">
        <f t="shared" si="23"/>
        <v>179.61357820582009</v>
      </c>
      <c r="AF78" s="86" t="str">
        <f t="shared" si="24"/>
        <v>2.42105896218584-0.0919891252531429j</v>
      </c>
      <c r="AG78" s="86">
        <f t="shared" si="25"/>
        <v>7.6863725023270195</v>
      </c>
      <c r="AH78" s="86">
        <f t="shared" si="26"/>
        <v>177.82407012054824</v>
      </c>
      <c r="AJ78" s="86" t="str">
        <f t="shared" si="27"/>
        <v>15.0499999999511-0.0000271177010204369j</v>
      </c>
      <c r="AK78" s="86" t="str">
        <f t="shared" si="28"/>
        <v>30.1-1.084708040821E-12j</v>
      </c>
      <c r="AL78" s="86" t="str">
        <f t="shared" si="43"/>
        <v>10000-18561266.99339j</v>
      </c>
      <c r="AM78" s="86" t="str">
        <f t="shared" si="44"/>
        <v>963.138987130005-5760393.56270533j</v>
      </c>
      <c r="AN78" s="86" t="str">
        <f t="shared" si="45"/>
        <v>10963.13898713-5760393.56270533j</v>
      </c>
      <c r="AO78" s="86" t="str">
        <f t="shared" si="46"/>
        <v>30.09999969984-0.000157282084401791j</v>
      </c>
      <c r="AP78" s="86" t="str">
        <f t="shared" si="47"/>
        <v>0.666666666667148+4.00409014073559E-07j</v>
      </c>
      <c r="AQ78" s="86" t="str">
        <f t="shared" si="29"/>
        <v>1+0.0668919853608138j</v>
      </c>
      <c r="AR78" s="86">
        <f t="shared" si="30"/>
        <v>9.9919914488375007E-8</v>
      </c>
      <c r="AS78" s="86" t="str">
        <f t="shared" si="31"/>
        <v>3.5269048306635E-07j</v>
      </c>
      <c r="AT78" s="86" t="str">
        <f t="shared" si="32"/>
        <v>9.9919914488375E-08+3.5269048306635E-07j</v>
      </c>
      <c r="AU78" s="86" t="str">
        <f t="shared" si="33"/>
        <v>91.9162641048416-257.494146031348j</v>
      </c>
      <c r="AW78" s="86" t="str">
        <f t="shared" si="48"/>
        <v>61.1346858948952-171.713618233303j</v>
      </c>
      <c r="AX78" s="86">
        <f t="shared" si="34"/>
        <v>45.214390619666496</v>
      </c>
      <c r="AY78" s="86">
        <f t="shared" si="35"/>
        <v>109.59710292121409</v>
      </c>
      <c r="AZ78" s="86" t="str">
        <f t="shared" si="36"/>
        <v>576.07555188864-1653.27121340458j</v>
      </c>
      <c r="BA78" s="86">
        <f t="shared" si="37"/>
        <v>64.864543887013497</v>
      </c>
      <c r="BB78" s="86">
        <f t="shared" si="38"/>
        <v>109.21068112703411</v>
      </c>
      <c r="BD78" s="86" t="str">
        <f t="shared" si="39"/>
        <v>132.214893650918-421.352520631194j</v>
      </c>
      <c r="BE78" s="86">
        <f t="shared" si="40"/>
        <v>52.900763121993528</v>
      </c>
      <c r="BF78" s="86">
        <f t="shared" si="41"/>
        <v>107.42117304176222</v>
      </c>
      <c r="BH78" s="86">
        <f t="shared" si="49"/>
        <v>-51.900763121993528</v>
      </c>
      <c r="BI78" s="157">
        <f t="shared" si="50"/>
        <v>-107.42117304176222</v>
      </c>
      <c r="BJ78" s="88"/>
      <c r="BK78" s="88"/>
      <c r="BL78" s="88"/>
      <c r="BM78" s="88"/>
      <c r="BN78" s="42"/>
      <c r="BO78" s="42"/>
      <c r="BP78" s="42"/>
    </row>
    <row r="79" spans="1:68" s="86" customFormat="1">
      <c r="A79" s="86">
        <v>15</v>
      </c>
      <c r="B79" s="86">
        <f t="shared" si="42"/>
        <v>199.52623149688799</v>
      </c>
      <c r="C79" s="86" t="str">
        <f t="shared" si="0"/>
        <v>1253.66028613816j</v>
      </c>
      <c r="D79" s="86">
        <f t="shared" si="1"/>
        <v>0.99999996018928294</v>
      </c>
      <c r="E79" s="86" t="str">
        <f t="shared" si="2"/>
        <v>-0.00031341507153454j</v>
      </c>
      <c r="F79" s="86" t="str">
        <f t="shared" si="3"/>
        <v>0.999999960189283-0.00031341507153454j</v>
      </c>
      <c r="G79" s="86">
        <f t="shared" si="4"/>
        <v>8.0811669294317519E-8</v>
      </c>
      <c r="H79" s="86">
        <f t="shared" si="5"/>
        <v>-1.7957360961637421E-2</v>
      </c>
      <c r="J79" s="86">
        <f t="shared" si="6"/>
        <v>4.8</v>
      </c>
      <c r="K79" s="86" t="str">
        <f t="shared" si="7"/>
        <v>1+0.0512559007987587j</v>
      </c>
      <c r="L79" s="86">
        <f t="shared" si="8"/>
        <v>0.99974297005095347</v>
      </c>
      <c r="M79" s="86" t="str">
        <f t="shared" si="9"/>
        <v>0.00716717585585186j</v>
      </c>
      <c r="N79" s="86" t="str">
        <f t="shared" si="10"/>
        <v>0.999742970050953+0.00716717585585186j</v>
      </c>
      <c r="O79" s="86" t="str">
        <f t="shared" si="11"/>
        <v>1.00057322071606+0.0440959505491535j</v>
      </c>
      <c r="P79" s="86" t="str">
        <f t="shared" si="12"/>
        <v>4.80275145943709+0.211660562635937j</v>
      </c>
      <c r="R79" s="86">
        <f t="shared" si="13"/>
        <v>11.52</v>
      </c>
      <c r="S79" s="86" t="str">
        <f t="shared" si="14"/>
        <v>1+0.000106561124321744j</v>
      </c>
      <c r="T79" s="86" t="str">
        <f t="shared" si="15"/>
        <v>0.999742970050953+0.00716717585585186j</v>
      </c>
      <c r="U79" s="86" t="str">
        <f t="shared" si="16"/>
        <v>1.00020645472843-0.00706391006531919j</v>
      </c>
      <c r="V79" s="86" t="str">
        <f t="shared" si="17"/>
        <v>11.5223783584715-0.0813762439524771j</v>
      </c>
      <c r="X79" s="86" t="str">
        <f t="shared" si="18"/>
        <v>2.96272509863822+0.129638981029379j</v>
      </c>
      <c r="Y79" s="86">
        <f t="shared" si="19"/>
        <v>9.4421343843495293</v>
      </c>
      <c r="Z79" s="86">
        <f t="shared" si="20"/>
        <v>-177.49452576597335</v>
      </c>
      <c r="AB79" s="86" t="str">
        <f t="shared" si="21"/>
        <v>9.60518369329068-0.0678361486766231j</v>
      </c>
      <c r="AC79" s="86">
        <f t="shared" si="22"/>
        <v>19.650330110884376</v>
      </c>
      <c r="AD79" s="86">
        <f t="shared" si="23"/>
        <v>179.59535803555161</v>
      </c>
      <c r="AF79" s="86" t="str">
        <f t="shared" si="24"/>
        <v>2.4207326226272-0.0963118686556746j</v>
      </c>
      <c r="AG79" s="86">
        <f t="shared" si="25"/>
        <v>7.6858056683113807</v>
      </c>
      <c r="AH79" s="86">
        <f t="shared" si="26"/>
        <v>177.72161758048779</v>
      </c>
      <c r="AJ79" s="86" t="str">
        <f t="shared" si="27"/>
        <v>15.0499999999464-0.0000283957188959998j</v>
      </c>
      <c r="AK79" s="86" t="str">
        <f t="shared" si="28"/>
        <v>30.1-1.13582875584403E-12j</v>
      </c>
      <c r="AL79" s="86" t="str">
        <f t="shared" si="43"/>
        <v>10000-17725872.3658518j</v>
      </c>
      <c r="AM79" s="86" t="str">
        <f t="shared" si="44"/>
        <v>963.138974301772-5501133.17792095j</v>
      </c>
      <c r="AN79" s="86" t="str">
        <f t="shared" si="45"/>
        <v>10963.1389743018-5501133.17792095j</v>
      </c>
      <c r="AO79" s="86" t="str">
        <f t="shared" si="46"/>
        <v>30.0999996708813-0.000164694501817243j</v>
      </c>
      <c r="AP79" s="86" t="str">
        <f t="shared" si="47"/>
        <v>0.666666666667194+4.19279709533284E-07j</v>
      </c>
      <c r="AQ79" s="86" t="str">
        <f t="shared" si="29"/>
        <v>1+0.0700445075071113j</v>
      </c>
      <c r="AR79" s="86">
        <f t="shared" si="30"/>
        <v>9.9912187982676226E-8</v>
      </c>
      <c r="AS79" s="86" t="str">
        <f t="shared" si="31"/>
        <v>3.69312273444639E-07j</v>
      </c>
      <c r="AT79" s="86" t="str">
        <f t="shared" si="32"/>
        <v>9.99121879826762E-08+3.69312273444639E-07j</v>
      </c>
      <c r="AU79" s="86" t="str">
        <f t="shared" si="33"/>
        <v>85.9308919315877-247.526180809465j</v>
      </c>
      <c r="AW79" s="86" t="str">
        <f t="shared" si="48"/>
        <v>57.1434954409421-165.067228621287j</v>
      </c>
      <c r="AX79" s="86">
        <f t="shared" si="34"/>
        <v>44.84478775035182</v>
      </c>
      <c r="AY79" s="86">
        <f t="shared" si="35"/>
        <v>109.09499202499092</v>
      </c>
      <c r="AZ79" s="86" t="str">
        <f t="shared" si="36"/>
        <v>537.676245524576-1589.3774473025j</v>
      </c>
      <c r="BA79" s="86">
        <f t="shared" si="37"/>
        <v>64.495117861236167</v>
      </c>
      <c r="BB79" s="86">
        <f t="shared" si="38"/>
        <v>108.6903500605426</v>
      </c>
      <c r="BD79" s="86" t="str">
        <f t="shared" si="39"/>
        <v>122.431190342508-405.087222077645j</v>
      </c>
      <c r="BE79" s="86">
        <f t="shared" si="40"/>
        <v>52.530593418663187</v>
      </c>
      <c r="BF79" s="86">
        <f t="shared" si="41"/>
        <v>106.8166096054788</v>
      </c>
      <c r="BH79" s="86">
        <f t="shared" si="49"/>
        <v>-51.530593418663187</v>
      </c>
      <c r="BI79" s="157">
        <f t="shared" si="50"/>
        <v>-106.8166096054788</v>
      </c>
      <c r="BJ79" s="88"/>
      <c r="BK79" s="88"/>
      <c r="BL79" s="88"/>
      <c r="BM79" s="88"/>
      <c r="BN79" s="42"/>
      <c r="BO79" s="42"/>
      <c r="BP79" s="42"/>
    </row>
    <row r="80" spans="1:68" s="86" customFormat="1">
      <c r="A80" s="86">
        <v>16</v>
      </c>
      <c r="B80" s="86">
        <f t="shared" si="42"/>
        <v>208.92961308540396</v>
      </c>
      <c r="C80" s="86" t="str">
        <f t="shared" si="0"/>
        <v>1312.74347517293j</v>
      </c>
      <c r="D80" s="86">
        <f t="shared" si="1"/>
        <v>0.99999995634841676</v>
      </c>
      <c r="E80" s="86" t="str">
        <f t="shared" si="2"/>
        <v>-0.000328185868793232j</v>
      </c>
      <c r="F80" s="86" t="str">
        <f t="shared" si="3"/>
        <v>0.999999956348417-0.000328185868793232j</v>
      </c>
      <c r="G80" s="86">
        <f t="shared" si="4"/>
        <v>8.8608233641504909E-8</v>
      </c>
      <c r="H80" s="86">
        <f t="shared" si="5"/>
        <v>-1.8803665323407163E-2</v>
      </c>
      <c r="J80" s="86">
        <f t="shared" si="6"/>
        <v>4.8</v>
      </c>
      <c r="K80" s="86" t="str">
        <f t="shared" si="7"/>
        <v>1+0.0536715169824452j</v>
      </c>
      <c r="L80" s="86">
        <f t="shared" si="8"/>
        <v>0.99971817226511461</v>
      </c>
      <c r="M80" s="86" t="str">
        <f t="shared" si="9"/>
        <v>0.00750495444756364j</v>
      </c>
      <c r="N80" s="86" t="str">
        <f t="shared" si="10"/>
        <v>0.999718172265115+0.00750495444756364j</v>
      </c>
      <c r="O80" s="86" t="str">
        <f t="shared" si="11"/>
        <v>1.0006285450874+0.0461748586884652j</v>
      </c>
      <c r="P80" s="86" t="str">
        <f t="shared" si="12"/>
        <v>4.80301701641952+0.221639321704633j</v>
      </c>
      <c r="R80" s="86">
        <f t="shared" si="13"/>
        <v>11.52</v>
      </c>
      <c r="S80" s="86" t="str">
        <f t="shared" si="14"/>
        <v>1+0.000111583195389699j</v>
      </c>
      <c r="T80" s="86" t="str">
        <f t="shared" si="15"/>
        <v>0.999718172265115+0.00750495444756364j</v>
      </c>
      <c r="U80" s="86" t="str">
        <f t="shared" si="16"/>
        <v>1.00022637622328-0.00739715491883301j</v>
      </c>
      <c r="V80" s="86" t="str">
        <f t="shared" si="17"/>
        <v>11.5226078540922-0.0852152246649563j</v>
      </c>
      <c r="X80" s="86" t="str">
        <f t="shared" si="18"/>
        <v>2.96289285076996+0.135750785254125j</v>
      </c>
      <c r="Y80" s="86">
        <f t="shared" si="19"/>
        <v>9.4434260542935942</v>
      </c>
      <c r="Z80" s="86">
        <f t="shared" si="20"/>
        <v>-177.3767153182477</v>
      </c>
      <c r="AB80" s="86" t="str">
        <f t="shared" si="21"/>
        <v>9.6053750034113-0.0710363660094667j</v>
      </c>
      <c r="AC80" s="86">
        <f t="shared" si="22"/>
        <v>19.650524019135048</v>
      </c>
      <c r="AD80" s="86">
        <f t="shared" si="23"/>
        <v>179.57627788989043</v>
      </c>
      <c r="AF80" s="86" t="str">
        <f t="shared" si="24"/>
        <v>2.42037489619287-0.100836478255873j</v>
      </c>
      <c r="AG80" s="86">
        <f t="shared" si="25"/>
        <v>7.685184231988452</v>
      </c>
      <c r="AH80" s="86">
        <f t="shared" si="26"/>
        <v>177.61435078727106</v>
      </c>
      <c r="AJ80" s="86" t="str">
        <f t="shared" si="27"/>
        <v>15.0499999999412-0.0000297339678984196j</v>
      </c>
      <c r="AK80" s="86" t="str">
        <f t="shared" si="28"/>
        <v>30.1-1.18935871594143E-12j</v>
      </c>
      <c r="AL80" s="86" t="str">
        <f t="shared" si="43"/>
        <v>10000-16928076.6901507j</v>
      </c>
      <c r="AM80" s="86" t="str">
        <f t="shared" si="44"/>
        <v>963.138960235892-5253541.43415674j</v>
      </c>
      <c r="AN80" s="86" t="str">
        <f t="shared" si="45"/>
        <v>10963.1389602359-5253541.43415674j</v>
      </c>
      <c r="AO80" s="86" t="str">
        <f t="shared" si="46"/>
        <v>30.0999996391286-0.000172456246982857j</v>
      </c>
      <c r="AP80" s="86" t="str">
        <f t="shared" si="47"/>
        <v>0.666666666667246+4.39039753470724E-07j</v>
      </c>
      <c r="AQ80" s="86" t="str">
        <f t="shared" si="29"/>
        <v>1+0.0733456034448619j</v>
      </c>
      <c r="AR80" s="86">
        <f t="shared" si="30"/>
        <v>9.990371603764513E-8</v>
      </c>
      <c r="AS80" s="86" t="str">
        <f t="shared" si="31"/>
        <v>3.86717424669463E-07j</v>
      </c>
      <c r="AT80" s="86" t="str">
        <f t="shared" si="32"/>
        <v>9.99037160376451E-08+3.86717424669463E-07j</v>
      </c>
      <c r="AU80" s="86" t="str">
        <f t="shared" si="33"/>
        <v>80.4029581812781-237.815624097822j</v>
      </c>
      <c r="AW80" s="86" t="str">
        <f t="shared" si="48"/>
        <v>53.4573357769604-158.59250817213j</v>
      </c>
      <c r="AX80" s="86">
        <f t="shared" si="34"/>
        <v>44.473017961918295</v>
      </c>
      <c r="AY80" s="86">
        <f t="shared" si="35"/>
        <v>108.62759941127099</v>
      </c>
      <c r="AZ80" s="86" t="str">
        <f t="shared" si="36"/>
        <v>502.211921364105-1527.13792859502j</v>
      </c>
      <c r="BA80" s="86">
        <f t="shared" si="37"/>
        <v>64.123541981053322</v>
      </c>
      <c r="BB80" s="86">
        <f t="shared" si="38"/>
        <v>108.20387730116146</v>
      </c>
      <c r="BD80" s="86" t="str">
        <f t="shared" si="39"/>
        <v>113.394883530064-389.243774980776j</v>
      </c>
      <c r="BE80" s="86">
        <f t="shared" si="40"/>
        <v>52.158202193906732</v>
      </c>
      <c r="BF80" s="86">
        <f t="shared" si="41"/>
        <v>106.241950198542</v>
      </c>
      <c r="BH80" s="86">
        <f t="shared" si="49"/>
        <v>-51.158202193906732</v>
      </c>
      <c r="BI80" s="157">
        <f t="shared" si="50"/>
        <v>-106.241950198542</v>
      </c>
      <c r="BJ80" s="88"/>
      <c r="BK80" s="88"/>
      <c r="BL80" s="88"/>
      <c r="BM80" s="88"/>
      <c r="BN80" s="42"/>
      <c r="BO80" s="42"/>
      <c r="BP80" s="42"/>
    </row>
    <row r="81" spans="1:68" s="86" customFormat="1">
      <c r="A81" s="86">
        <v>17</v>
      </c>
      <c r="B81" s="86">
        <f t="shared" si="42"/>
        <v>218.77616239495526</v>
      </c>
      <c r="C81" s="86" t="str">
        <f t="shared" si="0"/>
        <v>1374.61116912112j</v>
      </c>
      <c r="D81" s="86">
        <f t="shared" si="1"/>
        <v>0.99999995213699078</v>
      </c>
      <c r="E81" s="86" t="str">
        <f t="shared" si="2"/>
        <v>-0.00034365279228028j</v>
      </c>
      <c r="F81" s="86" t="str">
        <f t="shared" si="3"/>
        <v>0.999999952136991-0.00034365279228028j</v>
      </c>
      <c r="G81" s="86">
        <f t="shared" si="4"/>
        <v>9.7156998469738473E-8</v>
      </c>
      <c r="H81" s="86">
        <f t="shared" si="5"/>
        <v>-1.9689854782855839E-2</v>
      </c>
      <c r="J81" s="86">
        <f t="shared" si="6"/>
        <v>4.8</v>
      </c>
      <c r="K81" s="86" t="str">
        <f t="shared" si="7"/>
        <v>1+0.056200977649517j</v>
      </c>
      <c r="L81" s="86">
        <f t="shared" si="8"/>
        <v>0.99969098203362983</v>
      </c>
      <c r="M81" s="86" t="str">
        <f t="shared" si="9"/>
        <v>0.00785865205386544j</v>
      </c>
      <c r="N81" s="86" t="str">
        <f t="shared" si="10"/>
        <v>0.99969098203363+0.00785865205386544j</v>
      </c>
      <c r="O81" s="86" t="str">
        <f t="shared" si="11"/>
        <v>1.00068921131755+0.0483518509143552j</v>
      </c>
      <c r="P81" s="86" t="str">
        <f t="shared" si="12"/>
        <v>4.80330821432424+0.232088884388905j</v>
      </c>
      <c r="R81" s="86">
        <f t="shared" si="13"/>
        <v>11.52</v>
      </c>
      <c r="S81" s="86" t="str">
        <f t="shared" si="14"/>
        <v>1+0.000116841949375295j</v>
      </c>
      <c r="T81" s="86" t="str">
        <f t="shared" si="15"/>
        <v>0.99969098203363+0.00785865205386544j</v>
      </c>
      <c r="U81" s="86" t="str">
        <f t="shared" si="16"/>
        <v>1.00024822033808-0.00774615448266522j</v>
      </c>
      <c r="V81" s="86" t="str">
        <f t="shared" si="17"/>
        <v>11.5228594982947-0.0892356996403033j</v>
      </c>
      <c r="X81" s="86" t="str">
        <f t="shared" si="18"/>
        <v>2.96307680009029+0.1421509421643j</v>
      </c>
      <c r="Y81" s="86">
        <f t="shared" si="19"/>
        <v>9.4448420271925073</v>
      </c>
      <c r="Z81" s="86">
        <f t="shared" si="20"/>
        <v>-177.25339238191393</v>
      </c>
      <c r="AB81" s="86" t="str">
        <f t="shared" si="21"/>
        <v>9.60558477683786-0.0743878789932505j</v>
      </c>
      <c r="AC81" s="86">
        <f t="shared" si="22"/>
        <v>19.65073663911248</v>
      </c>
      <c r="AD81" s="86">
        <f t="shared" si="23"/>
        <v>179.5562970489286</v>
      </c>
      <c r="AF81" s="86" t="str">
        <f t="shared" si="24"/>
        <v>2.41998277445973-0.105572193401487j</v>
      </c>
      <c r="AG81" s="86">
        <f t="shared" si="25"/>
        <v>7.6845029425518154</v>
      </c>
      <c r="AH81" s="86">
        <f t="shared" si="26"/>
        <v>177.50204494922244</v>
      </c>
      <c r="AJ81" s="86" t="str">
        <f t="shared" si="27"/>
        <v>15.0499999999356-0.0000311352866332523j</v>
      </c>
      <c r="AK81" s="86" t="str">
        <f t="shared" si="28"/>
        <v>30.1-1.24541146533543E-12j</v>
      </c>
      <c r="AL81" s="86" t="str">
        <f t="shared" si="43"/>
        <v>10000-16166187.7346962j</v>
      </c>
      <c r="AM81" s="86" t="str">
        <f t="shared" si="44"/>
        <v>963.13894481297-5017093.15612895j</v>
      </c>
      <c r="AN81" s="86" t="str">
        <f t="shared" si="45"/>
        <v>10963.138944813-5017093.15612895j</v>
      </c>
      <c r="AO81" s="86" t="str">
        <f t="shared" si="46"/>
        <v>30.0999996043125-0.000180583781916466j</v>
      </c>
      <c r="AP81" s="86" t="str">
        <f t="shared" si="47"/>
        <v>0.666666666667301+4.59731059588344E-07j</v>
      </c>
      <c r="AQ81" s="86" t="str">
        <f t="shared" si="29"/>
        <v>1+0.0768022752411352j</v>
      </c>
      <c r="AR81" s="86">
        <f t="shared" si="30"/>
        <v>9.9894426734639621E-8</v>
      </c>
      <c r="AS81" s="86" t="str">
        <f t="shared" si="31"/>
        <v>4.04942855400117E-07j</v>
      </c>
      <c r="AT81" s="86" t="str">
        <f t="shared" si="32"/>
        <v>9.98944267346396E-08+4.04942855400117E-07j</v>
      </c>
      <c r="AU81" s="86" t="str">
        <f t="shared" si="33"/>
        <v>75.3028035909773-228.372147750064j</v>
      </c>
      <c r="AW81" s="86" t="str">
        <f t="shared" si="48"/>
        <v>50.0564293869532-152.295907393612j</v>
      </c>
      <c r="AX81" s="86">
        <f t="shared" si="34"/>
        <v>44.099278768163472</v>
      </c>
      <c r="AY81" s="86">
        <f t="shared" si="35"/>
        <v>108.19459573559463</v>
      </c>
      <c r="AZ81" s="86" t="str">
        <f t="shared" si="36"/>
        <v>469.492306571814-1466.61484124686j</v>
      </c>
      <c r="BA81" s="86">
        <f t="shared" si="37"/>
        <v>63.75001540727596</v>
      </c>
      <c r="BB81" s="86">
        <f t="shared" si="38"/>
        <v>107.75089278452323</v>
      </c>
      <c r="BD81" s="86" t="str">
        <f t="shared" si="39"/>
        <v>105.057483877773-373.838039557483j</v>
      </c>
      <c r="BE81" s="86">
        <f t="shared" si="40"/>
        <v>51.783781710715296</v>
      </c>
      <c r="BF81" s="86">
        <f t="shared" si="41"/>
        <v>105.69664068481701</v>
      </c>
      <c r="BH81" s="86">
        <f t="shared" si="49"/>
        <v>-50.783781710715296</v>
      </c>
      <c r="BI81" s="157">
        <f t="shared" si="50"/>
        <v>-105.69664068481701</v>
      </c>
      <c r="BJ81" s="88"/>
      <c r="BK81" s="88"/>
      <c r="BL81" s="88"/>
      <c r="BM81" s="88"/>
      <c r="BN81" s="42"/>
      <c r="BO81" s="42"/>
      <c r="BP81" s="42"/>
    </row>
    <row r="82" spans="1:68" s="86" customFormat="1">
      <c r="A82" s="86">
        <v>18</v>
      </c>
      <c r="B82" s="86">
        <f t="shared" si="42"/>
        <v>229.08676527677733</v>
      </c>
      <c r="C82" s="86" t="str">
        <f t="shared" si="0"/>
        <v>1439.39459765635j</v>
      </c>
      <c r="D82" s="86">
        <f t="shared" si="1"/>
        <v>0.99999994751925403</v>
      </c>
      <c r="E82" s="86" t="str">
        <f t="shared" si="2"/>
        <v>-0.000359848649414088j</v>
      </c>
      <c r="F82" s="86" t="str">
        <f t="shared" si="3"/>
        <v>0.999999947519254-0.000359848649414088j</v>
      </c>
      <c r="G82" s="86">
        <f t="shared" si="4"/>
        <v>1.0653053134642052E-7</v>
      </c>
      <c r="H82" s="86">
        <f t="shared" si="5"/>
        <v>-2.0617809067007446E-2</v>
      </c>
      <c r="J82" s="86">
        <f t="shared" si="6"/>
        <v>4.8</v>
      </c>
      <c r="K82" s="86" t="str">
        <f t="shared" si="7"/>
        <v>1+0.0588496481251799j</v>
      </c>
      <c r="L82" s="86">
        <f t="shared" si="8"/>
        <v>0.99966116853765852</v>
      </c>
      <c r="M82" s="86" t="str">
        <f t="shared" si="9"/>
        <v>0.00822901891480135j</v>
      </c>
      <c r="N82" s="86" t="str">
        <f t="shared" si="10"/>
        <v>0.999661168537659+0.00822901891480135j</v>
      </c>
      <c r="O82" s="86" t="str">
        <f t="shared" si="11"/>
        <v>1.00075573564213+0.0506315658149706j</v>
      </c>
      <c r="P82" s="86" t="str">
        <f t="shared" si="12"/>
        <v>4.80362753108222+0.243031515911859j</v>
      </c>
      <c r="R82" s="86">
        <f t="shared" si="13"/>
        <v>11.52</v>
      </c>
      <c r="S82" s="86" t="str">
        <f t="shared" si="14"/>
        <v>1+0.00012234854080079j</v>
      </c>
      <c r="T82" s="86" t="str">
        <f t="shared" si="15"/>
        <v>0.999661168537659+0.00822901891480135j</v>
      </c>
      <c r="U82" s="86" t="str">
        <f t="shared" si="16"/>
        <v>1.00027217269118-0.00811165857336081j</v>
      </c>
      <c r="V82" s="86" t="str">
        <f t="shared" si="17"/>
        <v>11.5231354294024-0.0934463067651165j</v>
      </c>
      <c r="X82" s="86" t="str">
        <f t="shared" si="18"/>
        <v>2.96327851185795+0.148853087667344j</v>
      </c>
      <c r="Y82" s="86">
        <f t="shared" si="19"/>
        <v>9.4463942320641596</v>
      </c>
      <c r="Z82" s="86">
        <f t="shared" si="20"/>
        <v>-177.12430302574083</v>
      </c>
      <c r="AB82" s="86" t="str">
        <f t="shared" si="21"/>
        <v>9.6058147961007-0.0778978882670194j</v>
      </c>
      <c r="AC82" s="86">
        <f t="shared" si="22"/>
        <v>19.650969776860801</v>
      </c>
      <c r="AD82" s="86">
        <f t="shared" si="23"/>
        <v>179.53537284543498</v>
      </c>
      <c r="AF82" s="86" t="str">
        <f t="shared" si="24"/>
        <v>2.41955296273145-0.110528648499878j</v>
      </c>
      <c r="AG82" s="86">
        <f t="shared" si="25"/>
        <v>7.6837560460620526</v>
      </c>
      <c r="AH82" s="86">
        <f t="shared" si="26"/>
        <v>177.38446499004613</v>
      </c>
      <c r="AJ82" s="86" t="str">
        <f t="shared" si="27"/>
        <v>15.0499999999294-0.0000326026474854128j</v>
      </c>
      <c r="AK82" s="86" t="str">
        <f t="shared" si="28"/>
        <v>30.1-1.30410589942263E-12j</v>
      </c>
      <c r="AL82" s="86" t="str">
        <f t="shared" si="43"/>
        <v>9999.99999999999-15438589.4308655j</v>
      </c>
      <c r="AM82" s="86" t="str">
        <f t="shared" si="44"/>
        <v>963.138927902064-4791286.8053387j</v>
      </c>
      <c r="AN82" s="86" t="str">
        <f t="shared" si="45"/>
        <v>10963.1389279021-4791286.8053387j</v>
      </c>
      <c r="AO82" s="86" t="str">
        <f t="shared" si="46"/>
        <v>30.0999995661376-0.000189094344276298j</v>
      </c>
      <c r="AP82" s="86" t="str">
        <f t="shared" si="47"/>
        <v>0.666666666667362+4.81397516920558E-07j</v>
      </c>
      <c r="AQ82" s="86" t="str">
        <f t="shared" si="29"/>
        <v>1+0.0804218549602556j</v>
      </c>
      <c r="AR82" s="86">
        <f t="shared" si="30"/>
        <v>9.9884241216436701E-8</v>
      </c>
      <c r="AS82" s="86" t="str">
        <f t="shared" si="31"/>
        <v>4.24027224218711E-07j</v>
      </c>
      <c r="AT82" s="86" t="str">
        <f t="shared" si="32"/>
        <v>9.98842412164367E-08+4.24027224218711E-07j</v>
      </c>
      <c r="AU82" s="86" t="str">
        <f t="shared" si="33"/>
        <v>70.6018324161954-219.202881871274j</v>
      </c>
      <c r="AW82" s="86" t="str">
        <f t="shared" si="48"/>
        <v>46.9217079335554-146.182181945833j</v>
      </c>
      <c r="AX82" s="86">
        <f t="shared" si="34"/>
        <v>43.723757414764904</v>
      </c>
      <c r="AY82" s="86">
        <f t="shared" si="35"/>
        <v>107.79564504551766</v>
      </c>
      <c r="AZ82" s="86" t="str">
        <f t="shared" si="36"/>
        <v>439.333953050617-1407.85406822347j</v>
      </c>
      <c r="BA82" s="86">
        <f t="shared" si="37"/>
        <v>63.374727191625695</v>
      </c>
      <c r="BB82" s="86">
        <f t="shared" si="38"/>
        <v>107.33101789095269</v>
      </c>
      <c r="BD82" s="86" t="str">
        <f t="shared" si="39"/>
        <v>97.3722384418178-358.881724388789j</v>
      </c>
      <c r="BE82" s="86">
        <f t="shared" si="40"/>
        <v>51.407513460826941</v>
      </c>
      <c r="BF82" s="86">
        <f t="shared" si="41"/>
        <v>105.18011003556387</v>
      </c>
      <c r="BH82" s="86">
        <f t="shared" si="49"/>
        <v>-50.407513460826941</v>
      </c>
      <c r="BI82" s="157">
        <f t="shared" si="50"/>
        <v>-105.18011003556387</v>
      </c>
      <c r="BJ82" s="88"/>
      <c r="BK82" s="88"/>
      <c r="BL82" s="88"/>
      <c r="BM82" s="88"/>
      <c r="BN82" s="42"/>
      <c r="BO82" s="42"/>
      <c r="BP82" s="42"/>
    </row>
    <row r="83" spans="1:68" s="86" customFormat="1">
      <c r="A83" s="86">
        <v>19</v>
      </c>
      <c r="B83" s="86">
        <f t="shared" si="42"/>
        <v>239.88329190194909</v>
      </c>
      <c r="C83" s="86" t="str">
        <f t="shared" si="0"/>
        <v>1507.2311751162j</v>
      </c>
      <c r="D83" s="86">
        <f t="shared" si="1"/>
        <v>0.99999994245600632</v>
      </c>
      <c r="E83" s="86" t="str">
        <f t="shared" si="2"/>
        <v>-0.00037680779377905j</v>
      </c>
      <c r="F83" s="86" t="str">
        <f t="shared" si="3"/>
        <v>0.999999942456006-0.00037680779377905j</v>
      </c>
      <c r="G83" s="86">
        <f t="shared" si="4"/>
        <v>1.168084027843864E-7</v>
      </c>
      <c r="H83" s="86">
        <f t="shared" si="5"/>
        <v>-2.1589496491732772E-2</v>
      </c>
      <c r="J83" s="86">
        <f t="shared" si="6"/>
        <v>4.8</v>
      </c>
      <c r="K83" s="86" t="str">
        <f t="shared" si="7"/>
        <v>1+0.0616231465946258j</v>
      </c>
      <c r="L83" s="86">
        <f t="shared" si="8"/>
        <v>0.99962847868937532</v>
      </c>
      <c r="M83" s="86" t="str">
        <f t="shared" si="9"/>
        <v>0.00861684062813931j</v>
      </c>
      <c r="N83" s="86" t="str">
        <f t="shared" si="10"/>
        <v>0.999628478689375+0.00861684062813931j</v>
      </c>
      <c r="O83" s="86" t="str">
        <f t="shared" si="11"/>
        <v>1.00082868427694+0.0530188629635972j</v>
      </c>
      <c r="P83" s="86" t="str">
        <f t="shared" si="12"/>
        <v>4.80397768452931+0.254490542225267j</v>
      </c>
      <c r="R83" s="86">
        <f t="shared" si="13"/>
        <v>11.52</v>
      </c>
      <c r="S83" s="86" t="str">
        <f t="shared" si="14"/>
        <v>1+0.000128114649884877j</v>
      </c>
      <c r="T83" s="86" t="str">
        <f t="shared" si="15"/>
        <v>0.999628478689375+0.00861684062813931j</v>
      </c>
      <c r="U83" s="86" t="str">
        <f t="shared" si="16"/>
        <v>1.00029843683483-0.00849445343136958j</v>
      </c>
      <c r="V83" s="86" t="str">
        <f t="shared" si="17"/>
        <v>11.5234379923372-0.0978561035293776j</v>
      </c>
      <c r="X83" s="86" t="str">
        <f t="shared" si="18"/>
        <v>2.96349970286817+0.155871507167108j</v>
      </c>
      <c r="Y83" s="86">
        <f t="shared" si="19"/>
        <v>9.4480957360396385</v>
      </c>
      <c r="Z83" s="86">
        <f t="shared" si="20"/>
        <v>-176.98918221365486</v>
      </c>
      <c r="AB83" s="86" t="str">
        <f t="shared" si="21"/>
        <v>9.60606701595298-0.0815739442559j</v>
      </c>
      <c r="AC83" s="86">
        <f t="shared" si="22"/>
        <v>19.651225412823841</v>
      </c>
      <c r="AD83" s="86">
        <f t="shared" si="23"/>
        <v>179.51346056888775</v>
      </c>
      <c r="AF83" s="86" t="str">
        <f t="shared" si="24"/>
        <v>2.41908185321773-0.115715885722322j</v>
      </c>
      <c r="AG83" s="86">
        <f t="shared" si="25"/>
        <v>7.6829372376000569</v>
      </c>
      <c r="AH83" s="86">
        <f t="shared" si="26"/>
        <v>177.26136510966742</v>
      </c>
      <c r="AJ83" s="86" t="str">
        <f t="shared" si="27"/>
        <v>15.0499999999226-0.000034139162924j</v>
      </c>
      <c r="AK83" s="86" t="str">
        <f t="shared" si="28"/>
        <v>30.1-1.36556651696703E-12j</v>
      </c>
      <c r="AL83" s="86" t="str">
        <f t="shared" si="43"/>
        <v>10000-14743738.4451055j</v>
      </c>
      <c r="AM83" s="86" t="str">
        <f t="shared" si="44"/>
        <v>963.138909359631-4575643.41624159j</v>
      </c>
      <c r="AN83" s="86" t="str">
        <f t="shared" si="45"/>
        <v>10963.1389093596-4575643.41624159j</v>
      </c>
      <c r="AO83" s="86" t="str">
        <f t="shared" si="46"/>
        <v>30.0999995242796-0.000198005983884999j</v>
      </c>
      <c r="AP83" s="86" t="str">
        <f t="shared" si="47"/>
        <v>0.666666666667428+5.04085082928228E-07j</v>
      </c>
      <c r="AQ83" s="86" t="str">
        <f t="shared" si="29"/>
        <v>1+0.0842120202160923j</v>
      </c>
      <c r="AR83" s="86">
        <f t="shared" si="30"/>
        <v>9.9873073017810784E-8</v>
      </c>
      <c r="AS83" s="86" t="str">
        <f t="shared" si="31"/>
        <v>4.44011011630191E-07j</v>
      </c>
      <c r="AT83" s="86" t="str">
        <f t="shared" si="32"/>
        <v>9.98730730178108E-08+4.44011011630191E-07j</v>
      </c>
      <c r="AU83" s="86" t="str">
        <f t="shared" si="33"/>
        <v>66.2726275310855-210.312687265696j</v>
      </c>
      <c r="AW83" s="86" t="str">
        <f t="shared" si="48"/>
        <v>44.0348890095101-140.254574318282j</v>
      </c>
      <c r="AX83" s="86">
        <f t="shared" si="34"/>
        <v>43.34663148570953</v>
      </c>
      <c r="AY83" s="86">
        <f t="shared" si="35"/>
        <v>107.43041173381158</v>
      </c>
      <c r="AZ83" s="86" t="str">
        <f t="shared" si="36"/>
        <v>411.560976038331-1350.88693977675j</v>
      </c>
      <c r="BA83" s="86">
        <f t="shared" si="37"/>
        <v>62.997856898533364</v>
      </c>
      <c r="BB83" s="86">
        <f t="shared" si="38"/>
        <v>106.94387230269933</v>
      </c>
      <c r="BD83" s="86" t="str">
        <f t="shared" si="39"/>
        <v>90.2943186175157-344.382831748553j</v>
      </c>
      <c r="BE83" s="86">
        <f t="shared" si="40"/>
        <v>51.02956872330958</v>
      </c>
      <c r="BF83" s="86">
        <f t="shared" si="41"/>
        <v>104.69177684347903</v>
      </c>
      <c r="BH83" s="86">
        <f t="shared" si="49"/>
        <v>-50.02956872330958</v>
      </c>
      <c r="BI83" s="157">
        <f t="shared" si="50"/>
        <v>-104.69177684347903</v>
      </c>
      <c r="BJ83" s="88"/>
      <c r="BK83" s="88"/>
      <c r="BL83" s="88"/>
      <c r="BM83" s="88"/>
      <c r="BN83" s="42"/>
      <c r="BO83" s="42"/>
      <c r="BP83" s="42"/>
    </row>
    <row r="84" spans="1:68" s="86" customFormat="1">
      <c r="A84" s="86">
        <v>20</v>
      </c>
      <c r="B84" s="86">
        <f t="shared" si="42"/>
        <v>251.18864315095806</v>
      </c>
      <c r="C84" s="86" t="str">
        <f t="shared" si="0"/>
        <v>1578.26479197648j</v>
      </c>
      <c r="D84" s="86">
        <f t="shared" si="1"/>
        <v>0.99999993690426559</v>
      </c>
      <c r="E84" s="86" t="str">
        <f t="shared" si="2"/>
        <v>-0.00039456619799412j</v>
      </c>
      <c r="F84" s="86" t="str">
        <f t="shared" si="3"/>
        <v>0.999999936904266-0.00039456619799412j</v>
      </c>
      <c r="G84" s="86">
        <f t="shared" si="4"/>
        <v>1.2807787284293302E-7</v>
      </c>
      <c r="H84" s="86">
        <f t="shared" si="5"/>
        <v>-2.2606978136819965E-2</v>
      </c>
      <c r="J84" s="86">
        <f t="shared" si="6"/>
        <v>4.8</v>
      </c>
      <c r="K84" s="86" t="str">
        <f t="shared" si="7"/>
        <v>1+0.0645273560199584j</v>
      </c>
      <c r="L84" s="86">
        <f t="shared" si="8"/>
        <v>0.99959263498349749</v>
      </c>
      <c r="M84" s="86" t="str">
        <f t="shared" si="9"/>
        <v>0.00902293981572953j</v>
      </c>
      <c r="N84" s="86" t="str">
        <f t="shared" si="10"/>
        <v>0.999592634983497+0.00902293981572953j</v>
      </c>
      <c r="O84" s="86" t="str">
        <f t="shared" si="11"/>
        <v>1.00090867827523+0.0555188336854401j</v>
      </c>
      <c r="P84" s="86" t="str">
        <f t="shared" si="12"/>
        <v>4.8043616557211+0.266490401690112j</v>
      </c>
      <c r="R84" s="86">
        <f t="shared" si="13"/>
        <v>11.52</v>
      </c>
      <c r="S84" s="86" t="str">
        <f t="shared" si="14"/>
        <v>1+0.000134152507318001j</v>
      </c>
      <c r="T84" s="86" t="str">
        <f t="shared" si="15"/>
        <v>0.999592634983497+0.00902293981572953j</v>
      </c>
      <c r="U84" s="86" t="str">
        <f t="shared" si="16"/>
        <v>1.00032723599061-0.0088953635989996j</v>
      </c>
      <c r="V84" s="86" t="str">
        <f t="shared" si="17"/>
        <v>11.5237697586118-0.102474588660475j</v>
      </c>
      <c r="X84" s="86" t="str">
        <f t="shared" si="18"/>
        <v>2.96374225617816+0.163221167189838j</v>
      </c>
      <c r="Y84" s="86">
        <f t="shared" si="19"/>
        <v>9.4499608516021532</v>
      </c>
      <c r="Z84" s="86">
        <f t="shared" si="20"/>
        <v>-176.84775340756752</v>
      </c>
      <c r="AB84" s="86" t="str">
        <f t="shared" si="21"/>
        <v>9.60634358003651-0.0854239652054643j</v>
      </c>
      <c r="AC84" s="86">
        <f t="shared" si="22"/>
        <v>19.651505718702456</v>
      </c>
      <c r="AD84" s="86">
        <f t="shared" si="23"/>
        <v>179.49051336436116</v>
      </c>
      <c r="AF84" s="86" t="str">
        <f t="shared" si="24"/>
        <v>2.41856549578642-0.121144367448298j</v>
      </c>
      <c r="AG84" s="86">
        <f t="shared" si="25"/>
        <v>7.6820396089460097</v>
      </c>
      <c r="AH84" s="86">
        <f t="shared" si="26"/>
        <v>177.13248833104333</v>
      </c>
      <c r="AJ84" s="86" t="str">
        <f t="shared" si="27"/>
        <v>15.0499999999151-0.0000357480921042635j</v>
      </c>
      <c r="AK84" s="86" t="str">
        <f t="shared" si="28"/>
        <v>30.1-1.42992368417861E-12j</v>
      </c>
      <c r="AL84" s="86" t="str">
        <f t="shared" si="43"/>
        <v>10000-14080160.9053149j</v>
      </c>
      <c r="AM84" s="86" t="str">
        <f t="shared" si="44"/>
        <v>963.138889028259-4369705.58029752j</v>
      </c>
      <c r="AN84" s="86" t="str">
        <f t="shared" si="45"/>
        <v>10963.1388890283-4369705.58029752j</v>
      </c>
      <c r="AO84" s="86" t="str">
        <f t="shared" si="46"/>
        <v>30.0999994783831-0.000207337600975932j</v>
      </c>
      <c r="AP84" s="86" t="str">
        <f t="shared" si="47"/>
        <v>0.666666666667502+5.27841880980638E-07j</v>
      </c>
      <c r="AQ84" s="86" t="str">
        <f t="shared" si="29"/>
        <v>1+0.0881808104573099j</v>
      </c>
      <c r="AR84" s="86">
        <f t="shared" si="30"/>
        <v>9.9860827331527271E-8</v>
      </c>
      <c r="AS84" s="86" t="str">
        <f t="shared" si="31"/>
        <v>4.64936605926934E-07j</v>
      </c>
      <c r="AT84" s="86" t="str">
        <f t="shared" si="32"/>
        <v>9.98608273315273E-08+4.64936605926934E-07j</v>
      </c>
      <c r="AU84" s="86" t="str">
        <f t="shared" si="33"/>
        <v>62.2890311733473-201.704414360714j</v>
      </c>
      <c r="AW84" s="86" t="str">
        <f t="shared" si="48"/>
        <v>41.3785299802055-134.514986489065j</v>
      </c>
      <c r="AX84" s="86">
        <f t="shared" si="34"/>
        <v>42.968069562297899</v>
      </c>
      <c r="AY84" s="86">
        <f t="shared" si="35"/>
        <v>107.09856676191011</v>
      </c>
      <c r="AZ84" s="86" t="str">
        <f t="shared" si="36"/>
        <v>386.00557230124-1295.73189498321j</v>
      </c>
      <c r="BA84" s="86">
        <f t="shared" si="37"/>
        <v>62.619575281000365</v>
      </c>
      <c r="BB84" s="86">
        <f t="shared" si="38"/>
        <v>106.58908012627127</v>
      </c>
      <c r="BD84" s="86" t="str">
        <f t="shared" si="39"/>
        <v>83.7809519259549-330.346080829022j</v>
      </c>
      <c r="BE84" s="86">
        <f t="shared" si="40"/>
        <v>50.650109171243926</v>
      </c>
      <c r="BF84" s="86">
        <f t="shared" si="41"/>
        <v>104.23105509295343</v>
      </c>
      <c r="BH84" s="86">
        <f t="shared" si="49"/>
        <v>-49.650109171243926</v>
      </c>
      <c r="BI84" s="157">
        <f t="shared" si="50"/>
        <v>-104.23105509295343</v>
      </c>
      <c r="BJ84" s="88"/>
      <c r="BK84" s="88"/>
      <c r="BL84" s="88"/>
      <c r="BM84" s="88"/>
      <c r="BN84" s="42"/>
      <c r="BO84" s="42"/>
      <c r="BP84" s="42"/>
    </row>
    <row r="85" spans="1:68" s="86" customFormat="1">
      <c r="A85" s="86">
        <v>21</v>
      </c>
      <c r="B85" s="86">
        <f t="shared" si="42"/>
        <v>263.02679918953822</v>
      </c>
      <c r="C85" s="86" t="str">
        <f t="shared" si="0"/>
        <v>1652.64612006218j</v>
      </c>
      <c r="D85" s="86">
        <f t="shared" si="1"/>
        <v>0.99999993081690286</v>
      </c>
      <c r="E85" s="86" t="str">
        <f t="shared" si="2"/>
        <v>-0.000413161530015545j</v>
      </c>
      <c r="F85" s="86" t="str">
        <f t="shared" si="3"/>
        <v>0.999999930816903-0.000413161530015545j</v>
      </c>
      <c r="G85" s="86">
        <f t="shared" si="4"/>
        <v>1.4043459315806218E-7</v>
      </c>
      <c r="H85" s="86">
        <f t="shared" si="5"/>
        <v>-2.3672412217809583E-2</v>
      </c>
      <c r="J85" s="86">
        <f t="shared" si="6"/>
        <v>4.8</v>
      </c>
      <c r="K85" s="86" t="str">
        <f t="shared" si="7"/>
        <v>1+0.0675684366187422j</v>
      </c>
      <c r="L85" s="86">
        <f t="shared" si="8"/>
        <v>0.9995533331415335</v>
      </c>
      <c r="M85" s="86" t="str">
        <f t="shared" si="9"/>
        <v>0.00944817786839548j</v>
      </c>
      <c r="N85" s="86" t="str">
        <f t="shared" si="10"/>
        <v>0.999553333141533+0.00944817786839548j</v>
      </c>
      <c r="O85" s="86" t="str">
        <f t="shared" si="11"/>
        <v>1.00099639886092+0.0581368123840297j</v>
      </c>
      <c r="P85" s="86" t="str">
        <f t="shared" si="12"/>
        <v>4.80478271453242+0.279056699443343j</v>
      </c>
      <c r="R85" s="86">
        <f t="shared" si="13"/>
        <v>11.52</v>
      </c>
      <c r="S85" s="86" t="str">
        <f t="shared" si="14"/>
        <v>1+0.000140474920205285j</v>
      </c>
      <c r="T85" s="86" t="str">
        <f t="shared" si="15"/>
        <v>0.999553333141533+0.00944817786839548j</v>
      </c>
      <c r="U85" s="86" t="str">
        <f t="shared" si="16"/>
        <v>1.00035881495338-0.00931525391089173j</v>
      </c>
      <c r="V85" s="86" t="str">
        <f t="shared" si="17"/>
        <v>11.5241335482629-0.107311725053473j</v>
      </c>
      <c r="X85" s="86" t="str">
        <f t="shared" si="18"/>
        <v>2.96400823727536+0.170917748651309j</v>
      </c>
      <c r="Y85" s="86">
        <f t="shared" si="19"/>
        <v>9.452005253662314</v>
      </c>
      <c r="Z85" s="86">
        <f t="shared" si="20"/>
        <v>-176.69972816976608</v>
      </c>
      <c r="AB85" s="86" t="str">
        <f t="shared" si="21"/>
        <v>9.60664683916547-0.0894562562966597j</v>
      </c>
      <c r="AC85" s="86">
        <f t="shared" si="22"/>
        <v>19.651813075944485</v>
      </c>
      <c r="AD85" s="86">
        <f t="shared" si="23"/>
        <v>179.46648212593115</v>
      </c>
      <c r="AF85" s="86" t="str">
        <f t="shared" si="24"/>
        <v>2.4179995660852-0.126824988314691j</v>
      </c>
      <c r="AG85" s="86">
        <f t="shared" si="25"/>
        <v>7.6810555913767766</v>
      </c>
      <c r="AH85" s="86">
        <f t="shared" si="26"/>
        <v>176.99756603324911</v>
      </c>
      <c r="AJ85" s="86" t="str">
        <f t="shared" si="27"/>
        <v>15.0499999999069-0.0000374328477807068j</v>
      </c>
      <c r="AK85" s="86" t="str">
        <f t="shared" si="28"/>
        <v>30.1-1.49731391123754E-12j</v>
      </c>
      <c r="AL85" s="86" t="str">
        <f t="shared" si="43"/>
        <v>10000-13446449.2745647j</v>
      </c>
      <c r="AM85" s="86" t="str">
        <f t="shared" si="44"/>
        <v>963.138866735346-4173036.47574591j</v>
      </c>
      <c r="AN85" s="86" t="str">
        <f t="shared" si="45"/>
        <v>10963.1388667353-4173036.47574591j</v>
      </c>
      <c r="AO85" s="86" t="str">
        <f t="shared" si="46"/>
        <v>30.099999428059-0.000217108986233376j</v>
      </c>
      <c r="AP85" s="86" t="str">
        <f t="shared" si="47"/>
        <v>0.666666666667583+5.52718302431576E-07j</v>
      </c>
      <c r="AQ85" s="86" t="str">
        <f t="shared" si="29"/>
        <v>1+0.0923366440201141j</v>
      </c>
      <c r="AR85" s="86">
        <f t="shared" si="30"/>
        <v>9.9847400203520592E-8</v>
      </c>
      <c r="AS85" s="86" t="str">
        <f t="shared" si="31"/>
        <v>4.86848393099981E-07j</v>
      </c>
      <c r="AT85" s="86" t="str">
        <f t="shared" si="32"/>
        <v>9.98474002035206E-08+4.86848393099981E-07j</v>
      </c>
      <c r="AU85" s="86" t="str">
        <f t="shared" si="33"/>
        <v>58.6261962367615-193.37914647816j</v>
      </c>
      <c r="AW85" s="86" t="str">
        <f t="shared" si="48"/>
        <v>38.9360621866574-128.964142146678j</v>
      </c>
      <c r="AX85" s="86">
        <f t="shared" si="34"/>
        <v>42.588231922678929</v>
      </c>
      <c r="AY85" s="86">
        <f t="shared" si="35"/>
        <v>106.79979318716796</v>
      </c>
      <c r="AZ85" s="86" t="str">
        <f t="shared" si="36"/>
        <v>362.50834938205-1242.39604287722j</v>
      </c>
      <c r="BA85" s="86">
        <f t="shared" si="37"/>
        <v>62.240044998623389</v>
      </c>
      <c r="BB85" s="86">
        <f t="shared" si="38"/>
        <v>106.26627531309913</v>
      </c>
      <c r="BD85" s="86" t="str">
        <f t="shared" si="39"/>
        <v>77.7915056516375-316.77330538306j</v>
      </c>
      <c r="BE85" s="86">
        <f t="shared" si="40"/>
        <v>50.269287514055698</v>
      </c>
      <c r="BF85" s="86">
        <f t="shared" si="41"/>
        <v>103.79735922041712</v>
      </c>
      <c r="BH85" s="86">
        <f t="shared" si="49"/>
        <v>-49.269287514055698</v>
      </c>
      <c r="BI85" s="157">
        <f t="shared" si="50"/>
        <v>-103.79735922041712</v>
      </c>
      <c r="BJ85" s="88"/>
      <c r="BK85" s="88"/>
      <c r="BL85" s="88"/>
      <c r="BM85" s="88"/>
      <c r="BN85" s="42"/>
      <c r="BO85" s="42"/>
      <c r="BP85" s="42"/>
    </row>
    <row r="86" spans="1:68" s="86" customFormat="1">
      <c r="A86" s="86">
        <v>22</v>
      </c>
      <c r="B86" s="86">
        <f t="shared" si="42"/>
        <v>275.4228703338166</v>
      </c>
      <c r="C86" s="86" t="str">
        <f t="shared" si="0"/>
        <v>1730.53293214266j</v>
      </c>
      <c r="D86" s="86">
        <f t="shared" si="1"/>
        <v>0.99999992414224248</v>
      </c>
      <c r="E86" s="86" t="str">
        <f t="shared" si="2"/>
        <v>-0.000432633233035665j</v>
      </c>
      <c r="F86" s="86" t="str">
        <f t="shared" si="3"/>
        <v>0.999999924142242-0.000432633233035665j</v>
      </c>
      <c r="G86" s="86">
        <f t="shared" si="4"/>
        <v>1.5398346712239609E-7</v>
      </c>
      <c r="H86" s="86">
        <f t="shared" si="5"/>
        <v>-2.4788058663870446E-2</v>
      </c>
      <c r="J86" s="86">
        <f t="shared" si="6"/>
        <v>4.8</v>
      </c>
      <c r="K86" s="86" t="str">
        <f t="shared" si="7"/>
        <v>1+0.0707528389306527j</v>
      </c>
      <c r="L86" s="86">
        <f t="shared" si="8"/>
        <v>0.99951023952875173</v>
      </c>
      <c r="M86" s="86" t="str">
        <f t="shared" si="9"/>
        <v>0.00989345677305959j</v>
      </c>
      <c r="N86" s="86" t="str">
        <f t="shared" si="10"/>
        <v>0.999510239528752+0.00989345677305959j</v>
      </c>
      <c r="O86" s="86" t="str">
        <f t="shared" si="11"/>
        <v>1.00109259328491+0.06087838846138j</v>
      </c>
      <c r="P86" s="86" t="str">
        <f t="shared" si="12"/>
        <v>4.80524444776757+0.292216264614624j</v>
      </c>
      <c r="R86" s="86">
        <f t="shared" si="13"/>
        <v>11.52</v>
      </c>
      <c r="S86" s="86" t="str">
        <f t="shared" si="14"/>
        <v>1+0.000147095299232126j</v>
      </c>
      <c r="T86" s="86" t="str">
        <f t="shared" si="15"/>
        <v>0.999510239528752+0.00989345677305959j</v>
      </c>
      <c r="U86" s="86" t="str">
        <f t="shared" si="16"/>
        <v>1.00039344218016-0.00975503160590595j</v>
      </c>
      <c r="V86" s="86" t="str">
        <f t="shared" si="17"/>
        <v>11.5245324539154-0.112377964100037j</v>
      </c>
      <c r="X86" s="86" t="str">
        <f t="shared" si="18"/>
        <v>2.96429991183116+0.178977681864808j</v>
      </c>
      <c r="Y86" s="86">
        <f t="shared" si="19"/>
        <v>9.4542461073149298</v>
      </c>
      <c r="Z86" s="86">
        <f t="shared" si="20"/>
        <v>-176.54480576744987</v>
      </c>
      <c r="AB86" s="86" t="str">
        <f t="shared" si="21"/>
        <v>9.60697937138663-0.0936795299266731j</v>
      </c>
      <c r="AC86" s="86">
        <f t="shared" si="22"/>
        <v>19.652150096026542</v>
      </c>
      <c r="AD86" s="86">
        <f t="shared" si="23"/>
        <v>179.44131538423477</v>
      </c>
      <c r="AF86" s="86" t="str">
        <f t="shared" si="24"/>
        <v>2.41737933081786-0.132769086711513j</v>
      </c>
      <c r="AG86" s="86">
        <f t="shared" si="25"/>
        <v>7.6799768931467769</v>
      </c>
      <c r="AH86" s="86">
        <f t="shared" si="26"/>
        <v>176.85631747129904</v>
      </c>
      <c r="AJ86" s="86" t="str">
        <f t="shared" si="27"/>
        <v>15.0499999998979-0.0000391970035459983j</v>
      </c>
      <c r="AK86" s="86" t="str">
        <f t="shared" si="28"/>
        <v>30.1-1.56788014185057E-12j</v>
      </c>
      <c r="AL86" s="86" t="str">
        <f t="shared" si="43"/>
        <v>10000-12841259.3655226j</v>
      </c>
      <c r="AM86" s="86" t="str">
        <f t="shared" si="44"/>
        <v>963.13884229166-3985218.9410481j</v>
      </c>
      <c r="AN86" s="86" t="str">
        <f t="shared" si="45"/>
        <v>10963.1388422917-3985218.9410481j</v>
      </c>
      <c r="AO86" s="86" t="str">
        <f t="shared" si="46"/>
        <v>30.0999993728796-0.000227340862714358j</v>
      </c>
      <c r="AP86" s="86" t="str">
        <f t="shared" si="47"/>
        <v>0.666666666667672+5.78767113506178E-07j</v>
      </c>
      <c r="AQ86" s="86" t="str">
        <f t="shared" si="29"/>
        <v>1+0.0966883359846747j</v>
      </c>
      <c r="AR86" s="86">
        <f t="shared" si="30"/>
        <v>9.9832677650424448E-8</v>
      </c>
      <c r="AS86" s="86" t="str">
        <f t="shared" si="31"/>
        <v>5.09792850987696E-07j</v>
      </c>
      <c r="AT86" s="86" t="str">
        <f t="shared" si="32"/>
        <v>9.98326776504244E-08+5.09792850987696E-07j</v>
      </c>
      <c r="AU86" s="86" t="str">
        <f t="shared" si="33"/>
        <v>55.2606126790555-185.336426127967j</v>
      </c>
      <c r="AW86" s="86" t="str">
        <f t="shared" si="48"/>
        <v>36.6918085547884-123.601737590791j</v>
      </c>
      <c r="AX86" s="86">
        <f t="shared" si="34"/>
        <v>42.207271271836674</v>
      </c>
      <c r="AY86" s="86">
        <f t="shared" si="35"/>
        <v>106.53379103116124</v>
      </c>
      <c r="AZ86" s="86" t="str">
        <f t="shared" si="36"/>
        <v>340.918495209094-1190.87661467984j</v>
      </c>
      <c r="BA86" s="86">
        <f t="shared" si="37"/>
        <v>61.85942136786317</v>
      </c>
      <c r="BB86" s="86">
        <f t="shared" si="38"/>
        <v>105.97510641539606</v>
      </c>
      <c r="BD86" s="86" t="str">
        <f t="shared" si="39"/>
        <v>72.2875297947859-303.663823616762j</v>
      </c>
      <c r="BE86" s="86">
        <f t="shared" si="40"/>
        <v>49.887248164983397</v>
      </c>
      <c r="BF86" s="86">
        <f t="shared" si="41"/>
        <v>103.39010850246035</v>
      </c>
      <c r="BH86" s="86">
        <f t="shared" si="49"/>
        <v>-48.887248164983397</v>
      </c>
      <c r="BI86" s="157">
        <f t="shared" si="50"/>
        <v>-103.39010850246035</v>
      </c>
      <c r="BJ86" s="88"/>
      <c r="BK86" s="88"/>
      <c r="BL86" s="88"/>
      <c r="BM86" s="88"/>
      <c r="BN86" s="42"/>
      <c r="BO86" s="42"/>
      <c r="BP86" s="42"/>
    </row>
    <row r="87" spans="1:68" s="86" customFormat="1">
      <c r="A87" s="86">
        <v>23</v>
      </c>
      <c r="B87" s="86">
        <f t="shared" si="42"/>
        <v>288.40315031266061</v>
      </c>
      <c r="C87" s="86" t="str">
        <f t="shared" si="0"/>
        <v>1812.09043658881j</v>
      </c>
      <c r="D87" s="86">
        <f t="shared" si="1"/>
        <v>0.99999991682362288</v>
      </c>
      <c r="E87" s="86" t="str">
        <f t="shared" si="2"/>
        <v>-0.000453022609147202j</v>
      </c>
      <c r="F87" s="86" t="str">
        <f t="shared" si="3"/>
        <v>0.999999916823623-0.000453022609147202j</v>
      </c>
      <c r="G87" s="86">
        <f t="shared" si="4"/>
        <v>1.6883952163698622E-7</v>
      </c>
      <c r="H87" s="86">
        <f t="shared" si="5"/>
        <v>-2.5956283911424041E-2</v>
      </c>
      <c r="J87" s="86">
        <f t="shared" si="6"/>
        <v>4.8</v>
      </c>
      <c r="K87" s="86" t="str">
        <f t="shared" si="7"/>
        <v>1+0.0740873174999335j</v>
      </c>
      <c r="L87" s="86">
        <f t="shared" si="8"/>
        <v>0.99946298832194336</v>
      </c>
      <c r="M87" s="86" t="str">
        <f t="shared" si="9"/>
        <v>0.0103597210259782j</v>
      </c>
      <c r="N87" s="86" t="str">
        <f t="shared" si="10"/>
        <v>0.999462988321943+0.0103597210259782j</v>
      </c>
      <c r="O87" s="86" t="str">
        <f t="shared" si="11"/>
        <v>1.00119808125673+0.063749418868771j</v>
      </c>
      <c r="P87" s="86" t="str">
        <f t="shared" si="12"/>
        <v>4.8057507900323+0.305997210570101j</v>
      </c>
      <c r="R87" s="86">
        <f t="shared" si="13"/>
        <v>11.52</v>
      </c>
      <c r="S87" s="86" t="str">
        <f t="shared" si="14"/>
        <v>1+0.000154027687110049j</v>
      </c>
      <c r="T87" s="86" t="str">
        <f t="shared" si="15"/>
        <v>0.999462988321943+0.0103597210259782j</v>
      </c>
      <c r="U87" s="86" t="str">
        <f t="shared" si="16"/>
        <v>1.0004314120821-0.0102156485702671j</v>
      </c>
      <c r="V87" s="86" t="str">
        <f t="shared" si="17"/>
        <v>11.5249698671858-0.117684271529477j</v>
      </c>
      <c r="X87" s="86" t="str">
        <f t="shared" si="18"/>
        <v>2.96461976519835+0.187418183397672j</v>
      </c>
      <c r="Y87" s="86">
        <f t="shared" si="19"/>
        <v>9.4567022071868312</v>
      </c>
      <c r="Z87" s="86">
        <f t="shared" si="20"/>
        <v>-176.38267278247494</v>
      </c>
      <c r="AB87" s="86" t="str">
        <f t="shared" si="21"/>
        <v>9.6073440039895-0.0981029272503143j</v>
      </c>
      <c r="AC87" s="86">
        <f t="shared" si="22"/>
        <v>19.652519642701737</v>
      </c>
      <c r="AD87" s="86">
        <f t="shared" si="23"/>
        <v>179.41495918778551</v>
      </c>
      <c r="AF87" s="86" t="str">
        <f t="shared" si="24"/>
        <v>2.41669960994602-0.138988455538987j</v>
      </c>
      <c r="AG87" s="86">
        <f t="shared" si="25"/>
        <v>7.6787944311787451</v>
      </c>
      <c r="AH87" s="86">
        <f t="shared" si="26"/>
        <v>176.70844928333753</v>
      </c>
      <c r="AJ87" s="86" t="str">
        <f t="shared" si="27"/>
        <v>15.0499999998881-0.0000410443014110404j</v>
      </c>
      <c r="AK87" s="86" t="str">
        <f t="shared" si="28"/>
        <v>30.1-1.64177205645383E-12j</v>
      </c>
      <c r="AL87" s="86" t="str">
        <f t="shared" si="43"/>
        <v>10000-12263307.4892524j</v>
      </c>
      <c r="AM87" s="86" t="str">
        <f t="shared" si="44"/>
        <v>963.138815489693-3805854.59003184j</v>
      </c>
      <c r="AN87" s="86" t="str">
        <f t="shared" si="45"/>
        <v>10963.1388154897-3805854.59003184j</v>
      </c>
      <c r="AO87" s="86" t="str">
        <f t="shared" si="46"/>
        <v>30.0999993123765-0.000238054929742065j</v>
      </c>
      <c r="AP87" s="86" t="str">
        <f t="shared" si="47"/>
        <v>0.666666666667768+6.0604356722516E-07j</v>
      </c>
      <c r="AQ87" s="86" t="str">
        <f t="shared" si="29"/>
        <v>1+0.10124511687309j</v>
      </c>
      <c r="AR87" s="86">
        <f t="shared" si="30"/>
        <v>9.981653469196295E-8</v>
      </c>
      <c r="AS87" s="86" t="str">
        <f t="shared" si="31"/>
        <v>5.33818647861475E-07j</v>
      </c>
      <c r="AT87" s="86" t="str">
        <f t="shared" si="32"/>
        <v>9.98165346919629E-08+5.33818647861475E-07j</v>
      </c>
      <c r="AU87" s="86" t="str">
        <f t="shared" si="33"/>
        <v>52.1701132225596-177.57446365612j</v>
      </c>
      <c r="AW87" s="86" t="str">
        <f t="shared" si="48"/>
        <v>34.6309873966336-118.426580866593j</v>
      </c>
      <c r="AX87" s="86">
        <f t="shared" si="34"/>
        <v>41.825333493769953</v>
      </c>
      <c r="AY87" s="86">
        <f t="shared" si="35"/>
        <v>106.30028152784338</v>
      </c>
      <c r="AZ87" s="86" t="str">
        <f t="shared" si="36"/>
        <v>321.093814870025-1141.16230283882j</v>
      </c>
      <c r="BA87" s="86">
        <f t="shared" si="37"/>
        <v>61.477853136471701</v>
      </c>
      <c r="BB87" s="86">
        <f t="shared" si="38"/>
        <v>105.71524071562889</v>
      </c>
      <c r="BD87" s="86" t="str">
        <f t="shared" si="39"/>
        <v>67.2327661640793-291.014779239585j</v>
      </c>
      <c r="BE87" s="86">
        <f t="shared" si="40"/>
        <v>49.504127924948719</v>
      </c>
      <c r="BF87" s="86">
        <f t="shared" si="41"/>
        <v>103.00873081118088</v>
      </c>
      <c r="BH87" s="86">
        <f t="shared" si="49"/>
        <v>-48.504127924948719</v>
      </c>
      <c r="BI87" s="157">
        <f t="shared" si="50"/>
        <v>-103.00873081118088</v>
      </c>
      <c r="BJ87" s="88"/>
      <c r="BK87" s="88"/>
      <c r="BL87" s="88"/>
      <c r="BM87" s="88"/>
      <c r="BN87" s="42"/>
      <c r="BO87" s="42"/>
      <c r="BP87" s="42"/>
    </row>
    <row r="88" spans="1:68" s="86" customFormat="1">
      <c r="A88" s="86">
        <v>24</v>
      </c>
      <c r="B88" s="86">
        <f t="shared" si="42"/>
        <v>301.99517204020168</v>
      </c>
      <c r="C88" s="86" t="str">
        <f t="shared" si="0"/>
        <v>1897.49162780217j</v>
      </c>
      <c r="D88" s="86">
        <f t="shared" si="1"/>
        <v>0.99999990879891609</v>
      </c>
      <c r="E88" s="86" t="str">
        <f t="shared" si="2"/>
        <v>-0.000474372906950542j</v>
      </c>
      <c r="F88" s="86" t="str">
        <f t="shared" si="3"/>
        <v>0.999999908798916-0.000474372906950542j</v>
      </c>
      <c r="G88" s="86">
        <f t="shared" si="4"/>
        <v>1.8512885600927485E-7</v>
      </c>
      <c r="H88" s="86">
        <f t="shared" si="5"/>
        <v>-2.7179565923687869E-2</v>
      </c>
      <c r="J88" s="86">
        <f t="shared" si="6"/>
        <v>4.8</v>
      </c>
      <c r="K88" s="86" t="str">
        <f t="shared" si="7"/>
        <v>1+0.0775789452026917j</v>
      </c>
      <c r="L88" s="86">
        <f t="shared" si="8"/>
        <v>0.99941117840393667</v>
      </c>
      <c r="M88" s="86" t="str">
        <f t="shared" si="9"/>
        <v>0.010847959636145j</v>
      </c>
      <c r="N88" s="86" t="str">
        <f t="shared" si="10"/>
        <v>0.999411178403937+0.010847959636145j</v>
      </c>
      <c r="O88" s="86" t="str">
        <f t="shared" si="11"/>
        <v>1.0013137620093+0.0667560413280999j</v>
      </c>
      <c r="P88" s="86" t="str">
        <f t="shared" si="12"/>
        <v>4.80630605764464+0.320428998374879j</v>
      </c>
      <c r="R88" s="86">
        <f t="shared" si="13"/>
        <v>11.52</v>
      </c>
      <c r="S88" s="86" t="str">
        <f t="shared" si="14"/>
        <v>1+0.000161286788363184j</v>
      </c>
      <c r="T88" s="86" t="str">
        <f t="shared" si="15"/>
        <v>0.999411178403937+0.010847959636145j</v>
      </c>
      <c r="U88" s="86" t="str">
        <f t="shared" si="16"/>
        <v>1.0004730475393-0.0106981037229031j</v>
      </c>
      <c r="V88" s="86" t="str">
        <f t="shared" si="17"/>
        <v>11.5254495076527-0.123242154887844j</v>
      </c>
      <c r="X88" s="86" t="str">
        <f t="shared" si="18"/>
        <v>2.96497052382745+0.196257294892972j</v>
      </c>
      <c r="Y88" s="86">
        <f t="shared" si="19"/>
        <v>9.459394129350958</v>
      </c>
      <c r="Z88" s="86">
        <f t="shared" si="20"/>
        <v>-176.21300272992033</v>
      </c>
      <c r="AB88" s="86" t="str">
        <f t="shared" si="21"/>
        <v>9.60774383765647-0.102736041086899j</v>
      </c>
      <c r="AC88" s="86">
        <f t="shared" si="22"/>
        <v>19.652924856403896</v>
      </c>
      <c r="AD88" s="86">
        <f t="shared" si="23"/>
        <v>179.38735697760899</v>
      </c>
      <c r="AF88" s="86" t="str">
        <f t="shared" si="24"/>
        <v>2.4159547355738-0.145495352010234j</v>
      </c>
      <c r="AG88" s="86">
        <f t="shared" si="25"/>
        <v>7.677498256452326</v>
      </c>
      <c r="AH88" s="86">
        <f t="shared" si="26"/>
        <v>176.55365498604746</v>
      </c>
      <c r="AJ88" s="86" t="str">
        <f t="shared" si="27"/>
        <v>15.0499999998773-0.0000429786597422755j</v>
      </c>
      <c r="AK88" s="86" t="str">
        <f t="shared" si="28"/>
        <v>30.1-1.71914638970504E-12j</v>
      </c>
      <c r="AL88" s="86" t="str">
        <f t="shared" si="43"/>
        <v>10000-11711367.7323372j</v>
      </c>
      <c r="AM88" s="86" t="str">
        <f t="shared" si="44"/>
        <v>963.138786101912-3634562.96686085j</v>
      </c>
      <c r="AN88" s="86" t="str">
        <f t="shared" si="45"/>
        <v>10963.1387861019-3634562.96686085j</v>
      </c>
      <c r="AO88" s="86" t="str">
        <f t="shared" si="46"/>
        <v>30.0999992460367-0.000249273908860568j</v>
      </c>
      <c r="AP88" s="86" t="str">
        <f t="shared" si="47"/>
        <v>0.666666666667874+6.34605520603868E-07j</v>
      </c>
      <c r="AQ88" s="86" t="str">
        <f t="shared" si="29"/>
        <v>1+0.106016652228563j</v>
      </c>
      <c r="AR88" s="86">
        <f t="shared" si="30"/>
        <v>9.9798834289988677E-8</v>
      </c>
      <c r="AS88" s="86" t="str">
        <f t="shared" si="31"/>
        <v>5.58976745657683E-07j</v>
      </c>
      <c r="AT88" s="86" t="str">
        <f t="shared" si="32"/>
        <v>9.97988342899887E-08+5.58976745657683E-07j</v>
      </c>
      <c r="AU88" s="86" t="str">
        <f t="shared" si="33"/>
        <v>49.3338621073682-170.090328102641j</v>
      </c>
      <c r="AW88" s="86" t="str">
        <f t="shared" si="48"/>
        <v>32.7397049105374-113.436719036495j</v>
      </c>
      <c r="AX88" s="86">
        <f t="shared" si="34"/>
        <v>41.442558419241507</v>
      </c>
      <c r="AY88" s="86">
        <f t="shared" si="35"/>
        <v>106.09901079023744</v>
      </c>
      <c r="AZ88" s="86" t="str">
        <f t="shared" si="36"/>
        <v>302.900658673211-1093.23448595572j</v>
      </c>
      <c r="BA88" s="86">
        <f t="shared" si="37"/>
        <v>61.095483275645435</v>
      </c>
      <c r="BB88" s="86">
        <f t="shared" si="38"/>
        <v>105.4863677678464</v>
      </c>
      <c r="BD88" s="86" t="str">
        <f t="shared" si="39"/>
        <v>62.5931297528006-278.821453434845j</v>
      </c>
      <c r="BE88" s="86">
        <f t="shared" si="40"/>
        <v>49.120056675693846</v>
      </c>
      <c r="BF88" s="86">
        <f t="shared" si="41"/>
        <v>102.65266577628486</v>
      </c>
      <c r="BH88" s="86">
        <f t="shared" si="49"/>
        <v>-48.120056675693846</v>
      </c>
      <c r="BI88" s="157">
        <f t="shared" si="50"/>
        <v>-102.65266577628486</v>
      </c>
      <c r="BJ88" s="88"/>
      <c r="BK88" s="88"/>
      <c r="BL88" s="88"/>
      <c r="BM88" s="88"/>
      <c r="BN88" s="42"/>
      <c r="BO88" s="42"/>
      <c r="BP88" s="42"/>
    </row>
    <row r="89" spans="1:68" s="86" customFormat="1">
      <c r="A89" s="86">
        <v>25</v>
      </c>
      <c r="B89" s="86">
        <f t="shared" si="42"/>
        <v>316.22776601683796</v>
      </c>
      <c r="C89" s="86" t="str">
        <f t="shared" si="0"/>
        <v>1986.91765315922j</v>
      </c>
      <c r="D89" s="86">
        <f t="shared" si="1"/>
        <v>0.99999990000000005</v>
      </c>
      <c r="E89" s="86" t="str">
        <f t="shared" si="2"/>
        <v>-0.000496729413289805j</v>
      </c>
      <c r="F89" s="86" t="str">
        <f t="shared" si="3"/>
        <v>0.9999999-0.000496729413289805j</v>
      </c>
      <c r="G89" s="86">
        <f t="shared" si="4"/>
        <v>2.0298975864398111E-7</v>
      </c>
      <c r="H89" s="86">
        <f t="shared" si="5"/>
        <v>-2.8460499446783021E-2</v>
      </c>
      <c r="J89" s="86">
        <f t="shared" si="6"/>
        <v>4.8</v>
      </c>
      <c r="K89" s="86" t="str">
        <f t="shared" si="7"/>
        <v>1+0.0812351282494147j</v>
      </c>
      <c r="L89" s="86">
        <f t="shared" si="8"/>
        <v>0.99935436995849836</v>
      </c>
      <c r="M89" s="86" t="str">
        <f t="shared" si="9"/>
        <v>0.0113592082231113j</v>
      </c>
      <c r="N89" s="86" t="str">
        <f t="shared" si="10"/>
        <v>0.999354369958498+0.0113592082231113j</v>
      </c>
      <c r="O89" s="86" t="str">
        <f t="shared" si="11"/>
        <v>1.00144062206018+0.0699046882671381j</v>
      </c>
      <c r="P89" s="86" t="str">
        <f t="shared" si="12"/>
        <v>4.80691498588886+0.335542503682263j</v>
      </c>
      <c r="R89" s="86">
        <f t="shared" si="13"/>
        <v>11.52</v>
      </c>
      <c r="S89" s="86" t="str">
        <f t="shared" si="14"/>
        <v>1+0.000168888000518534j</v>
      </c>
      <c r="T89" s="86" t="str">
        <f t="shared" si="15"/>
        <v>0.999354369958498+0.0113592082231113j</v>
      </c>
      <c r="U89" s="86" t="str">
        <f t="shared" si="16"/>
        <v>1.00051870266065-0.0112034455551396j</v>
      </c>
      <c r="V89" s="86" t="str">
        <f t="shared" si="17"/>
        <v>11.5259754546507-0.129063692795208j</v>
      </c>
      <c r="X89" s="86" t="str">
        <f t="shared" si="18"/>
        <v>2.96535517879375+0.205513923982853j</v>
      </c>
      <c r="Y89" s="86">
        <f t="shared" si="19"/>
        <v>9.4623443968435179</v>
      </c>
      <c r="Z89" s="86">
        <f t="shared" si="20"/>
        <v>-176.03545568971478</v>
      </c>
      <c r="AB89" s="86" t="str">
        <f t="shared" si="21"/>
        <v>9.60818227296657-0.107588940309443j</v>
      </c>
      <c r="AC89" s="86">
        <f t="shared" si="22"/>
        <v>19.653369181021858</v>
      </c>
      <c r="AD89" s="86">
        <f t="shared" si="23"/>
        <v>179.35844945472235</v>
      </c>
      <c r="AF89" s="86" t="str">
        <f t="shared" si="24"/>
        <v>2.41513850726182-0.152302506249295j</v>
      </c>
      <c r="AG89" s="86">
        <f t="shared" si="25"/>
        <v>7.6760774725444323</v>
      </c>
      <c r="AH89" s="86">
        <f t="shared" si="26"/>
        <v>176.39161445936335</v>
      </c>
      <c r="AJ89" s="86" t="str">
        <f t="shared" si="27"/>
        <v>15.0499999998654-0.0000450041815730672j</v>
      </c>
      <c r="AK89" s="86" t="str">
        <f t="shared" si="28"/>
        <v>30.1-1.80016726293878E-12j</v>
      </c>
      <c r="AL89" s="86" t="str">
        <f t="shared" si="43"/>
        <v>10000-11184269.3565527j</v>
      </c>
      <c r="AM89" s="86" t="str">
        <f t="shared" si="44"/>
        <v>963.138753878868-3470980.73903692j</v>
      </c>
      <c r="AN89" s="86" t="str">
        <f t="shared" si="45"/>
        <v>10963.1387538789-3470980.73903692j</v>
      </c>
      <c r="AO89" s="86" t="str">
        <f t="shared" si="46"/>
        <v>30.0999991732962-0.000261021591939767j</v>
      </c>
      <c r="AP89" s="86" t="str">
        <f t="shared" si="47"/>
        <v>0.666666666667992+6.64513557374784E-07j</v>
      </c>
      <c r="AQ89" s="86" t="str">
        <f t="shared" si="29"/>
        <v>1+0.111013063117312j</v>
      </c>
      <c r="AR89" s="86">
        <f t="shared" si="30"/>
        <v>9.9779426185160932E-8</v>
      </c>
      <c r="AS89" s="86" t="str">
        <f t="shared" si="31"/>
        <v>5.85320508074746E-07j</v>
      </c>
      <c r="AT89" s="86" t="str">
        <f t="shared" si="32"/>
        <v>9.97794261851609E-08+5.85320508074746E-07j</v>
      </c>
      <c r="AU89" s="86" t="str">
        <f t="shared" si="33"/>
        <v>46.7323302328105-162.880120532015j</v>
      </c>
      <c r="AW89" s="86" t="str">
        <f t="shared" si="48"/>
        <v>31.004938604737-108.629553764183j</v>
      </c>
      <c r="AX89" s="86">
        <f t="shared" si="34"/>
        <v>41.059080603932841</v>
      </c>
      <c r="AY89" s="86">
        <f t="shared" si="35"/>
        <v>105.92975293282508</v>
      </c>
      <c r="AZ89" s="86" t="str">
        <f t="shared" si="36"/>
        <v>286.213762900675-1047.06834128614j</v>
      </c>
      <c r="BA89" s="86">
        <f t="shared" si="37"/>
        <v>60.712449784954742</v>
      </c>
      <c r="BB89" s="86">
        <f t="shared" si="38"/>
        <v>105.28820238754739</v>
      </c>
      <c r="BD89" s="86" t="str">
        <f t="shared" si="39"/>
        <v>58.3366678485612-267.077548178154j</v>
      </c>
      <c r="BE89" s="86">
        <f t="shared" si="40"/>
        <v>48.735158076477283</v>
      </c>
      <c r="BF89" s="86">
        <f t="shared" si="41"/>
        <v>102.32136739218839</v>
      </c>
      <c r="BH89" s="86">
        <f t="shared" si="49"/>
        <v>-47.735158076477283</v>
      </c>
      <c r="BI89" s="157">
        <f t="shared" si="50"/>
        <v>-102.32136739218839</v>
      </c>
      <c r="BJ89" s="88"/>
      <c r="BK89" s="88"/>
      <c r="BL89" s="88"/>
      <c r="BM89" s="88"/>
      <c r="BN89" s="42"/>
      <c r="BO89" s="42"/>
      <c r="BP89" s="42"/>
    </row>
    <row r="90" spans="1:68" s="86" customFormat="1">
      <c r="A90" s="86">
        <v>26</v>
      </c>
      <c r="B90" s="86">
        <f t="shared" si="42"/>
        <v>331.13112148259114</v>
      </c>
      <c r="C90" s="86" t="str">
        <f t="shared" si="0"/>
        <v>2080.55819724932j</v>
      </c>
      <c r="D90" s="86">
        <f t="shared" si="1"/>
        <v>0.9999998903521804</v>
      </c>
      <c r="E90" s="86" t="str">
        <f t="shared" si="2"/>
        <v>-0.00052013954931233j</v>
      </c>
      <c r="F90" s="86" t="str">
        <f t="shared" si="3"/>
        <v>0.99999989035218-0.00052013954931233j</v>
      </c>
      <c r="G90" s="86">
        <f t="shared" si="4"/>
        <v>2.2257384302047279E-7</v>
      </c>
      <c r="H90" s="86">
        <f t="shared" si="5"/>
        <v>-2.9801801513558105E-2</v>
      </c>
      <c r="J90" s="86">
        <f t="shared" si="6"/>
        <v>4.8</v>
      </c>
      <c r="K90" s="86" t="str">
        <f t="shared" si="7"/>
        <v>1+0.0850636218945384j</v>
      </c>
      <c r="L90" s="86">
        <f t="shared" si="8"/>
        <v>0.99929208073671838</v>
      </c>
      <c r="M90" s="86" t="str">
        <f t="shared" si="9"/>
        <v>0.0118945512136744j</v>
      </c>
      <c r="N90" s="86" t="str">
        <f t="shared" si="10"/>
        <v>0.999292080736718+0.0118945512136744j</v>
      </c>
      <c r="O90" s="86" t="str">
        <f t="shared" si="11"/>
        <v>1.00157974373973+0.073202101515823j</v>
      </c>
      <c r="P90" s="86" t="str">
        <f t="shared" si="12"/>
        <v>4.8075827699507+0.35137008727595j</v>
      </c>
      <c r="R90" s="86">
        <f t="shared" si="13"/>
        <v>11.52</v>
      </c>
      <c r="S90" s="86" t="str">
        <f t="shared" si="14"/>
        <v>1+0.000176847446766192j</v>
      </c>
      <c r="T90" s="86" t="str">
        <f t="shared" si="15"/>
        <v>0.999292080736718+0.0118945512136744j</v>
      </c>
      <c r="U90" s="86" t="str">
        <f t="shared" si="16"/>
        <v>1.00056876581236-0.0117327748383117j</v>
      </c>
      <c r="V90" s="86" t="str">
        <f t="shared" si="17"/>
        <v>11.5265521821584-0.135161566137351j</v>
      </c>
      <c r="X90" s="86" t="str">
        <f t="shared" si="18"/>
        <v>2.9657770116485+0.215207887430951j</v>
      </c>
      <c r="Y90" s="86">
        <f t="shared" si="19"/>
        <v>9.4655776598921406</v>
      </c>
      <c r="Z90" s="86">
        <f t="shared" si="20"/>
        <v>-175.84967795627873</v>
      </c>
      <c r="AB90" s="86" t="str">
        <f t="shared" si="21"/>
        <v>9.60866303947849-0.112672195846408j</v>
      </c>
      <c r="AC90" s="86">
        <f t="shared" si="22"/>
        <v>19.65385639327004</v>
      </c>
      <c r="AD90" s="86">
        <f t="shared" si="23"/>
        <v>179.32817443993352</v>
      </c>
      <c r="AF90" s="86" t="str">
        <f t="shared" si="24"/>
        <v>2.41424414350246-0.159423128394531j</v>
      </c>
      <c r="AG90" s="86">
        <f t="shared" si="25"/>
        <v>7.6745201467242117</v>
      </c>
      <c r="AH90" s="86">
        <f t="shared" si="26"/>
        <v>176.22199342185991</v>
      </c>
      <c r="AJ90" s="86" t="str">
        <f t="shared" si="27"/>
        <v>15.0499999998524-0.0000471251633067844j</v>
      </c>
      <c r="AK90" s="86" t="str">
        <f t="shared" si="28"/>
        <v>30.1-1.88500653228986E-12j</v>
      </c>
      <c r="AL90" s="86" t="str">
        <f t="shared" si="43"/>
        <v>10000-10680894.3155745j</v>
      </c>
      <c r="AM90" s="86" t="str">
        <f t="shared" si="44"/>
        <v>963.138718547002-3314760.92672296j</v>
      </c>
      <c r="AN90" s="86" t="str">
        <f t="shared" si="45"/>
        <v>10963.138718547-3314760.92672296j</v>
      </c>
      <c r="AO90" s="86" t="str">
        <f t="shared" si="46"/>
        <v>30.0999990935383-0.000273322891553025j</v>
      </c>
      <c r="AP90" s="86" t="str">
        <f t="shared" si="47"/>
        <v>0.66666666666812+6.9583111649373E-07j</v>
      </c>
      <c r="AQ90" s="86" t="str">
        <f t="shared" si="29"/>
        <v>1+0.116244947596714j</v>
      </c>
      <c r="AR90" s="86">
        <f t="shared" si="30"/>
        <v>9.9758145621388832E-8</v>
      </c>
      <c r="AS90" s="86" t="str">
        <f t="shared" si="31"/>
        <v>6.12905813764725E-07j</v>
      </c>
      <c r="AT90" s="86" t="str">
        <f t="shared" si="32"/>
        <v>9.97581456213888E-08+6.12905813764725E-07j</v>
      </c>
      <c r="AU90" s="86" t="str">
        <f t="shared" si="33"/>
        <v>44.347259608515-155.93913040406j</v>
      </c>
      <c r="AW90" s="86" t="str">
        <f t="shared" si="48"/>
        <v>29.4145135923106-104.001945589771j</v>
      </c>
      <c r="AX90" s="86">
        <f t="shared" si="34"/>
        <v>40.675030113108008</v>
      </c>
      <c r="AY90" s="86">
        <f t="shared" si="35"/>
        <v>105.79231268416504</v>
      </c>
      <c r="AZ90" s="86" t="str">
        <f t="shared" si="36"/>
        <v>270.916021996774-1002.63384845849j</v>
      </c>
      <c r="BA90" s="86">
        <f t="shared" si="37"/>
        <v>60.328886506378083</v>
      </c>
      <c r="BB90" s="86">
        <f t="shared" si="38"/>
        <v>105.12048712409847</v>
      </c>
      <c r="BD90" s="86" t="str">
        <f t="shared" si="39"/>
        <v>54.4335016491701-255.775441830057j</v>
      </c>
      <c r="BE90" s="86">
        <f t="shared" si="40"/>
        <v>48.349550259832256</v>
      </c>
      <c r="BF90" s="86">
        <f t="shared" si="41"/>
        <v>102.01430610602485</v>
      </c>
      <c r="BH90" s="86">
        <f t="shared" si="49"/>
        <v>-47.349550259832256</v>
      </c>
      <c r="BI90" s="157">
        <f t="shared" si="50"/>
        <v>-102.01430610602485</v>
      </c>
      <c r="BJ90" s="88"/>
      <c r="BK90" s="88"/>
      <c r="BL90" s="88"/>
      <c r="BM90" s="88"/>
      <c r="BN90" s="42"/>
      <c r="BO90" s="42"/>
      <c r="BP90" s="42"/>
    </row>
    <row r="91" spans="1:68" s="86" customFormat="1">
      <c r="A91" s="86">
        <v>27</v>
      </c>
      <c r="B91" s="86">
        <f t="shared" si="42"/>
        <v>346.73685045253171</v>
      </c>
      <c r="C91" s="86" t="str">
        <f t="shared" si="0"/>
        <v>2178.61188422107j</v>
      </c>
      <c r="D91" s="86">
        <f t="shared" si="1"/>
        <v>0.99999987977355653</v>
      </c>
      <c r="E91" s="86" t="str">
        <f t="shared" si="2"/>
        <v>-0.000544652971055268j</v>
      </c>
      <c r="F91" s="86" t="str">
        <f t="shared" si="3"/>
        <v>0.999999879773557-0.000544652971055268j</v>
      </c>
      <c r="G91" s="86">
        <f t="shared" si="4"/>
        <v>2.4404737846420713E-7</v>
      </c>
      <c r="H91" s="86">
        <f t="shared" si="5"/>
        <v>-3.1206317206800237E-2</v>
      </c>
      <c r="J91" s="86">
        <f t="shared" si="6"/>
        <v>4.8</v>
      </c>
      <c r="K91" s="86" t="str">
        <f t="shared" si="7"/>
        <v>1+0.0890725468863784j</v>
      </c>
      <c r="L91" s="86">
        <f t="shared" si="8"/>
        <v>0.99922378196318196</v>
      </c>
      <c r="M91" s="86" t="str">
        <f t="shared" si="9"/>
        <v>0.0124551241420919j</v>
      </c>
      <c r="N91" s="86" t="str">
        <f t="shared" si="10"/>
        <v>0.999223781963182+0.0124551241420919j</v>
      </c>
      <c r="O91" s="86" t="str">
        <f t="shared" si="11"/>
        <v>1.00173231456382+0.0766553478149335j</v>
      </c>
      <c r="P91" s="86" t="str">
        <f t="shared" si="12"/>
        <v>4.80831510990634+0.367945669511681j</v>
      </c>
      <c r="R91" s="86">
        <f t="shared" si="13"/>
        <v>11.52</v>
      </c>
      <c r="S91" s="86" t="str">
        <f t="shared" si="14"/>
        <v>1+0.000185182010158791j</v>
      </c>
      <c r="T91" s="86" t="str">
        <f t="shared" si="15"/>
        <v>0.999223781963182+0.0124551241420919j</v>
      </c>
      <c r="U91" s="86" t="str">
        <f t="shared" si="16"/>
        <v>1.00062366294209-0.0122872475144432j</v>
      </c>
      <c r="V91" s="86" t="str">
        <f t="shared" si="17"/>
        <v>11.5271845970929-0.141549091366386j</v>
      </c>
      <c r="X91" s="86" t="str">
        <f t="shared" si="18"/>
        <v>2.96623962282939+0.22535995665366j</v>
      </c>
      <c r="Y91" s="86">
        <f t="shared" si="19"/>
        <v>9.4691208920277994</v>
      </c>
      <c r="Z91" s="86">
        <f t="shared" si="20"/>
        <v>-175.6553017119459</v>
      </c>
      <c r="AB91" s="86" t="str">
        <f t="shared" si="21"/>
        <v>9.6091902276533-0.117996908441469j</v>
      </c>
      <c r="AC91" s="86">
        <f t="shared" si="22"/>
        <v>19.654390634914847</v>
      </c>
      <c r="AD91" s="86">
        <f t="shared" si="23"/>
        <v>179.29646672538402</v>
      </c>
      <c r="AF91" s="86" t="str">
        <f t="shared" si="24"/>
        <v>2.41326422908056-0.166870913873012j</v>
      </c>
      <c r="AG91" s="86">
        <f t="shared" si="25"/>
        <v>7.6728132129721747</v>
      </c>
      <c r="AH91" s="86">
        <f t="shared" si="26"/>
        <v>176.04444289851261</v>
      </c>
      <c r="AJ91" s="86" t="str">
        <f t="shared" si="27"/>
        <v>15.0499999998382-0.0000493461038300478j</v>
      </c>
      <c r="AK91" s="86" t="str">
        <f t="shared" si="28"/>
        <v>30.1-1.97384415322313E-12j</v>
      </c>
      <c r="AL91" s="86" t="str">
        <f t="shared" si="43"/>
        <v>10000-10200174.8834522j</v>
      </c>
      <c r="AM91" s="86" t="str">
        <f t="shared" si="44"/>
        <v>963.138679806378-3165572.16675235j</v>
      </c>
      <c r="AN91" s="86" t="str">
        <f t="shared" si="45"/>
        <v>10963.1386798064-3165572.16675235j</v>
      </c>
      <c r="AO91" s="86" t="str">
        <f t="shared" si="46"/>
        <v>30.0999990060856-0.000286203893699355j</v>
      </c>
      <c r="AP91" s="86" t="str">
        <f t="shared" si="47"/>
        <v>0.666666666668259+7.28624626702407E-07j</v>
      </c>
      <c r="AQ91" s="86" t="str">
        <f t="shared" si="29"/>
        <v>1+0.1217234031952j</v>
      </c>
      <c r="AR91" s="86">
        <f t="shared" si="30"/>
        <v>9.9734811947211099E-8</v>
      </c>
      <c r="AS91" s="86" t="str">
        <f t="shared" si="31"/>
        <v>6.41791174859409E-07j</v>
      </c>
      <c r="AT91" s="86" t="str">
        <f t="shared" si="32"/>
        <v>9.97348119472111E-08+6.41791174859409E-07j</v>
      </c>
      <c r="AU91" s="86" t="str">
        <f t="shared" si="33"/>
        <v>42.1616196422444-149.261975773624j</v>
      </c>
      <c r="AW91" s="86" t="str">
        <f t="shared" si="48"/>
        <v>27.9570734426741-99.5503074218024j</v>
      </c>
      <c r="AX91" s="86">
        <f t="shared" si="34"/>
        <v>40.290533309979011</v>
      </c>
      <c r="AY91" s="86">
        <f t="shared" si="35"/>
        <v>105.68652752077617</v>
      </c>
      <c r="AZ91" s="86" t="str">
        <f t="shared" si="36"/>
        <v>256.898208408959-959.896689472772j</v>
      </c>
      <c r="BA91" s="86">
        <f t="shared" si="37"/>
        <v>59.944923944893851</v>
      </c>
      <c r="BB91" s="86">
        <f t="shared" si="38"/>
        <v>104.98299424616019</v>
      </c>
      <c r="BD91" s="86" t="str">
        <f t="shared" si="39"/>
        <v>50.8557545131679-244.906418289602j</v>
      </c>
      <c r="BE91" s="86">
        <f t="shared" si="40"/>
        <v>47.963346522951163</v>
      </c>
      <c r="BF91" s="86">
        <f t="shared" si="41"/>
        <v>101.73097041928878</v>
      </c>
      <c r="BH91" s="86">
        <f t="shared" si="49"/>
        <v>-46.963346522951163</v>
      </c>
      <c r="BI91" s="157">
        <f t="shared" si="50"/>
        <v>-101.73097041928878</v>
      </c>
      <c r="BJ91" s="88"/>
      <c r="BK91" s="88"/>
      <c r="BL91" s="88"/>
      <c r="BM91" s="88"/>
      <c r="BN91" s="42"/>
      <c r="BO91" s="42"/>
      <c r="BP91" s="42"/>
    </row>
    <row r="92" spans="1:68" s="86" customFormat="1">
      <c r="A92" s="86">
        <v>28</v>
      </c>
      <c r="B92" s="86">
        <f t="shared" si="42"/>
        <v>363.0780547701014</v>
      </c>
      <c r="C92" s="86" t="str">
        <f t="shared" si="0"/>
        <v>2281.28669909085j</v>
      </c>
      <c r="D92" s="86">
        <f t="shared" si="1"/>
        <v>0.99999986817432618</v>
      </c>
      <c r="E92" s="86" t="str">
        <f t="shared" si="2"/>
        <v>-0.000570321674772713j</v>
      </c>
      <c r="F92" s="86" t="str">
        <f t="shared" si="3"/>
        <v>0.999999868174326-0.000570321674772713j</v>
      </c>
      <c r="G92" s="86">
        <f t="shared" si="4"/>
        <v>2.6759263056135572E-7</v>
      </c>
      <c r="H92" s="86">
        <f t="shared" si="5"/>
        <v>-3.2677025694062653E-2</v>
      </c>
      <c r="J92" s="86">
        <f t="shared" si="6"/>
        <v>4.8</v>
      </c>
      <c r="K92" s="86" t="str">
        <f t="shared" si="7"/>
        <v>1+0.0932704066923294j</v>
      </c>
      <c r="L92" s="86">
        <f t="shared" si="8"/>
        <v>0.99914889384717598</v>
      </c>
      <c r="M92" s="86" t="str">
        <f t="shared" si="9"/>
        <v>0.0130421160587024j</v>
      </c>
      <c r="N92" s="86" t="str">
        <f t="shared" si="10"/>
        <v>0.999148893847176+0.0130421160587024j</v>
      </c>
      <c r="O92" s="86" t="str">
        <f t="shared" si="11"/>
        <v>1.00189963753685+0.0802718351932333j</v>
      </c>
      <c r="P92" s="86" t="str">
        <f t="shared" si="12"/>
        <v>4.80911826017688+0.38530480892752j</v>
      </c>
      <c r="R92" s="86">
        <f t="shared" si="13"/>
        <v>11.52</v>
      </c>
      <c r="S92" s="86" t="str">
        <f t="shared" si="14"/>
        <v>1+0.000193909369422722j</v>
      </c>
      <c r="T92" s="86" t="str">
        <f t="shared" si="15"/>
        <v>0.999148893847176+0.0130421160587024j</v>
      </c>
      <c r="U92" s="86" t="str">
        <f t="shared" si="16"/>
        <v>1.00068386122737-0.0128680777869546j</v>
      </c>
      <c r="V92" s="86" t="str">
        <f t="shared" si="17"/>
        <v>11.5278780813393-0.148240256105717j</v>
      </c>
      <c r="X92" s="86" t="str">
        <f t="shared" si="18"/>
        <v>2.96674696288988+0.235991905783641j</v>
      </c>
      <c r="Y92" s="86">
        <f t="shared" si="19"/>
        <v>9.4730036033177925</v>
      </c>
      <c r="Z92" s="86">
        <f t="shared" si="20"/>
        <v>-175.45194473084706</v>
      </c>
      <c r="AB92" s="86" t="str">
        <f t="shared" si="21"/>
        <v>9.60976832389071-0.123574738334209j</v>
      </c>
      <c r="AC92" s="86">
        <f t="shared" si="22"/>
        <v>19.654976448130629</v>
      </c>
      <c r="AD92" s="86">
        <f t="shared" si="23"/>
        <v>179.26325791719941</v>
      </c>
      <c r="AF92" s="86" t="str">
        <f t="shared" si="24"/>
        <v>2.4121906580326-0.174660046460859j</v>
      </c>
      <c r="AG92" s="86">
        <f t="shared" si="25"/>
        <v>7.6709423662393554</v>
      </c>
      <c r="AH92" s="86">
        <f t="shared" si="26"/>
        <v>175.85859868290135</v>
      </c>
      <c r="AJ92" s="86" t="str">
        <f t="shared" si="27"/>
        <v>15.0499999998226-0.0000516717140554734j</v>
      </c>
      <c r="AK92" s="86" t="str">
        <f t="shared" si="28"/>
        <v>30.1-2.0668685622433E-12j</v>
      </c>
      <c r="AL92" s="86" t="str">
        <f t="shared" si="43"/>
        <v>10000-9741091.38981891j</v>
      </c>
      <c r="AM92" s="86" t="str">
        <f t="shared" si="44"/>
        <v>963.138637328134-3023098.00976304j</v>
      </c>
      <c r="AN92" s="86" t="str">
        <f t="shared" si="45"/>
        <v>10963.1386373281-3023098.00976304j</v>
      </c>
      <c r="AO92" s="86" t="str">
        <f t="shared" si="46"/>
        <v>30.0999989101959-0.00029969191301305j</v>
      </c>
      <c r="AP92" s="86" t="str">
        <f t="shared" si="47"/>
        <v>0.666666666668413+7.6296364743267E-07j</v>
      </c>
      <c r="AQ92" s="86" t="str">
        <f t="shared" si="29"/>
        <v>1+0.127460050451604j</v>
      </c>
      <c r="AR92" s="86">
        <f t="shared" si="30"/>
        <v>9.9709227082239302E-8</v>
      </c>
      <c r="AS92" s="86" t="str">
        <f t="shared" si="31"/>
        <v>6.72037861082416E-07j</v>
      </c>
      <c r="AT92" s="86" t="str">
        <f t="shared" si="32"/>
        <v>9.97092270822393E-08+6.72037861082416E-07j</v>
      </c>
      <c r="AU92" s="86" t="str">
        <f t="shared" si="33"/>
        <v>40.1595574251413-142.842728257243j</v>
      </c>
      <c r="AW92" s="86" t="str">
        <f t="shared" si="48"/>
        <v>26.6220470303884-95.2706878716477j</v>
      </c>
      <c r="AX92" s="86">
        <f t="shared" si="34"/>
        <v>39.905713645865617</v>
      </c>
      <c r="AY92" s="86">
        <f t="shared" si="35"/>
        <v>105.61226934916685</v>
      </c>
      <c r="AZ92" s="86" t="str">
        <f t="shared" si="36"/>
        <v>244.058653945096-918.81905099994j</v>
      </c>
      <c r="BA92" s="86">
        <f t="shared" si="37"/>
        <v>59.560690093996243</v>
      </c>
      <c r="BB92" s="86">
        <f t="shared" si="38"/>
        <v>104.87552726636625</v>
      </c>
      <c r="BD92" s="86" t="str">
        <f t="shared" si="39"/>
        <v>47.5774703743874-234.460871239539j</v>
      </c>
      <c r="BE92" s="86">
        <f t="shared" si="40"/>
        <v>47.576656012104976</v>
      </c>
      <c r="BF92" s="86">
        <f t="shared" si="41"/>
        <v>101.4708680320682</v>
      </c>
      <c r="BH92" s="86">
        <f t="shared" si="49"/>
        <v>-46.576656012104976</v>
      </c>
      <c r="BI92" s="157">
        <f t="shared" si="50"/>
        <v>-101.4708680320682</v>
      </c>
      <c r="BJ92" s="88"/>
      <c r="BK92" s="88"/>
      <c r="BL92" s="88"/>
      <c r="BM92" s="88"/>
      <c r="BN92" s="42"/>
      <c r="BO92" s="42"/>
      <c r="BP92" s="42"/>
    </row>
    <row r="93" spans="1:68" s="86" customFormat="1">
      <c r="A93" s="86">
        <v>29</v>
      </c>
      <c r="B93" s="86">
        <f t="shared" si="42"/>
        <v>380.18939632056117</v>
      </c>
      <c r="C93" s="86" t="str">
        <f t="shared" si="0"/>
        <v>2388.80042890683j</v>
      </c>
      <c r="D93" s="86">
        <f t="shared" si="1"/>
        <v>0.99999985545602288</v>
      </c>
      <c r="E93" s="86" t="str">
        <f t="shared" si="2"/>
        <v>-0.000597200107226707j</v>
      </c>
      <c r="F93" s="86" t="str">
        <f t="shared" si="3"/>
        <v>0.999999855456023-0.000597200107226707j</v>
      </c>
      <c r="G93" s="86">
        <f t="shared" si="4"/>
        <v>2.9340949280020753E-7</v>
      </c>
      <c r="H93" s="86">
        <f t="shared" si="5"/>
        <v>-3.4217046546904939E-2</v>
      </c>
      <c r="J93" s="86">
        <f t="shared" si="6"/>
        <v>4.8</v>
      </c>
      <c r="K93" s="86" t="str">
        <f t="shared" si="7"/>
        <v>1+0.0976661055358557j</v>
      </c>
      <c r="L93" s="86">
        <f t="shared" si="8"/>
        <v>0.9990667806608251</v>
      </c>
      <c r="M93" s="86" t="str">
        <f t="shared" si="9"/>
        <v>0.0136567720520603j</v>
      </c>
      <c r="N93" s="86" t="str">
        <f t="shared" si="10"/>
        <v>0.999066780660825+0.0136567720520603j</v>
      </c>
      <c r="O93" s="86" t="str">
        <f t="shared" si="11"/>
        <v>1.00208314248043+0.0840593302744384j</v>
      </c>
      <c r="P93" s="86" t="str">
        <f t="shared" si="12"/>
        <v>4.80999908390606+0.403484785317304j</v>
      </c>
      <c r="R93" s="86">
        <f t="shared" si="13"/>
        <v>11.52</v>
      </c>
      <c r="S93" s="86" t="str">
        <f t="shared" si="14"/>
        <v>1+0.000203048036457081j</v>
      </c>
      <c r="T93" s="86" t="str">
        <f t="shared" si="15"/>
        <v>0.999066780660825+0.0136567720520603j</v>
      </c>
      <c r="U93" s="86" t="str">
        <f t="shared" si="16"/>
        <v>1.00074987308087-0.0134765414304247j</v>
      </c>
      <c r="V93" s="86" t="str">
        <f t="shared" si="17"/>
        <v>11.5286385378916-0.155249757278493j</v>
      </c>
      <c r="X93" s="86" t="str">
        <f t="shared" si="18"/>
        <v>2.96730336683642+0.247126562454344j</v>
      </c>
      <c r="Y93" s="86">
        <f t="shared" si="19"/>
        <v>9.4772580720255224</v>
      </c>
      <c r="Z93" s="86">
        <f t="shared" si="20"/>
        <v>-175.23921012097804</v>
      </c>
      <c r="AB93" s="86" t="str">
        <f t="shared" si="21"/>
        <v>9.61040224899267-0.129417937044426j</v>
      </c>
      <c r="AC93" s="86">
        <f t="shared" si="22"/>
        <v>19.655618814297249</v>
      </c>
      <c r="AD93" s="86">
        <f t="shared" si="23"/>
        <v>179.22847626854443</v>
      </c>
      <c r="AF93" s="86" t="str">
        <f t="shared" si="24"/>
        <v>2.41101457191302-0.182805198687627j</v>
      </c>
      <c r="AG93" s="86">
        <f t="shared" si="25"/>
        <v>7.6688919472225887</v>
      </c>
      <c r="AH93" s="86">
        <f t="shared" si="26"/>
        <v>175.66408079636264</v>
      </c>
      <c r="AJ93" s="86" t="str">
        <f t="shared" si="27"/>
        <v>15.0499999998055-0.0000541069269141476j</v>
      </c>
      <c r="AK93" s="86" t="str">
        <f t="shared" si="28"/>
        <v>30.1-2.16427707659388E-12j</v>
      </c>
      <c r="AL93" s="86" t="str">
        <f t="shared" si="43"/>
        <v>10000-9302670.05703431j</v>
      </c>
      <c r="AM93" s="86" t="str">
        <f t="shared" si="44"/>
        <v>963.138590751671-2887036.24896626j</v>
      </c>
      <c r="AN93" s="86" t="str">
        <f t="shared" si="45"/>
        <v>10963.1385907517-2887036.24896626j</v>
      </c>
      <c r="AO93" s="86" t="str">
        <f t="shared" si="46"/>
        <v>30.0999988050551-0.000313815550552433j</v>
      </c>
      <c r="AP93" s="86" t="str">
        <f t="shared" si="47"/>
        <v>0.666666666668581+7.98921016351385E-07j</v>
      </c>
      <c r="AQ93" s="86" t="str">
        <f t="shared" si="29"/>
        <v>1+0.133467057563882j</v>
      </c>
      <c r="AR93" s="86">
        <f t="shared" si="30"/>
        <v>9.9681173835646465E-8</v>
      </c>
      <c r="AS93" s="86" t="str">
        <f t="shared" si="31"/>
        <v>7.03710029710462E-07j</v>
      </c>
      <c r="AT93" s="86" t="str">
        <f t="shared" si="32"/>
        <v>9.96811738356465E-08+7.03710029710462E-07j</v>
      </c>
      <c r="AU93" s="86" t="str">
        <f t="shared" si="33"/>
        <v>38.3263438402727-136.675023797438j</v>
      </c>
      <c r="AW93" s="86" t="str">
        <f t="shared" si="48"/>
        <v>25.3996125988232-91.1588451176041j</v>
      </c>
      <c r="AX93" s="86">
        <f t="shared" si="34"/>
        <v>39.520692450982182</v>
      </c>
      <c r="AY93" s="86">
        <f t="shared" si="35"/>
        <v>105.56944575822712</v>
      </c>
      <c r="AZ93" s="86" t="str">
        <f t="shared" si="36"/>
        <v>232.3029043648-879.360335598064j</v>
      </c>
      <c r="BA93" s="86">
        <f t="shared" si="37"/>
        <v>59.176311265279431</v>
      </c>
      <c r="BB93" s="86">
        <f t="shared" si="38"/>
        <v>104.79792202677154</v>
      </c>
      <c r="BD93" s="86" t="str">
        <f t="shared" si="39"/>
        <v>44.5745253028501-224.428485165023j</v>
      </c>
      <c r="BE93" s="86">
        <f t="shared" si="40"/>
        <v>47.189584398204801</v>
      </c>
      <c r="BF93" s="86">
        <f t="shared" si="41"/>
        <v>101.23352655458973</v>
      </c>
      <c r="BH93" s="86">
        <f t="shared" si="49"/>
        <v>-46.189584398204801</v>
      </c>
      <c r="BI93" s="157">
        <f t="shared" si="50"/>
        <v>-101.23352655458973</v>
      </c>
      <c r="BJ93" s="88"/>
      <c r="BK93" s="88"/>
      <c r="BL93" s="88"/>
      <c r="BM93" s="88"/>
      <c r="BN93" s="42"/>
      <c r="BO93" s="42"/>
      <c r="BP93" s="42"/>
    </row>
    <row r="94" spans="1:68" s="86" customFormat="1">
      <c r="A94" s="86">
        <v>30</v>
      </c>
      <c r="B94" s="86">
        <f t="shared" si="42"/>
        <v>398.10717055349727</v>
      </c>
      <c r="C94" s="86" t="str">
        <f t="shared" si="0"/>
        <v>2501.38112470457j</v>
      </c>
      <c r="D94" s="86">
        <f t="shared" si="1"/>
        <v>0.99999984151068078</v>
      </c>
      <c r="E94" s="86" t="str">
        <f t="shared" si="2"/>
        <v>-0.000625345281176143j</v>
      </c>
      <c r="F94" s="86" t="str">
        <f t="shared" si="3"/>
        <v>0.999999841510681-0.000625345281176143j</v>
      </c>
      <c r="G94" s="86">
        <f t="shared" si="4"/>
        <v>3.2171712206975135E-7</v>
      </c>
      <c r="H94" s="86">
        <f t="shared" si="5"/>
        <v>-3.5829646357956095E-2</v>
      </c>
      <c r="J94" s="86">
        <f t="shared" si="6"/>
        <v>4.8</v>
      </c>
      <c r="K94" s="86" t="str">
        <f t="shared" si="7"/>
        <v>1+0.102268967283546j</v>
      </c>
      <c r="L94" s="86">
        <f t="shared" si="8"/>
        <v>0.99897674534237568</v>
      </c>
      <c r="M94" s="86" t="str">
        <f t="shared" si="9"/>
        <v>0.014300395889936j</v>
      </c>
      <c r="N94" s="86" t="str">
        <f t="shared" si="10"/>
        <v>0.998976745342376+0.014300395889936j</v>
      </c>
      <c r="O94" s="86" t="str">
        <f t="shared" si="11"/>
        <v>1.00228439849273+0.0880259765813223j</v>
      </c>
      <c r="P94" s="86" t="str">
        <f t="shared" si="12"/>
        <v>4.8109651127651+0.422524687590347j</v>
      </c>
      <c r="R94" s="86">
        <f t="shared" si="13"/>
        <v>11.52</v>
      </c>
      <c r="S94" s="86" t="str">
        <f t="shared" si="14"/>
        <v>1+0.000212617395599888j</v>
      </c>
      <c r="T94" s="86" t="str">
        <f t="shared" si="15"/>
        <v>0.998976745342376+0.014300395889936j</v>
      </c>
      <c r="U94" s="86" t="str">
        <f t="shared" si="16"/>
        <v>1.0008222605474-0.0141139793407867j</v>
      </c>
      <c r="V94" s="86" t="str">
        <f t="shared" si="17"/>
        <v>11.529472441506-0.162593042005863j</v>
      </c>
      <c r="X94" s="86" t="str">
        <f t="shared" si="18"/>
        <v>2.96791359189111+0.258787861501508j</v>
      </c>
      <c r="Y94" s="86">
        <f t="shared" si="19"/>
        <v>9.4819195960548477</v>
      </c>
      <c r="Z94" s="86">
        <f t="shared" si="20"/>
        <v>-175.01668611333821</v>
      </c>
      <c r="AB94" s="86" t="str">
        <f t="shared" si="21"/>
        <v>9.61109740038846-0.135539381465374j</v>
      </c>
      <c r="AC94" s="86">
        <f t="shared" si="22"/>
        <v>19.656323196571968</v>
      </c>
      <c r="AD94" s="86">
        <f t="shared" si="23"/>
        <v>179.19204650230401</v>
      </c>
      <c r="AF94" s="86" t="str">
        <f t="shared" si="24"/>
        <v>2.40972629307229-0.191321529078888j</v>
      </c>
      <c r="AG94" s="86">
        <f t="shared" si="25"/>
        <v>7.6666448168804955</v>
      </c>
      <c r="AH94" s="86">
        <f t="shared" si="26"/>
        <v>175.46049294708857</v>
      </c>
      <c r="AJ94" s="86" t="str">
        <f t="shared" si="27"/>
        <v>15.0499999997867-0.0000566569078190368j</v>
      </c>
      <c r="AK94" s="86" t="str">
        <f t="shared" si="28"/>
        <v>30.1-2.26627631279359E-12j</v>
      </c>
      <c r="AL94" s="86" t="str">
        <f t="shared" si="43"/>
        <v>10000-8883980.93467134j</v>
      </c>
      <c r="AM94" s="86" t="str">
        <f t="shared" si="44"/>
        <v>963.138539681609-2757098.27912521j</v>
      </c>
      <c r="AN94" s="86" t="str">
        <f t="shared" si="45"/>
        <v>10963.1385396816-2757098.27912521j</v>
      </c>
      <c r="AO94" s="86" t="str">
        <f t="shared" si="46"/>
        <v>30.0999986897709-0.000328604754297949j</v>
      </c>
      <c r="AP94" s="86" t="str">
        <f t="shared" si="47"/>
        <v>0.666666666668766+8.36573003858911E-07j</v>
      </c>
      <c r="AQ94" s="86" t="str">
        <f t="shared" si="29"/>
        <v>1+0.139757166199494j</v>
      </c>
      <c r="AR94" s="86">
        <f t="shared" si="30"/>
        <v>9.9650414062426383E-8</v>
      </c>
      <c r="AS94" s="86" t="str">
        <f t="shared" si="31"/>
        <v>7.3687486165957E-07j</v>
      </c>
      <c r="AT94" s="86" t="str">
        <f t="shared" si="32"/>
        <v>9.96504140624264E-08+7.3687486165957E-07j</v>
      </c>
      <c r="AU94" s="86" t="str">
        <f t="shared" si="33"/>
        <v>36.64831701925-130.752160302155j</v>
      </c>
      <c r="AW94" s="86" t="str">
        <f t="shared" si="48"/>
        <v>24.2806600554325-87.2103120172047j</v>
      </c>
      <c r="AX94" s="86">
        <f t="shared" si="34"/>
        <v>39.135589725245929</v>
      </c>
      <c r="AY94" s="86">
        <f t="shared" si="35"/>
        <v>105.55800085917974</v>
      </c>
      <c r="AZ94" s="86" t="str">
        <f t="shared" si="36"/>
        <v>221.543356990269-841.477788761107j</v>
      </c>
      <c r="BA94" s="86">
        <f t="shared" si="37"/>
        <v>58.791912921817904</v>
      </c>
      <c r="BB94" s="86">
        <f t="shared" si="38"/>
        <v>104.75004736148375</v>
      </c>
      <c r="BD94" s="86" t="str">
        <f t="shared" si="39"/>
        <v>41.8245347021474-214.798394903747j</v>
      </c>
      <c r="BE94" s="86">
        <f t="shared" si="40"/>
        <v>46.802234542126442</v>
      </c>
      <c r="BF94" s="86">
        <f t="shared" si="41"/>
        <v>101.01849380626834</v>
      </c>
      <c r="BH94" s="86">
        <f t="shared" si="49"/>
        <v>-45.802234542126442</v>
      </c>
      <c r="BI94" s="157">
        <f t="shared" si="50"/>
        <v>-101.01849380626834</v>
      </c>
      <c r="BJ94" s="88"/>
      <c r="BK94" s="88"/>
      <c r="BL94" s="88"/>
      <c r="BM94" s="88"/>
      <c r="BN94" s="42"/>
      <c r="BO94" s="42"/>
      <c r="BP94" s="42"/>
    </row>
    <row r="95" spans="1:68" s="86" customFormat="1">
      <c r="A95" s="86">
        <v>31</v>
      </c>
      <c r="B95" s="86">
        <f t="shared" si="42"/>
        <v>416.86938347033549</v>
      </c>
      <c r="C95" s="86" t="str">
        <f t="shared" si="0"/>
        <v>2619.26758523382j</v>
      </c>
      <c r="D95" s="86">
        <f t="shared" si="1"/>
        <v>0.99999982621991712</v>
      </c>
      <c r="E95" s="86" t="str">
        <f t="shared" si="2"/>
        <v>-0.000654816896308455j</v>
      </c>
      <c r="F95" s="86" t="str">
        <f t="shared" si="3"/>
        <v>0.999999826219917-0.000654816896308455j</v>
      </c>
      <c r="G95" s="86">
        <f t="shared" si="4"/>
        <v>3.527558171686142E-7</v>
      </c>
      <c r="H95" s="86">
        <f t="shared" si="5"/>
        <v>-3.7518245669831231E-2</v>
      </c>
      <c r="J95" s="86">
        <f t="shared" si="6"/>
        <v>4.8</v>
      </c>
      <c r="K95" s="86" t="str">
        <f t="shared" si="7"/>
        <v>1+0.107088755222285j</v>
      </c>
      <c r="L95" s="86">
        <f t="shared" si="8"/>
        <v>0.99887802357881295</v>
      </c>
      <c r="M95" s="86" t="str">
        <f t="shared" si="9"/>
        <v>0.0149743527847817j</v>
      </c>
      <c r="N95" s="86" t="str">
        <f t="shared" si="10"/>
        <v>0.998878023578813+0.0149743527847817j</v>
      </c>
      <c r="O95" s="86" t="str">
        <f t="shared" si="11"/>
        <v>1.00250512765566+0.0921803139109222j</v>
      </c>
      <c r="P95" s="86" t="str">
        <f t="shared" si="12"/>
        <v>4.81202461274717+0.442465506772427j</v>
      </c>
      <c r="R95" s="86">
        <f t="shared" si="13"/>
        <v>11.52</v>
      </c>
      <c r="S95" s="86" t="str">
        <f t="shared" si="14"/>
        <v>1+0.000222637744744875j</v>
      </c>
      <c r="T95" s="86" t="str">
        <f t="shared" si="15"/>
        <v>0.998878023578813+0.0149743527847817j</v>
      </c>
      <c r="U95" s="86" t="str">
        <f t="shared" si="16"/>
        <v>1.00090164013195-0.0147818013500349j</v>
      </c>
      <c r="V95" s="86" t="str">
        <f t="shared" si="17"/>
        <v>11.5303868943201-0.170286351552402j</v>
      </c>
      <c r="X95" s="86" t="str">
        <f t="shared" si="18"/>
        <v>2.96858285903486+0.271000901796893j</v>
      </c>
      <c r="Y95" s="86">
        <f t="shared" si="19"/>
        <v>9.4870267655981504</v>
      </c>
      <c r="Z95" s="86">
        <f t="shared" si="20"/>
        <v>-174.78394590834245</v>
      </c>
      <c r="AB95" s="86" t="str">
        <f t="shared" si="21"/>
        <v>9.61185969849958-0.141952610497167j</v>
      </c>
      <c r="AC95" s="86">
        <f t="shared" si="22"/>
        <v>19.657095586610904</v>
      </c>
      <c r="AD95" s="86">
        <f t="shared" si="23"/>
        <v>179.15388962252484</v>
      </c>
      <c r="AF95" s="86" t="str">
        <f t="shared" si="24"/>
        <v>2.40831525265376-0.200224675659359j</v>
      </c>
      <c r="AG95" s="86">
        <f t="shared" si="25"/>
        <v>7.6641822198704288</v>
      </c>
      <c r="AH95" s="86">
        <f t="shared" si="26"/>
        <v>175.24742199274061</v>
      </c>
      <c r="AJ95" s="86" t="str">
        <f t="shared" si="27"/>
        <v>15.0499999997661-0.0000593270656215204j</v>
      </c>
      <c r="AK95" s="86" t="str">
        <f t="shared" si="28"/>
        <v>30.1-2.37308262489769E-12j</v>
      </c>
      <c r="AL95" s="86" t="str">
        <f t="shared" si="43"/>
        <v>10000-8484135.92696694j</v>
      </c>
      <c r="AM95" s="86" t="str">
        <f t="shared" si="44"/>
        <v>963.138483684393-2633008.4843848j</v>
      </c>
      <c r="AN95" s="86" t="str">
        <f t="shared" si="45"/>
        <v>10963.1384836844-2633008.4843848j</v>
      </c>
      <c r="AO95" s="86" t="str">
        <f t="shared" si="46"/>
        <v>30.0999985633646-0.000344090882481504j</v>
      </c>
      <c r="AP95" s="86" t="str">
        <f t="shared" si="47"/>
        <v>0.666666666668969+8.75999474868827E-07j</v>
      </c>
      <c r="AQ95" s="86" t="str">
        <f t="shared" si="29"/>
        <v>1+0.146343718522184j</v>
      </c>
      <c r="AR95" s="86">
        <f t="shared" si="30"/>
        <v>9.9616686641772258E-8</v>
      </c>
      <c r="AS95" s="86" t="str">
        <f t="shared" si="31"/>
        <v>7.71602703984792E-07j</v>
      </c>
      <c r="AT95" s="86" t="str">
        <f t="shared" si="32"/>
        <v>9.96166866417723E-08+7.71602703984792E-07j</v>
      </c>
      <c r="AU95" s="86" t="str">
        <f t="shared" si="33"/>
        <v>35.1128244044785-125.067183248354j</v>
      </c>
      <c r="AW95" s="86" t="str">
        <f t="shared" si="48"/>
        <v>23.2567523372065-83.4204531939227j</v>
      </c>
      <c r="AX95" s="86">
        <f t="shared" si="34"/>
        <v>38.750524928913201</v>
      </c>
      <c r="AY95" s="86">
        <f t="shared" si="35"/>
        <v>105.57791572500619</v>
      </c>
      <c r="AZ95" s="86" t="str">
        <f t="shared" si="36"/>
        <v>211.698889408247-805.127048791189j</v>
      </c>
      <c r="BA95" s="86">
        <f t="shared" si="37"/>
        <v>58.407620515524101</v>
      </c>
      <c r="BB95" s="86">
        <f t="shared" si="38"/>
        <v>104.73180534753104</v>
      </c>
      <c r="BD95" s="86" t="str">
        <f t="shared" si="39"/>
        <v>39.3067581967754-205.55932550382j</v>
      </c>
      <c r="BE95" s="86">
        <f t="shared" si="40"/>
        <v>46.414707148783606</v>
      </c>
      <c r="BF95" s="86">
        <f t="shared" si="41"/>
        <v>100.82533771774679</v>
      </c>
      <c r="BH95" s="86">
        <f t="shared" si="49"/>
        <v>-45.414707148783606</v>
      </c>
      <c r="BI95" s="157">
        <f t="shared" si="50"/>
        <v>-100.82533771774679</v>
      </c>
      <c r="BJ95" s="88"/>
      <c r="BK95" s="88"/>
      <c r="BL95" s="88"/>
      <c r="BM95" s="88"/>
      <c r="BN95" s="42"/>
      <c r="BO95" s="42"/>
      <c r="BP95" s="42"/>
    </row>
    <row r="96" spans="1:68" s="86" customFormat="1">
      <c r="A96" s="86">
        <v>32</v>
      </c>
      <c r="B96" s="86">
        <f t="shared" si="42"/>
        <v>436.51583224016599</v>
      </c>
      <c r="C96" s="86" t="str">
        <f t="shared" si="0"/>
        <v>2742.70986348268j</v>
      </c>
      <c r="D96" s="86">
        <f t="shared" si="1"/>
        <v>0.99999980945392819</v>
      </c>
      <c r="E96" s="86" t="str">
        <f t="shared" si="2"/>
        <v>-0.00068567746587067j</v>
      </c>
      <c r="F96" s="86" t="str">
        <f t="shared" si="3"/>
        <v>0.999999809453928-0.00068567746587067j</v>
      </c>
      <c r="G96" s="86">
        <f t="shared" si="4"/>
        <v>3.8678907282140438E-7</v>
      </c>
      <c r="H96" s="86">
        <f t="shared" si="5"/>
        <v>-3.9286426230604007E-2</v>
      </c>
      <c r="J96" s="86">
        <f t="shared" si="6"/>
        <v>4.8</v>
      </c>
      <c r="K96" s="86" t="str">
        <f t="shared" si="7"/>
        <v>1+0.112135692768489j</v>
      </c>
      <c r="L96" s="86">
        <f t="shared" si="8"/>
        <v>0.99876977731758165</v>
      </c>
      <c r="M96" s="86" t="str">
        <f t="shared" si="9"/>
        <v>0.0156800722895305j</v>
      </c>
      <c r="N96" s="86" t="str">
        <f t="shared" si="10"/>
        <v>0.998769777317582+0.0156800722895305j</v>
      </c>
      <c r="O96" s="86" t="str">
        <f t="shared" si="11"/>
        <v>1.00274722011929+0.0965312988623165j</v>
      </c>
      <c r="P96" s="86" t="str">
        <f t="shared" si="12"/>
        <v>4.81318665657259+0.463350234539119j</v>
      </c>
      <c r="R96" s="86">
        <f t="shared" si="13"/>
        <v>11.52</v>
      </c>
      <c r="S96" s="86" t="str">
        <f t="shared" si="14"/>
        <v>1+0.000233130338396028j</v>
      </c>
      <c r="T96" s="86" t="str">
        <f t="shared" si="15"/>
        <v>0.998769777317582+0.0156800722895305j</v>
      </c>
      <c r="U96" s="86" t="str">
        <f t="shared" si="16"/>
        <v>1.00098868810138-0.0154814903326007j</v>
      </c>
      <c r="V96" s="86" t="str">
        <f t="shared" si="17"/>
        <v>11.5313896869279-0.17834676863156j</v>
      </c>
      <c r="X96" s="86" t="str">
        <f t="shared" si="18"/>
        <v>2.96931689872251+0.283792006451219j</v>
      </c>
      <c r="Y96" s="86">
        <f t="shared" si="19"/>
        <v>9.4926217584441712</v>
      </c>
      <c r="Z96" s="86">
        <f t="shared" si="20"/>
        <v>-174.54054759117258</v>
      </c>
      <c r="AB96" s="86" t="str">
        <f t="shared" si="21"/>
        <v>9.61269563765247-0.148671864481127j</v>
      </c>
      <c r="AC96" s="86">
        <f t="shared" si="22"/>
        <v>19.657942555844492</v>
      </c>
      <c r="AD96" s="86">
        <f t="shared" si="23"/>
        <v>179.11392271365494</v>
      </c>
      <c r="AF96" s="86" t="str">
        <f t="shared" si="24"/>
        <v>2.40676991302297-0.209530745058933j</v>
      </c>
      <c r="AG96" s="86">
        <f t="shared" si="25"/>
        <v>7.6614836360378566</v>
      </c>
      <c r="AH96" s="86">
        <f t="shared" si="26"/>
        <v>175.02443741079048</v>
      </c>
      <c r="AJ96" s="86" t="str">
        <f t="shared" si="27"/>
        <v>15.0499999997436-0.00006212306408429j</v>
      </c>
      <c r="AK96" s="86" t="str">
        <f t="shared" si="28"/>
        <v>30.1-2.48492256341394E-12j</v>
      </c>
      <c r="AL96" s="86" t="str">
        <f t="shared" si="43"/>
        <v>10000-8102286.9090515j</v>
      </c>
      <c r="AM96" s="86" t="str">
        <f t="shared" si="44"/>
        <v>963.138422284679-2514503.65365335j</v>
      </c>
      <c r="AN96" s="86" t="str">
        <f t="shared" si="45"/>
        <v>10963.1384222847-2514503.65365335j</v>
      </c>
      <c r="AO96" s="86" t="str">
        <f t="shared" si="46"/>
        <v>30.0999984247634-0.000360306769879074j</v>
      </c>
      <c r="AP96" s="86" t="str">
        <f t="shared" si="47"/>
        <v>0.66666666666919+9.17284058212133E-07j</v>
      </c>
      <c r="AQ96" s="86" t="str">
        <f t="shared" si="29"/>
        <v>1+0.153240685492504j</v>
      </c>
      <c r="AR96" s="86">
        <f t="shared" ref="AR96:AR127" si="51">(IMPRODUCT(C96,C96))*_res1*_Cap1*_cap2 + (1/Roerr)</f>
        <v>9.9579705260412852E-8</v>
      </c>
      <c r="AS96" s="86" t="str">
        <f t="shared" si="31"/>
        <v>8.07967219095745E-07j</v>
      </c>
      <c r="AT96" s="86" t="str">
        <f t="shared" si="32"/>
        <v>9.95797052604129E-08+8.07967219095745E-07j</v>
      </c>
      <c r="AU96" s="86" t="str">
        <f t="shared" si="33"/>
        <v>33.7081644401918-119.612960323238j</v>
      </c>
      <c r="AW96" s="86" t="str">
        <f t="shared" si="48"/>
        <v>22.3200865285624-79.7845148141077j</v>
      </c>
      <c r="AX96" s="86">
        <f t="shared" si="34"/>
        <v>38.365617773100105</v>
      </c>
      <c r="AY96" s="86">
        <f t="shared" si="35"/>
        <v>105.62920843582606</v>
      </c>
      <c r="AZ96" s="86" t="str">
        <f t="shared" si="36"/>
        <v>202.694485831002-770.262626385373j</v>
      </c>
      <c r="BA96" s="86">
        <f t="shared" si="37"/>
        <v>58.02356032894459</v>
      </c>
      <c r="BB96" s="86">
        <f t="shared" si="38"/>
        <v>104.74313114948102</v>
      </c>
      <c r="BD96" s="86" t="str">
        <f t="shared" si="39"/>
        <v>37.0020038798478-196.699714139839j</v>
      </c>
      <c r="BE96" s="86">
        <f t="shared" si="40"/>
        <v>46.027101409137941</v>
      </c>
      <c r="BF96" s="86">
        <f t="shared" si="41"/>
        <v>100.65364584661656</v>
      </c>
      <c r="BH96" s="86">
        <f t="shared" si="49"/>
        <v>-45.027101409137941</v>
      </c>
      <c r="BI96" s="157">
        <f t="shared" si="50"/>
        <v>-100.65364584661656</v>
      </c>
      <c r="BJ96" s="88"/>
      <c r="BK96" s="88"/>
      <c r="BL96" s="88"/>
      <c r="BM96" s="88"/>
      <c r="BN96" s="42"/>
      <c r="BO96" s="42"/>
      <c r="BP96" s="42"/>
    </row>
    <row r="97" spans="1:68" s="86" customFormat="1">
      <c r="A97" s="86">
        <v>33</v>
      </c>
      <c r="B97" s="86">
        <f t="shared" si="42"/>
        <v>457.08818961487509</v>
      </c>
      <c r="C97" s="86" t="str">
        <f t="shared" si="0"/>
        <v>2871.9697970735j</v>
      </c>
      <c r="D97" s="86">
        <f t="shared" si="1"/>
        <v>0.99999979107038695</v>
      </c>
      <c r="E97" s="86" t="str">
        <f t="shared" si="2"/>
        <v>-0.000717992449268375j</v>
      </c>
      <c r="F97" s="86" t="str">
        <f t="shared" si="3"/>
        <v>0.999999791070387-0.000717992449268375j</v>
      </c>
      <c r="G97" s="86">
        <f t="shared" si="4"/>
        <v>4.2410580341645404E-7</v>
      </c>
      <c r="H97" s="86">
        <f t="shared" si="5"/>
        <v>-4.1137938591222306E-2</v>
      </c>
      <c r="J97" s="86">
        <f t="shared" si="6"/>
        <v>4.8</v>
      </c>
      <c r="K97" s="86" t="str">
        <f t="shared" si="7"/>
        <v>1+0.11742048515335j</v>
      </c>
      <c r="L97" s="86">
        <f t="shared" si="8"/>
        <v>0.99865108765232746</v>
      </c>
      <c r="M97" s="86" t="str">
        <f t="shared" si="9"/>
        <v>0.0164190513298692j</v>
      </c>
      <c r="N97" s="86" t="str">
        <f t="shared" si="10"/>
        <v>0.998651087652327+0.0164190513298692j</v>
      </c>
      <c r="O97" s="86" t="str">
        <f t="shared" si="11"/>
        <v>1.00301275070771+0.101088326606932j</v>
      </c>
      <c r="P97" s="86" t="str">
        <f t="shared" si="12"/>
        <v>4.81446120339701+0.485223967713274j</v>
      </c>
      <c r="R97" s="86">
        <f t="shared" si="13"/>
        <v>11.52</v>
      </c>
      <c r="S97" s="86" t="str">
        <f t="shared" si="14"/>
        <v>1+0.000244117432751248j</v>
      </c>
      <c r="T97" s="86" t="str">
        <f t="shared" si="15"/>
        <v>0.998651087652327+0.0164190513298692j</v>
      </c>
      <c r="U97" s="86" t="str">
        <f t="shared" si="16"/>
        <v>1.00108414630739-0.0162146066340895j</v>
      </c>
      <c r="V97" s="86" t="str">
        <f t="shared" si="17"/>
        <v>11.5324893654611-0.186792268424711j</v>
      </c>
      <c r="X97" s="86" t="str">
        <f t="shared" si="18"/>
        <v>2.97012200120649+0.297188786647857j</v>
      </c>
      <c r="Y97" s="86">
        <f t="shared" si="19"/>
        <v>9.4987506594383575</v>
      </c>
      <c r="Z97" s="86">
        <f t="shared" si="20"/>
        <v>-174.2860341293717</v>
      </c>
      <c r="AB97" s="86" t="str">
        <f t="shared" si="21"/>
        <v>9.61361234199825-0.155712127729836j</v>
      </c>
      <c r="AC97" s="86">
        <f t="shared" si="22"/>
        <v>19.658871311760841</v>
      </c>
      <c r="AD97" s="86">
        <f t="shared" si="23"/>
        <v>179.07205872650729</v>
      </c>
      <c r="AF97" s="86" t="str">
        <f t="shared" si="24"/>
        <v>2.40507768435888-0.219256296474959j</v>
      </c>
      <c r="AG97" s="86">
        <f t="shared" si="25"/>
        <v>7.6585266190496295</v>
      </c>
      <c r="AH97" s="86">
        <f t="shared" si="26"/>
        <v>174.79109078153718</v>
      </c>
      <c r="AJ97" s="86" t="str">
        <f t="shared" si="27"/>
        <v>15.0499999997188-0.0000650508338949487j</v>
      </c>
      <c r="AK97" s="86" t="str">
        <f t="shared" si="28"/>
        <v>30.1-2.60203335584656E-12j</v>
      </c>
      <c r="AL97" s="86" t="str">
        <f t="shared" si="43"/>
        <v>10000-7737623.92796271j</v>
      </c>
      <c r="AM97" s="86" t="str">
        <f t="shared" si="44"/>
        <v>963.138354961241-2401332.42229666j</v>
      </c>
      <c r="AN97" s="86" t="str">
        <f t="shared" si="45"/>
        <v>10963.1383549612-2401332.42229666j</v>
      </c>
      <c r="AO97" s="86" t="str">
        <f t="shared" si="46"/>
        <v>30.0999982727907-0.000377286797201654j</v>
      </c>
      <c r="AP97" s="86" t="str">
        <f t="shared" si="47"/>
        <v>0.666666666669435+9.6051432402521E-07j</v>
      </c>
      <c r="AQ97" s="86" t="str">
        <f t="shared" si="29"/>
        <v>1+0.160462696502091j</v>
      </c>
      <c r="AR97" s="86">
        <f t="shared" si="51"/>
        <v>9.9539155982089024E-8</v>
      </c>
      <c r="AS97" s="86" t="str">
        <f t="shared" si="31"/>
        <v>8.46045541004451E-07j</v>
      </c>
      <c r="AT97" s="86" t="str">
        <f t="shared" si="32"/>
        <v>9.9539155982089E-08+8.46045541004451E-07j</v>
      </c>
      <c r="AU97" s="86" t="str">
        <f t="shared" si="33"/>
        <v>32.4235287120549-114.382246141443j</v>
      </c>
      <c r="AW97" s="86" t="str">
        <f t="shared" si="48"/>
        <v>21.4634552783242-76.2976677465422j</v>
      </c>
      <c r="AX97" s="86">
        <f t="shared" si="34"/>
        <v>37.980989010349155</v>
      </c>
      <c r="AY97" s="86">
        <f t="shared" si="35"/>
        <v>105.71193373117917</v>
      </c>
      <c r="AZ97" s="86" t="str">
        <f t="shared" si="36"/>
        <v>194.460866379987-736.838320603662j</v>
      </c>
      <c r="BA97" s="86">
        <f t="shared" si="37"/>
        <v>57.639860322110003</v>
      </c>
      <c r="BB97" s="86">
        <f t="shared" si="38"/>
        <v>104.78399245768647</v>
      </c>
      <c r="BD97" s="86" t="str">
        <f t="shared" si="39"/>
        <v>34.8925332593486-188.207815779718j</v>
      </c>
      <c r="BE97" s="86">
        <f t="shared" si="40"/>
        <v>45.639515629398772</v>
      </c>
      <c r="BF97" s="86">
        <f t="shared" si="41"/>
        <v>100.50302451271638</v>
      </c>
      <c r="BH97" s="86">
        <f t="shared" si="49"/>
        <v>-44.639515629398772</v>
      </c>
      <c r="BI97" s="157">
        <f t="shared" si="50"/>
        <v>-100.50302451271638</v>
      </c>
      <c r="BJ97" s="88"/>
      <c r="BK97" s="88"/>
      <c r="BL97" s="88"/>
      <c r="BM97" s="88"/>
      <c r="BN97" s="42"/>
      <c r="BO97" s="42"/>
      <c r="BP97" s="42"/>
    </row>
    <row r="98" spans="1:68" s="86" customFormat="1">
      <c r="A98" s="86">
        <v>34</v>
      </c>
      <c r="B98" s="86">
        <f t="shared" si="42"/>
        <v>478.6300923226384</v>
      </c>
      <c r="C98" s="86" t="str">
        <f t="shared" si="0"/>
        <v>3007.32156365561j</v>
      </c>
      <c r="D98" s="86">
        <f t="shared" si="1"/>
        <v>0.99999977091323478</v>
      </c>
      <c r="E98" s="86" t="str">
        <f t="shared" si="2"/>
        <v>-0.000751830390913903j</v>
      </c>
      <c r="F98" s="86" t="str">
        <f t="shared" si="3"/>
        <v>0.999999770913235-0.000751830390913903j</v>
      </c>
      <c r="G98" s="86">
        <f t="shared" si="4"/>
        <v>4.6502278660994261E-7</v>
      </c>
      <c r="H98" s="86">
        <f t="shared" si="5"/>
        <v>-4.3076710060986144E-2</v>
      </c>
      <c r="J98" s="86">
        <f t="shared" si="6"/>
        <v>4.8</v>
      </c>
      <c r="K98" s="86" t="str">
        <f t="shared" si="7"/>
        <v>1+0.12295434213006j</v>
      </c>
      <c r="L98" s="86">
        <f t="shared" si="8"/>
        <v>0.99852094702226868</v>
      </c>
      <c r="M98" s="86" t="str">
        <f t="shared" si="9"/>
        <v>0.0171928573794191j</v>
      </c>
      <c r="N98" s="86" t="str">
        <f t="shared" si="10"/>
        <v>0.998520947022269+0.0171928573794191j</v>
      </c>
      <c r="O98" s="86" t="str">
        <f t="shared" si="11"/>
        <v>1.00330399720668+0.105861254000841j</v>
      </c>
      <c r="P98" s="86" t="str">
        <f t="shared" si="12"/>
        <v>4.81585918659206+0.508134019204037j</v>
      </c>
      <c r="R98" s="86">
        <f t="shared" si="13"/>
        <v>11.52</v>
      </c>
      <c r="S98" s="86" t="str">
        <f t="shared" si="14"/>
        <v>1+0.000255622332910727j</v>
      </c>
      <c r="T98" s="86" t="str">
        <f t="shared" si="15"/>
        <v>0.998520947022269+0.0171928573794191j</v>
      </c>
      <c r="U98" s="86" t="str">
        <f t="shared" si="16"/>
        <v>1.00118882858269-0.0169827928571246j</v>
      </c>
      <c r="V98" s="86" t="str">
        <f t="shared" si="17"/>
        <v>11.5336953052726-0.195641773714075j</v>
      </c>
      <c r="X98" s="86" t="str">
        <f t="shared" si="18"/>
        <v>2.97100507195412+0.311220209396289j</v>
      </c>
      <c r="Y98" s="86">
        <f t="shared" si="19"/>
        <v>9.5054638056032115</v>
      </c>
      <c r="Z98" s="86">
        <f t="shared" si="20"/>
        <v>-174.01993346780066</v>
      </c>
      <c r="AB98" s="86" t="str">
        <f t="shared" si="21"/>
        <v>9.61461762693614-0.163089174486558j</v>
      </c>
      <c r="AC98" s="86">
        <f t="shared" si="22"/>
        <v>19.659889759687104</v>
      </c>
      <c r="AD98" s="86">
        <f t="shared" si="23"/>
        <v>179.0282062497468</v>
      </c>
      <c r="AF98" s="86" t="str">
        <f t="shared" si="24"/>
        <v>2.40322483515756-0.229418319645295j</v>
      </c>
      <c r="AG98" s="86">
        <f t="shared" si="25"/>
        <v>7.6552866212123583</v>
      </c>
      <c r="AH98" s="86">
        <f t="shared" si="26"/>
        <v>174.5469152895823</v>
      </c>
      <c r="AJ98" s="86" t="str">
        <f t="shared" si="27"/>
        <v>15.0499999996917-0.000068116585245795j</v>
      </c>
      <c r="AK98" s="86" t="str">
        <f t="shared" si="28"/>
        <v>30.1-2.72466340988762E-12j</v>
      </c>
      <c r="AL98" s="86" t="str">
        <f t="shared" si="43"/>
        <v>10000-7389373.48462651j</v>
      </c>
      <c r="AM98" s="86" t="str">
        <f t="shared" si="44"/>
        <v>963.138281142558-2293254.7389599j</v>
      </c>
      <c r="AN98" s="86" t="str">
        <f t="shared" si="45"/>
        <v>10963.1382811426-2293254.7389599j</v>
      </c>
      <c r="AO98" s="86" t="str">
        <f t="shared" si="46"/>
        <v>30.0999981061566-0.000395066963728527j</v>
      </c>
      <c r="AP98" s="86" t="str">
        <f t="shared" si="47"/>
        <v>0.666666666669702+0.0000010057819694978j</v>
      </c>
      <c r="AQ98" s="86" t="str">
        <f t="shared" si="29"/>
        <v>1+0.168025070404566j</v>
      </c>
      <c r="AR98" s="86">
        <f t="shared" si="51"/>
        <v>9.9494694582537586E-8</v>
      </c>
      <c r="AS98" s="86" t="str">
        <f t="shared" si="31"/>
        <v>8.85918438936928E-07j</v>
      </c>
      <c r="AT98" s="86" t="str">
        <f t="shared" si="32"/>
        <v>9.94946945825376E-08+8.85918438936928E-07j</v>
      </c>
      <c r="AU98" s="86" t="str">
        <f t="shared" si="33"/>
        <v>31.2489451804277-109.367738027343j</v>
      </c>
      <c r="AW98" s="86" t="str">
        <f t="shared" si="48"/>
        <v>20.6802089459479-72.9550447642166j</v>
      </c>
      <c r="AX98" s="86">
        <f t="shared" si="34"/>
        <v>37.596761225352381</v>
      </c>
      <c r="AY98" s="86">
        <f t="shared" si="35"/>
        <v>105.82618226462401</v>
      </c>
      <c r="AZ98" s="86" t="str">
        <f t="shared" si="36"/>
        <v>186.934123435207-704.807577569157j</v>
      </c>
      <c r="BA98" s="86">
        <f t="shared" si="37"/>
        <v>57.256650985039492</v>
      </c>
      <c r="BB98" s="86">
        <f t="shared" si="38"/>
        <v>104.8543885143708</v>
      </c>
      <c r="BD98" s="86" t="str">
        <f t="shared" si="39"/>
        <v>32.9619679556957-180.07179421369j</v>
      </c>
      <c r="BE98" s="86">
        <f t="shared" si="40"/>
        <v>45.252047846564743</v>
      </c>
      <c r="BF98" s="86">
        <f t="shared" si="41"/>
        <v>100.37309755420631</v>
      </c>
      <c r="BH98" s="86">
        <f t="shared" si="49"/>
        <v>-44.252047846564743</v>
      </c>
      <c r="BI98" s="157">
        <f t="shared" si="50"/>
        <v>-100.37309755420631</v>
      </c>
      <c r="BJ98" s="88"/>
      <c r="BK98" s="88"/>
      <c r="BL98" s="88"/>
      <c r="BM98" s="88"/>
      <c r="BN98" s="42"/>
      <c r="BO98" s="42"/>
      <c r="BP98" s="42"/>
    </row>
    <row r="99" spans="1:68" s="86" customFormat="1">
      <c r="A99" s="86">
        <v>35</v>
      </c>
      <c r="B99" s="86">
        <f t="shared" si="42"/>
        <v>501.18723362727235</v>
      </c>
      <c r="C99" s="86" t="str">
        <f t="shared" si="0"/>
        <v>3149.05226247286j</v>
      </c>
      <c r="D99" s="86">
        <f t="shared" si="1"/>
        <v>0.99999974881135689</v>
      </c>
      <c r="E99" s="86" t="str">
        <f t="shared" si="2"/>
        <v>-0.000787263065618215j</v>
      </c>
      <c r="F99" s="86" t="str">
        <f t="shared" si="3"/>
        <v>0.999999748811357-0.000787263065618215j</v>
      </c>
      <c r="G99" s="86">
        <f t="shared" si="4"/>
        <v>5.0988736536943998E-7</v>
      </c>
      <c r="H99" s="86">
        <f t="shared" si="5"/>
        <v>-4.5106853037960658E-2</v>
      </c>
      <c r="J99" s="86">
        <f t="shared" si="6"/>
        <v>4.8</v>
      </c>
      <c r="K99" s="86" t="str">
        <f t="shared" si="7"/>
        <v>1+0.128749001751203j</v>
      </c>
      <c r="L99" s="86">
        <f t="shared" si="8"/>
        <v>0.99837825065897701</v>
      </c>
      <c r="M99" s="86" t="str">
        <f t="shared" si="9"/>
        <v>0.0180031317845573j</v>
      </c>
      <c r="N99" s="86" t="str">
        <f t="shared" si="10"/>
        <v>0.998378250658977+0.0180031317845573j</v>
      </c>
      <c r="O99" s="86" t="str">
        <f t="shared" si="11"/>
        <v>1.00362346051137+0.110860424149353j</v>
      </c>
      <c r="P99" s="86" t="str">
        <f t="shared" si="12"/>
        <v>4.81739261045458+0.532130035916894j</v>
      </c>
      <c r="R99" s="86">
        <f t="shared" si="13"/>
        <v>11.52</v>
      </c>
      <c r="S99" s="86" t="str">
        <f t="shared" si="14"/>
        <v>1+0.000267669442310193j</v>
      </c>
      <c r="T99" s="86" t="str">
        <f t="shared" si="15"/>
        <v>0.998378250658977+0.0180031317845573j</v>
      </c>
      <c r="U99" s="86" t="str">
        <f t="shared" si="16"/>
        <v>1.00130362776822-0.0177877790436987j</v>
      </c>
      <c r="V99" s="86" t="str">
        <f t="shared" si="17"/>
        <v>11.5350177918899-0.204915214583409j</v>
      </c>
      <c r="X99" s="86" t="str">
        <f t="shared" si="18"/>
        <v>2.97197369269815+0.325916669525707j</v>
      </c>
      <c r="Y99" s="86">
        <f t="shared" si="19"/>
        <v>9.512816158420085</v>
      </c>
      <c r="Z99" s="86">
        <f t="shared" si="20"/>
        <v>-173.741758738079</v>
      </c>
      <c r="AB99" s="86" t="str">
        <f t="shared" si="21"/>
        <v>9.61572006659711-0.170819618692405j</v>
      </c>
      <c r="AC99" s="86">
        <f t="shared" si="22"/>
        <v>19.661006570616507</v>
      </c>
      <c r="AD99" s="86">
        <f t="shared" si="23"/>
        <v>178.98226926555645</v>
      </c>
      <c r="AF99" s="86" t="str">
        <f t="shared" si="24"/>
        <v>2.40119639643591-0.240034205878206j</v>
      </c>
      <c r="AG99" s="86">
        <f t="shared" si="25"/>
        <v>7.6517368034894115</v>
      </c>
      <c r="AH99" s="86">
        <f t="shared" si="26"/>
        <v>174.29142525048971</v>
      </c>
      <c r="AJ99" s="86" t="str">
        <f t="shared" si="27"/>
        <v>15.049999999662-0.0000713268210064737j</v>
      </c>
      <c r="AK99" s="86" t="str">
        <f t="shared" si="28"/>
        <v>30.1-2.85307284032304E-12j</v>
      </c>
      <c r="AL99" s="86" t="str">
        <f t="shared" si="43"/>
        <v>10000-7056796.89316166j</v>
      </c>
      <c r="AM99" s="86" t="str">
        <f t="shared" si="44"/>
        <v>963.138200202014-2190041.35638647j</v>
      </c>
      <c r="AN99" s="86" t="str">
        <f t="shared" si="45"/>
        <v>10963.138200202-2190041.35638647j</v>
      </c>
      <c r="AO99" s="86" t="str">
        <f t="shared" si="46"/>
        <v>30.0999979234468-0.000413684963328525j</v>
      </c>
      <c r="AP99" s="86" t="str">
        <f t="shared" si="47"/>
        <v>0.666666666669994+1.05318301337508E-06j</v>
      </c>
      <c r="AQ99" s="86" t="str">
        <f t="shared" si="29"/>
        <v>1+0.175943848008884j</v>
      </c>
      <c r="AR99" s="86">
        <f t="shared" si="51"/>
        <v>9.9445943627359433E-8</v>
      </c>
      <c r="AS99" s="86" t="str">
        <f t="shared" si="31"/>
        <v>9.27670488655545E-07j</v>
      </c>
      <c r="AT99" s="86" t="str">
        <f t="shared" si="32"/>
        <v>9.94459436273594E-08+9.27670488655545E-07j</v>
      </c>
      <c r="AU99" s="86" t="str">
        <f t="shared" si="33"/>
        <v>30.1752230037699-104.562123793334j</v>
      </c>
      <c r="AW99" s="86" t="str">
        <f t="shared" si="48"/>
        <v>19.9642188080593-69.7517724090598j</v>
      </c>
      <c r="AX99" s="86">
        <f t="shared" si="34"/>
        <v>37.213059625746901</v>
      </c>
      <c r="AY99" s="86">
        <f t="shared" si="35"/>
        <v>105.97207945058761</v>
      </c>
      <c r="AZ99" s="86" t="str">
        <f t="shared" si="36"/>
        <v>180.055368240556-674.123797878796j</v>
      </c>
      <c r="BA99" s="86">
        <f t="shared" si="37"/>
        <v>56.874066196363408</v>
      </c>
      <c r="BB99" s="86">
        <f t="shared" si="38"/>
        <v>104.95434871614404</v>
      </c>
      <c r="BD99" s="86" t="str">
        <f t="shared" si="39"/>
        <v>31.1951989607639-172.279799961224j</v>
      </c>
      <c r="BE99" s="86">
        <f t="shared" si="40"/>
        <v>44.864796429236335</v>
      </c>
      <c r="BF99" s="86">
        <f t="shared" si="41"/>
        <v>100.26350470107727</v>
      </c>
      <c r="BH99" s="86">
        <f t="shared" si="49"/>
        <v>-43.864796429236335</v>
      </c>
      <c r="BI99" s="157">
        <f t="shared" si="50"/>
        <v>-100.26350470107727</v>
      </c>
      <c r="BJ99" s="88"/>
      <c r="BK99" s="88"/>
      <c r="BL99" s="88"/>
      <c r="BM99" s="88"/>
      <c r="BN99" s="42"/>
      <c r="BO99" s="42"/>
      <c r="BP99" s="42"/>
    </row>
    <row r="100" spans="1:68" s="86" customFormat="1">
      <c r="A100" s="86">
        <v>36</v>
      </c>
      <c r="B100" s="86">
        <f t="shared" si="42"/>
        <v>524.80746024977259</v>
      </c>
      <c r="C100" s="86" t="str">
        <f t="shared" si="0"/>
        <v>3297.46252333961j</v>
      </c>
      <c r="D100" s="86">
        <f t="shared" si="1"/>
        <v>0.99999972457712971</v>
      </c>
      <c r="E100" s="86" t="str">
        <f t="shared" si="2"/>
        <v>-0.000824365630834903j</v>
      </c>
      <c r="F100" s="86" t="str">
        <f t="shared" si="3"/>
        <v>0.99999972457713-0.000824365630834903j</v>
      </c>
      <c r="G100" s="86">
        <f t="shared" si="4"/>
        <v>5.590804065281488E-7</v>
      </c>
      <c r="H100" s="86">
        <f t="shared" si="5"/>
        <v>-4.7232673731997597E-2</v>
      </c>
      <c r="J100" s="86">
        <f t="shared" si="6"/>
        <v>4.8</v>
      </c>
      <c r="K100" s="86" t="str">
        <f t="shared" si="7"/>
        <v>1+0.13481675526674j</v>
      </c>
      <c r="L100" s="86">
        <f t="shared" si="8"/>
        <v>0.99822178720795873</v>
      </c>
      <c r="M100" s="86" t="str">
        <f t="shared" si="9"/>
        <v>0.0188515932459325j</v>
      </c>
      <c r="N100" s="86" t="str">
        <f t="shared" si="10"/>
        <v>0.998221787207959+0.0188515932459325j</v>
      </c>
      <c r="O100" s="86" t="str">
        <f t="shared" si="11"/>
        <v>1.00397388683353+0.116096692546416j</v>
      </c>
      <c r="P100" s="86" t="str">
        <f t="shared" si="12"/>
        <v>4.81907465680094+0.557264124222797j</v>
      </c>
      <c r="R100" s="86">
        <f t="shared" si="13"/>
        <v>11.52</v>
      </c>
      <c r="S100" s="86" t="str">
        <f t="shared" si="14"/>
        <v>1+0.000280284314483867j</v>
      </c>
      <c r="T100" s="86" t="str">
        <f t="shared" si="15"/>
        <v>0.998221787207959+0.0188515932459325j</v>
      </c>
      <c r="U100" s="86" t="str">
        <f t="shared" si="16"/>
        <v>1.00142952343508-0.0186313882987888j</v>
      </c>
      <c r="V100" s="86" t="str">
        <f t="shared" si="17"/>
        <v>11.5364681099721-0.214633593202047j</v>
      </c>
      <c r="X100" s="86" t="str">
        <f t="shared" si="18"/>
        <v>2.97303618872338+0.341310066274436j</v>
      </c>
      <c r="Y100" s="86">
        <f t="shared" si="19"/>
        <v>9.5208677047471628</v>
      </c>
      <c r="Z100" s="86">
        <f t="shared" si="20"/>
        <v>-173.45100860183695</v>
      </c>
      <c r="AB100" s="86" t="str">
        <f t="shared" si="21"/>
        <v>9.61692906799942-0.178920967991036j</v>
      </c>
      <c r="AC100" s="86">
        <f t="shared" si="22"/>
        <v>19.662231255681309</v>
      </c>
      <c r="AD100" s="86">
        <f t="shared" si="23"/>
        <v>178.93414688797282</v>
      </c>
      <c r="AF100" s="86" t="str">
        <f t="shared" si="24"/>
        <v>2.3989760594693-0.251121711065983j</v>
      </c>
      <c r="AG100" s="86">
        <f t="shared" si="25"/>
        <v>7.6478478296934114</v>
      </c>
      <c r="AH100" s="86">
        <f t="shared" si="26"/>
        <v>174.02411567041605</v>
      </c>
      <c r="AJ100" s="86" t="str">
        <f t="shared" si="27"/>
        <v>15.0499999996293-0.0000746883505174335j</v>
      </c>
      <c r="AK100" s="86" t="str">
        <f t="shared" si="28"/>
        <v>30.1-2.98753402077092E-12j</v>
      </c>
      <c r="AL100" s="86" t="str">
        <f t="shared" si="43"/>
        <v>10000-6739188.71402852j</v>
      </c>
      <c r="AM100" s="86" t="str">
        <f t="shared" si="44"/>
        <v>963.13811145247-2091473.3451539j</v>
      </c>
      <c r="AN100" s="86" t="str">
        <f t="shared" si="45"/>
        <v>10963.1381114525-2091473.3451539j</v>
      </c>
      <c r="AO100" s="86" t="str">
        <f t="shared" si="46"/>
        <v>30.0999977231105-0.000433180264027077j</v>
      </c>
      <c r="AP100" s="86" t="str">
        <f t="shared" si="47"/>
        <v>0.666666666670316+1.10281799962626E-06j</v>
      </c>
      <c r="AQ100" s="86" t="str">
        <f t="shared" si="29"/>
        <v>1+0.184235826104031j</v>
      </c>
      <c r="AR100" s="86">
        <f t="shared" si="51"/>
        <v>9.9392489267965445E-8</v>
      </c>
      <c r="AS100" s="86" t="str">
        <f t="shared" si="31"/>
        <v>9.7139025185555E-07j</v>
      </c>
      <c r="AT100" s="86" t="str">
        <f t="shared" si="32"/>
        <v>9.93924892679654E-08+9.7139025185555E-07j</v>
      </c>
      <c r="AU100" s="86" t="str">
        <f t="shared" si="33"/>
        <v>29.1938993234122-99.9581223811237j</v>
      </c>
      <c r="AW100" s="86" t="str">
        <f t="shared" si="48"/>
        <v>19.309841572839-66.6829980977853j</v>
      </c>
      <c r="AX100" s="86">
        <f t="shared" si="34"/>
        <v>36.830012832543744</v>
      </c>
      <c r="AY100" s="86">
        <f t="shared" si="35"/>
        <v>106.14978388805262</v>
      </c>
      <c r="AZ100" s="86" t="str">
        <f t="shared" si="36"/>
        <v>173.770390152099-644.740598293907j</v>
      </c>
      <c r="BA100" s="86">
        <f t="shared" si="37"/>
        <v>56.49224408822505</v>
      </c>
      <c r="BB100" s="86">
        <f t="shared" si="38"/>
        <v>105.08393077602545</v>
      </c>
      <c r="BD100" s="86" t="str">
        <f t="shared" si="39"/>
        <v>29.5782990640603-164.820036466408j</v>
      </c>
      <c r="BE100" s="86">
        <f t="shared" si="40"/>
        <v>44.477860662237148</v>
      </c>
      <c r="BF100" s="86">
        <f t="shared" si="41"/>
        <v>100.17389955846872</v>
      </c>
      <c r="BH100" s="86">
        <f t="shared" si="49"/>
        <v>-43.477860662237148</v>
      </c>
      <c r="BI100" s="157">
        <f t="shared" si="50"/>
        <v>-100.17389955846872</v>
      </c>
      <c r="BJ100" s="88"/>
      <c r="BK100" s="88"/>
      <c r="BL100" s="88"/>
      <c r="BM100" s="88"/>
      <c r="BN100" s="42"/>
      <c r="BO100" s="42"/>
      <c r="BP100" s="42"/>
    </row>
    <row r="101" spans="1:68" s="86" customFormat="1">
      <c r="A101" s="86">
        <v>37</v>
      </c>
      <c r="B101" s="86">
        <f t="shared" si="42"/>
        <v>549.54087385762455</v>
      </c>
      <c r="C101" s="86" t="str">
        <f t="shared" si="0"/>
        <v>3452.86714431686j</v>
      </c>
      <c r="D101" s="86">
        <f t="shared" si="1"/>
        <v>0.99999969800482791</v>
      </c>
      <c r="E101" s="86" t="str">
        <f t="shared" si="2"/>
        <v>-0.000863216786079215j</v>
      </c>
      <c r="F101" s="86" t="str">
        <f t="shared" si="3"/>
        <v>0.999999698004828-0.000863216786079215j</v>
      </c>
      <c r="G101" s="86">
        <f t="shared" si="4"/>
        <v>6.1301950234917971E-7</v>
      </c>
      <c r="H101" s="86">
        <f t="shared" si="5"/>
        <v>-4.9458681298867616E-2</v>
      </c>
      <c r="J101" s="86">
        <f t="shared" si="6"/>
        <v>4.8</v>
      </c>
      <c r="K101" s="86" t="str">
        <f t="shared" si="7"/>
        <v>1+0.141170473195395j</v>
      </c>
      <c r="L101" s="86">
        <f t="shared" si="8"/>
        <v>0.99805022844542379</v>
      </c>
      <c r="M101" s="86" t="str">
        <f t="shared" si="9"/>
        <v>0.0197400414640595j</v>
      </c>
      <c r="N101" s="86" t="str">
        <f t="shared" si="10"/>
        <v>0.998050228445424+0.0197400414640595j</v>
      </c>
      <c r="O101" s="86" t="str">
        <f t="shared" si="11"/>
        <v>1.0043582921902+0.121581454925166j</v>
      </c>
      <c r="P101" s="86" t="str">
        <f t="shared" si="12"/>
        <v>4.82091980251296+0.583590983640797j</v>
      </c>
      <c r="R101" s="86">
        <f t="shared" si="13"/>
        <v>11.52</v>
      </c>
      <c r="S101" s="86" t="str">
        <f t="shared" si="14"/>
        <v>1+0.000293493707266933j</v>
      </c>
      <c r="T101" s="86" t="str">
        <f t="shared" si="15"/>
        <v>0.998050228445424+0.0197400414640595j</v>
      </c>
      <c r="U101" s="86" t="str">
        <f t="shared" si="16"/>
        <v>1.00156759037153-0.0195155429061558j</v>
      </c>
      <c r="V101" s="86" t="str">
        <f t="shared" si="17"/>
        <v>11.53805864108-0.224819054278915j</v>
      </c>
      <c r="X101" s="86" t="str">
        <f t="shared" si="18"/>
        <v>2.97420170306126+0.357433884870738j</v>
      </c>
      <c r="Y101" s="86">
        <f t="shared" si="19"/>
        <v>9.5296838877830883</v>
      </c>
      <c r="Z101" s="86">
        <f t="shared" si="20"/>
        <v>-173.14716774951259</v>
      </c>
      <c r="AB101" s="86" t="str">
        <f t="shared" si="21"/>
        <v>9.61825495255085-0.187411682459916j</v>
      </c>
      <c r="AC101" s="86">
        <f t="shared" si="22"/>
        <v>19.663574247932331</v>
      </c>
      <c r="AD101" s="86">
        <f t="shared" si="23"/>
        <v>178.88373308219369</v>
      </c>
      <c r="AF101" s="86" t="str">
        <f t="shared" si="24"/>
        <v>2.39654606696178-0.262698909479497j</v>
      </c>
      <c r="AG101" s="86">
        <f t="shared" si="25"/>
        <v>7.6435876438111947</v>
      </c>
      <c r="AH101" s="86">
        <f t="shared" si="26"/>
        <v>173.74446184769576</v>
      </c>
      <c r="AJ101" s="86" t="str">
        <f t="shared" si="27"/>
        <v>15.0499999995936-0.0000782083040334509j</v>
      </c>
      <c r="AK101" s="86" t="str">
        <f t="shared" si="28"/>
        <v>30.1-3.1283321614225E-12j</v>
      </c>
      <c r="AL101" s="86" t="str">
        <f t="shared" si="43"/>
        <v>10000-6435875.25769654j</v>
      </c>
      <c r="AM101" s="86" t="str">
        <f t="shared" si="44"/>
        <v>963.138014140566-1997341.62929508j</v>
      </c>
      <c r="AN101" s="86" t="str">
        <f t="shared" si="45"/>
        <v>10963.1380141406-1997341.62929508j</v>
      </c>
      <c r="AO101" s="86" t="str">
        <f t="shared" si="46"/>
        <v>30.0999975034472-0.000453594191279256j</v>
      </c>
      <c r="AP101" s="86" t="str">
        <f t="shared" si="47"/>
        <v>0.666666666670667+1.15479221071182E-06j</v>
      </c>
      <c r="AQ101" s="86" t="str">
        <f t="shared" si="29"/>
        <v>1+0.192918593087272j</v>
      </c>
      <c r="AR101" s="86">
        <f t="shared" si="51"/>
        <v>9.9333877728401124E-8</v>
      </c>
      <c r="AS101" s="86" t="str">
        <f t="shared" si="31"/>
        <v>0.0000010171704640163j</v>
      </c>
      <c r="AT101" s="86" t="str">
        <f t="shared" si="32"/>
        <v>9.93338777284011E-08+0.0000010171704640163j</v>
      </c>
      <c r="AU101" s="86" t="str">
        <f t="shared" si="33"/>
        <v>28.2971882763668-95.5485181667056j</v>
      </c>
      <c r="AW101" s="86" t="str">
        <f t="shared" si="48"/>
        <v>18.7118853800757-63.7439130027784j</v>
      </c>
      <c r="AX101" s="86">
        <f t="shared" si="34"/>
        <v>36.44775366924506</v>
      </c>
      <c r="AY101" s="86">
        <f t="shared" si="35"/>
        <v>106.35948534053689</v>
      </c>
      <c r="AZ101" s="86" t="str">
        <f t="shared" si="36"/>
        <v>168.029330246048-616.612032855021j</v>
      </c>
      <c r="BA101" s="86">
        <f t="shared" si="37"/>
        <v>56.111327917177377</v>
      </c>
      <c r="BB101" s="86">
        <f t="shared" si="38"/>
        <v>105.24321842273059</v>
      </c>
      <c r="BD101" s="86" t="str">
        <f t="shared" si="39"/>
        <v>28.0984388812744-157.680815883214j</v>
      </c>
      <c r="BE101" s="86">
        <f t="shared" si="40"/>
        <v>44.091341313056269</v>
      </c>
      <c r="BF101" s="86">
        <f t="shared" si="41"/>
        <v>100.10394718823269</v>
      </c>
      <c r="BH101" s="86">
        <f t="shared" si="49"/>
        <v>-43.091341313056269</v>
      </c>
      <c r="BI101" s="157">
        <f t="shared" si="50"/>
        <v>-100.10394718823269</v>
      </c>
      <c r="BJ101" s="88"/>
      <c r="BK101" s="88"/>
      <c r="BL101" s="88"/>
      <c r="BM101" s="88"/>
      <c r="BN101" s="42"/>
      <c r="BO101" s="42"/>
      <c r="BP101" s="42"/>
    </row>
    <row r="102" spans="1:68" s="86" customFormat="1">
      <c r="A102" s="86">
        <v>38</v>
      </c>
      <c r="B102" s="86">
        <f t="shared" si="42"/>
        <v>575.43993733715718</v>
      </c>
      <c r="C102" s="86" t="str">
        <f t="shared" si="0"/>
        <v>3615.59575944117j</v>
      </c>
      <c r="D102" s="86">
        <f t="shared" si="1"/>
        <v>0.99999966886887848</v>
      </c>
      <c r="E102" s="86" t="str">
        <f t="shared" si="2"/>
        <v>-0.000903898939860292j</v>
      </c>
      <c r="F102" s="86" t="str">
        <f t="shared" si="3"/>
        <v>0.999999668868878-0.000903898939860292j</v>
      </c>
      <c r="G102" s="86">
        <f t="shared" si="4"/>
        <v>6.7216255203425486E-7</v>
      </c>
      <c r="H102" s="86">
        <f t="shared" si="5"/>
        <v>-5.17895974048816E-2</v>
      </c>
      <c r="J102" s="86">
        <f t="shared" si="6"/>
        <v>4.8</v>
      </c>
      <c r="K102" s="86" t="str">
        <f t="shared" si="7"/>
        <v>1+0.147823632624752j</v>
      </c>
      <c r="L102" s="86">
        <f t="shared" si="8"/>
        <v>0.997862118002947</v>
      </c>
      <c r="M102" s="86" t="str">
        <f t="shared" si="9"/>
        <v>0.0206703609567252j</v>
      </c>
      <c r="N102" s="86" t="str">
        <f t="shared" si="10"/>
        <v>0.997862118002947+0.0206703609567252j</v>
      </c>
      <c r="O102" s="86" t="str">
        <f t="shared" si="11"/>
        <v>1.00477998942281+0.12732667697173j</v>
      </c>
      <c r="P102" s="86" t="str">
        <f t="shared" si="12"/>
        <v>4.82294394922949+0.611168049464304j</v>
      </c>
      <c r="R102" s="86">
        <f t="shared" si="13"/>
        <v>11.52</v>
      </c>
      <c r="S102" s="86" t="str">
        <f t="shared" si="14"/>
        <v>1+0.000307325639552499j</v>
      </c>
      <c r="T102" s="86" t="str">
        <f t="shared" si="15"/>
        <v>0.997862118002947+0.0206703609567252j</v>
      </c>
      <c r="U102" s="86" t="str">
        <f t="shared" si="16"/>
        <v>1.00171900791289-0.0204422709943574j</v>
      </c>
      <c r="V102" s="86" t="str">
        <f t="shared" si="17"/>
        <v>11.5398029711565-0.235494961854997j</v>
      </c>
      <c r="X102" s="86" t="str">
        <f t="shared" si="18"/>
        <v>2.97548027834481+0.374323283546159j</v>
      </c>
      <c r="Y102" s="86">
        <f t="shared" si="19"/>
        <v>9.5393360693877032</v>
      </c>
      <c r="Z102" s="86">
        <f t="shared" si="20"/>
        <v>-172.82970757903655</v>
      </c>
      <c r="AB102" s="86" t="str">
        <f t="shared" si="21"/>
        <v>9.61970904564563-0.196311238625373j</v>
      </c>
      <c r="AC102" s="86">
        <f t="shared" si="22"/>
        <v>19.665046992154849</v>
      </c>
      <c r="AD102" s="86">
        <f t="shared" si="23"/>
        <v>178.83091636294452</v>
      </c>
      <c r="AF102" s="86" t="str">
        <f t="shared" si="24"/>
        <v>2.39388709763122-0.274784137001001j</v>
      </c>
      <c r="AG102" s="86">
        <f t="shared" si="25"/>
        <v>7.6389212294070408</v>
      </c>
      <c r="AH102" s="86">
        <f t="shared" si="26"/>
        <v>173.45191902669478</v>
      </c>
      <c r="AJ102" s="86" t="str">
        <f t="shared" si="27"/>
        <v>15.0499999995544-0.0000818941478478575j</v>
      </c>
      <c r="AK102" s="86" t="str">
        <f t="shared" si="28"/>
        <v>30.1-3.27576591401129E-12j</v>
      </c>
      <c r="AL102" s="86" t="str">
        <f t="shared" si="43"/>
        <v>10000-6146213.15565899j</v>
      </c>
      <c r="AM102" s="86" t="str">
        <f t="shared" si="44"/>
        <v>963.1379074402-1907446.54282024j</v>
      </c>
      <c r="AN102" s="86" t="str">
        <f t="shared" si="45"/>
        <v>10963.1379074402-1907446.54282024j</v>
      </c>
      <c r="AO102" s="86" t="str">
        <f t="shared" si="46"/>
        <v>30.0999972625926-0.000474970015116449j</v>
      </c>
      <c r="AP102" s="86" t="str">
        <f t="shared" si="47"/>
        <v>0.666666666671053+1.20921589090176E-06j</v>
      </c>
      <c r="AQ102" s="86" t="str">
        <f t="shared" si="29"/>
        <v>1+0.202010566271497j</v>
      </c>
      <c r="AR102" s="86">
        <f t="shared" si="51"/>
        <v>9.9269611453226465E-8</v>
      </c>
      <c r="AS102" s="86" t="str">
        <f t="shared" si="31"/>
        <v>1.06510823110565E-06j</v>
      </c>
      <c r="AT102" s="86" t="str">
        <f t="shared" si="32"/>
        <v>9.92696114532265E-08+1.06510823110565E-06j</v>
      </c>
      <c r="AU102" s="86" t="str">
        <f t="shared" si="33"/>
        <v>27.4779324164172-91.3261896629129j</v>
      </c>
      <c r="AW102" s="86" t="str">
        <f t="shared" si="48"/>
        <v>18.1655774070742-60.9297711974151j</v>
      </c>
      <c r="AX102" s="86">
        <f t="shared" si="34"/>
        <v>36.0664199480306</v>
      </c>
      <c r="AY102" s="86">
        <f t="shared" si="35"/>
        <v>106.60140224701972</v>
      </c>
      <c r="AZ102" s="86" t="str">
        <f t="shared" si="36"/>
        <v>162.786370449282-589.692778138021j</v>
      </c>
      <c r="BA102" s="86">
        <f t="shared" si="37"/>
        <v>55.731466940185463</v>
      </c>
      <c r="BB102" s="86">
        <f t="shared" si="38"/>
        <v>105.4323186099642</v>
      </c>
      <c r="BD102" s="86" t="str">
        <f t="shared" si="39"/>
        <v>26.7438067796659-150.850605642042j</v>
      </c>
      <c r="BE102" s="86">
        <f t="shared" si="40"/>
        <v>43.705341177437631</v>
      </c>
      <c r="BF102" s="86">
        <f t="shared" si="41"/>
        <v>100.05332127371447</v>
      </c>
      <c r="BH102" s="86">
        <f t="shared" si="49"/>
        <v>-42.705341177437631</v>
      </c>
      <c r="BI102" s="157">
        <f t="shared" si="50"/>
        <v>-100.05332127371447</v>
      </c>
      <c r="BJ102" s="88"/>
      <c r="BK102" s="88"/>
      <c r="BL102" s="88"/>
      <c r="BM102" s="88"/>
      <c r="BN102" s="42"/>
      <c r="BO102" s="42"/>
      <c r="BP102" s="42"/>
    </row>
    <row r="103" spans="1:68" s="86" customFormat="1">
      <c r="A103" s="86">
        <v>39</v>
      </c>
      <c r="B103" s="86">
        <f t="shared" si="42"/>
        <v>602.55958607435798</v>
      </c>
      <c r="C103" s="86" t="str">
        <f t="shared" si="0"/>
        <v>3785.99353792262j</v>
      </c>
      <c r="D103" s="86">
        <f t="shared" si="1"/>
        <v>0.99999963692194527</v>
      </c>
      <c r="E103" s="86" t="str">
        <f t="shared" si="2"/>
        <v>-0.000946498384480655j</v>
      </c>
      <c r="F103" s="86" t="str">
        <f t="shared" si="3"/>
        <v>0.999999636921945-0.000946498384480655j</v>
      </c>
      <c r="G103" s="86">
        <f t="shared" si="4"/>
        <v>7.3701163060128967E-7</v>
      </c>
      <c r="H103" s="86">
        <f t="shared" si="5"/>
        <v>-5.4230366242288754E-2</v>
      </c>
      <c r="J103" s="86">
        <f t="shared" si="6"/>
        <v>4.8</v>
      </c>
      <c r="K103" s="86" t="str">
        <f t="shared" si="7"/>
        <v>1+0.154790345797966j</v>
      </c>
      <c r="L103" s="86">
        <f t="shared" si="8"/>
        <v>0.99765585900430442</v>
      </c>
      <c r="M103" s="86" t="str">
        <f t="shared" si="9"/>
        <v>0.0216445250563036j</v>
      </c>
      <c r="N103" s="86" t="str">
        <f t="shared" si="10"/>
        <v>0.997655859004304+0.0216445250563036j</v>
      </c>
      <c r="O103" s="86" t="str">
        <f t="shared" si="11"/>
        <v>1.00524261802503+0.133344926072233j</v>
      </c>
      <c r="P103" s="86" t="str">
        <f t="shared" si="12"/>
        <v>4.82516456652014+0.640055645146718j</v>
      </c>
      <c r="R103" s="86">
        <f t="shared" si="13"/>
        <v>11.52</v>
      </c>
      <c r="S103" s="86" t="str">
        <f t="shared" si="14"/>
        <v>1+0.000321809450723423j</v>
      </c>
      <c r="T103" s="86" t="str">
        <f t="shared" si="15"/>
        <v>0.997655859004304+0.0216445250563036j</v>
      </c>
      <c r="U103" s="86" t="str">
        <f t="shared" si="16"/>
        <v>1.00188507020072-0.0214137138192064j</v>
      </c>
      <c r="V103" s="86" t="str">
        <f t="shared" si="17"/>
        <v>11.5417160087123-0.246685983197258j</v>
      </c>
      <c r="X103" s="86" t="str">
        <f t="shared" si="18"/>
        <v>2.9768829471655+0.392015186474013j</v>
      </c>
      <c r="Y103" s="86">
        <f t="shared" si="19"/>
        <v>9.5499020249211402</v>
      </c>
      <c r="Z103" s="86">
        <f t="shared" si="20"/>
        <v>-172.49808708155595</v>
      </c>
      <c r="AB103" s="86" t="str">
        <f t="shared" si="21"/>
        <v>9.62130377518531-0.205640199397514j</v>
      </c>
      <c r="AC103" s="86">
        <f t="shared" si="22"/>
        <v>19.666662043527353</v>
      </c>
      <c r="AD103" s="86">
        <f t="shared" si="23"/>
        <v>178.77557946974352</v>
      </c>
      <c r="AF103" s="86" t="str">
        <f t="shared" si="24"/>
        <v>2.39097814429996-0.287395922302711j</v>
      </c>
      <c r="AG103" s="86">
        <f t="shared" si="25"/>
        <v>7.6338103500580718</v>
      </c>
      <c r="AH103" s="86">
        <f t="shared" si="26"/>
        <v>173.14592211573742</v>
      </c>
      <c r="AJ103" s="86" t="str">
        <f t="shared" si="27"/>
        <v>15.0499999995114-0.0000857537001295476j</v>
      </c>
      <c r="AK103" s="86" t="str">
        <f t="shared" si="28"/>
        <v>30.1-3.43014800529328E-12j</v>
      </c>
      <c r="AL103" s="86" t="str">
        <f t="shared" si="43"/>
        <v>10000-5869587.99576176j</v>
      </c>
      <c r="AM103" s="86" t="str">
        <f t="shared" si="44"/>
        <v>963.137790445599-1821597.40619851j</v>
      </c>
      <c r="AN103" s="86" t="str">
        <f t="shared" si="45"/>
        <v>10963.1377904456-1821597.40619851j</v>
      </c>
      <c r="AO103" s="86" t="str">
        <f t="shared" si="46"/>
        <v>30.0999969985024-0.000497353041341167j</v>
      </c>
      <c r="AP103" s="86" t="str">
        <f t="shared" si="47"/>
        <v>0.666666666671476+1.26620448011842E-06j</v>
      </c>
      <c r="AQ103" s="86" t="str">
        <f t="shared" si="29"/>
        <v>1+0.211531030950813j</v>
      </c>
      <c r="AR103" s="86">
        <f t="shared" si="51"/>
        <v>9.9199144883750112E-8</v>
      </c>
      <c r="AS103" s="86" t="str">
        <f t="shared" si="31"/>
        <v>1.11530523555472E-06j</v>
      </c>
      <c r="AT103" s="86" t="str">
        <f t="shared" si="32"/>
        <v>9.91991448837501E-08+1.11530523555472E-06j</v>
      </c>
      <c r="AU103" s="86" t="str">
        <f t="shared" si="33"/>
        <v>26.7295566530154-87.2841332879432j</v>
      </c>
      <c r="AW103" s="86" t="str">
        <f t="shared" si="48"/>
        <v>17.666533153447-58.2359055115213j</v>
      </c>
      <c r="AX103" s="86">
        <f t="shared" si="34"/>
        <v>35.686155250551778</v>
      </c>
      <c r="AY103" s="86">
        <f t="shared" si="35"/>
        <v>106.87577873410352</v>
      </c>
      <c r="AZ103" s="86" t="str">
        <f t="shared" si="36"/>
        <v>157.999438902212-563.938286949673j</v>
      </c>
      <c r="BA103" s="86">
        <f t="shared" si="37"/>
        <v>55.352817294079131</v>
      </c>
      <c r="BB103" s="86">
        <f t="shared" si="38"/>
        <v>105.65135820384702</v>
      </c>
      <c r="BD103" s="86" t="str">
        <f t="shared" si="39"/>
        <v>25.5035328798253-144.318066881092j</v>
      </c>
      <c r="BE103" s="86">
        <f t="shared" si="40"/>
        <v>43.319965600609891</v>
      </c>
      <c r="BF103" s="86">
        <f t="shared" si="41"/>
        <v>100.02170084984094</v>
      </c>
      <c r="BH103" s="86">
        <f t="shared" si="49"/>
        <v>-42.319965600609891</v>
      </c>
      <c r="BI103" s="157">
        <f t="shared" si="50"/>
        <v>-100.02170084984094</v>
      </c>
      <c r="BJ103" s="88"/>
      <c r="BK103" s="88"/>
      <c r="BL103" s="88"/>
      <c r="BM103" s="88"/>
      <c r="BN103" s="42"/>
      <c r="BO103" s="42"/>
      <c r="BP103" s="42"/>
    </row>
    <row r="104" spans="1:68" s="86" customFormat="1">
      <c r="A104" s="86">
        <v>40</v>
      </c>
      <c r="B104" s="86">
        <f t="shared" si="42"/>
        <v>630.95734448019346</v>
      </c>
      <c r="C104" s="86" t="str">
        <f t="shared" si="0"/>
        <v>3964.421916295j</v>
      </c>
      <c r="D104" s="86">
        <f t="shared" si="1"/>
        <v>0.99999960189282944</v>
      </c>
      <c r="E104" s="86" t="str">
        <f t="shared" si="2"/>
        <v>-0.00099110547907375j</v>
      </c>
      <c r="F104" s="86" t="str">
        <f t="shared" si="3"/>
        <v>0.999999601892829-0.00099110547907375j</v>
      </c>
      <c r="G104" s="86">
        <f t="shared" si="4"/>
        <v>8.0811723384883764E-7</v>
      </c>
      <c r="H104" s="86">
        <f t="shared" si="5"/>
        <v>-5.6786165016699031E-2</v>
      </c>
      <c r="J104" s="86">
        <f t="shared" si="6"/>
        <v>4.8</v>
      </c>
      <c r="K104" s="86" t="str">
        <f t="shared" si="7"/>
        <v>1+0.162085390047721j</v>
      </c>
      <c r="L104" s="86">
        <f t="shared" si="8"/>
        <v>0.99742970050953439</v>
      </c>
      <c r="M104" s="86" t="str">
        <f t="shared" si="9"/>
        <v>0.0226646000954585j</v>
      </c>
      <c r="N104" s="86" t="str">
        <f t="shared" si="10"/>
        <v>0.997429700509534+0.0226646000954585j</v>
      </c>
      <c r="O104" s="86" t="str">
        <f t="shared" si="11"/>
        <v>1.00575017709203+0.139649405283237j</v>
      </c>
      <c r="P104" s="86" t="str">
        <f t="shared" si="12"/>
        <v>4.82760085004174+0.670317145359538j</v>
      </c>
      <c r="R104" s="86">
        <f t="shared" si="13"/>
        <v>11.52</v>
      </c>
      <c r="S104" s="86" t="str">
        <f t="shared" si="14"/>
        <v>1+0.000336975862885075j</v>
      </c>
      <c r="T104" s="86" t="str">
        <f t="shared" si="15"/>
        <v>0.997429700509534+0.0226646000954585j</v>
      </c>
      <c r="U104" s="86" t="str">
        <f t="shared" si="16"/>
        <v>1.00206719746659-0.0224321337383899j</v>
      </c>
      <c r="V104" s="86" t="str">
        <f t="shared" si="17"/>
        <v>11.5438141148151-0.258418180666252j</v>
      </c>
      <c r="X104" s="86" t="str">
        <f t="shared" si="18"/>
        <v>2.97842183187703+0.410548383184129j</v>
      </c>
      <c r="Y104" s="86">
        <f t="shared" si="19"/>
        <v>9.5614664715606441</v>
      </c>
      <c r="Z104" s="86">
        <f t="shared" si="20"/>
        <v>-172.15175396434634</v>
      </c>
      <c r="AB104" s="86" t="str">
        <f t="shared" si="21"/>
        <v>9.62305277993923-0.215420290652094j</v>
      </c>
      <c r="AC104" s="86">
        <f t="shared" si="22"/>
        <v>19.668433176010431</v>
      </c>
      <c r="AD104" s="86">
        <f t="shared" si="23"/>
        <v>178.71759901662128</v>
      </c>
      <c r="AF104" s="86" t="str">
        <f t="shared" si="24"/>
        <v>2.38779638571594-0.300552904319986j</v>
      </c>
      <c r="AG104" s="86">
        <f t="shared" si="25"/>
        <v>7.6282132697966576</v>
      </c>
      <c r="AH104" s="86">
        <f t="shared" si="26"/>
        <v>172.82588548256103</v>
      </c>
      <c r="AJ104" s="86" t="str">
        <f t="shared" si="27"/>
        <v>15.0499999994642-0.0000897951475063641j</v>
      </c>
      <c r="AK104" s="86" t="str">
        <f t="shared" si="28"/>
        <v>30.1-3.59180590038245E-12j</v>
      </c>
      <c r="AL104" s="86" t="str">
        <f t="shared" si="43"/>
        <v>10000-5605413.01895291j</v>
      </c>
      <c r="AM104" s="86" t="str">
        <f t="shared" si="44"/>
        <v>963.137662163603-1739612.12190113j</v>
      </c>
      <c r="AN104" s="86" t="str">
        <f t="shared" si="45"/>
        <v>10963.1376621636-1739612.12190113j</v>
      </c>
      <c r="AO104" s="86" t="str">
        <f t="shared" si="46"/>
        <v>30.0999967089354-0.000520790706955179j</v>
      </c>
      <c r="AP104" s="86" t="str">
        <f t="shared" si="47"/>
        <v>0.666666666671941+1.32587885880011E-06j</v>
      </c>
      <c r="AQ104" s="86" t="str">
        <f t="shared" si="29"/>
        <v>1+0.221500181307234j</v>
      </c>
      <c r="AR104" s="86">
        <f t="shared" si="51"/>
        <v>9.9121879826762274E-8</v>
      </c>
      <c r="AS104" s="86" t="str">
        <f t="shared" si="31"/>
        <v>1.16786795193998E-06j</v>
      </c>
      <c r="AT104" s="86" t="str">
        <f t="shared" si="32"/>
        <v>9.91218798267623E-08+1.16786795193998E-06j</v>
      </c>
      <c r="AU104" s="86" t="str">
        <f t="shared" si="33"/>
        <v>26.0460247603324-83.4154828051554j</v>
      </c>
      <c r="AW104" s="86" t="str">
        <f t="shared" si="48"/>
        <v>17.2107274396913-55.657740500619j</v>
      </c>
      <c r="AX104" s="86">
        <f t="shared" si="34"/>
        <v>35.307109699852489</v>
      </c>
      <c r="AY104" s="86">
        <f t="shared" si="35"/>
        <v>107.18288109594312</v>
      </c>
      <c r="AZ104" s="86" t="str">
        <f t="shared" si="36"/>
        <v>153.629931897616-539.30491435701j</v>
      </c>
      <c r="BA104" s="86">
        <f t="shared" si="37"/>
        <v>54.975542875862914</v>
      </c>
      <c r="BB104" s="86">
        <f t="shared" si="38"/>
        <v>105.90048011256444</v>
      </c>
      <c r="BD104" s="86" t="str">
        <f t="shared" si="39"/>
        <v>24.367617220688-138.072085721953j</v>
      </c>
      <c r="BE104" s="86">
        <f t="shared" si="40"/>
        <v>42.935322969649164</v>
      </c>
      <c r="BF104" s="86">
        <f t="shared" si="41"/>
        <v>100.00876657850417</v>
      </c>
      <c r="BH104" s="86">
        <f t="shared" si="49"/>
        <v>-41.935322969649164</v>
      </c>
      <c r="BI104" s="157">
        <f t="shared" si="50"/>
        <v>-100.00876657850417</v>
      </c>
      <c r="BJ104" s="88"/>
      <c r="BK104" s="88"/>
      <c r="BL104" s="88"/>
      <c r="BM104" s="88"/>
      <c r="BN104" s="42"/>
      <c r="BO104" s="42"/>
      <c r="BP104" s="42"/>
    </row>
    <row r="105" spans="1:68" s="86" customFormat="1">
      <c r="A105" s="86">
        <v>41</v>
      </c>
      <c r="B105" s="86">
        <f t="shared" si="42"/>
        <v>660.69344800759632</v>
      </c>
      <c r="C105" s="86" t="str">
        <f t="shared" si="0"/>
        <v>4151.25936507115j</v>
      </c>
      <c r="D105" s="86">
        <f t="shared" si="1"/>
        <v>0.99999956348416774</v>
      </c>
      <c r="E105" s="86" t="str">
        <f t="shared" si="2"/>
        <v>-0.00103781484126779j</v>
      </c>
      <c r="F105" s="86" t="str">
        <f t="shared" si="3"/>
        <v>0.999999563484168-0.00103781484126779j</v>
      </c>
      <c r="G105" s="86">
        <f t="shared" si="4"/>
        <v>8.860829996972694E-7</v>
      </c>
      <c r="H105" s="86">
        <f t="shared" si="5"/>
        <v>-5.9462414928777005E-2</v>
      </c>
      <c r="J105" s="86">
        <f t="shared" si="6"/>
        <v>4.8</v>
      </c>
      <c r="K105" s="86" t="str">
        <f t="shared" si="7"/>
        <v>1+0.169724239140934j</v>
      </c>
      <c r="L105" s="86">
        <f t="shared" si="8"/>
        <v>0.99718172265114646</v>
      </c>
      <c r="M105" s="86" t="str">
        <f t="shared" si="9"/>
        <v>0.0237327497901118j</v>
      </c>
      <c r="N105" s="86" t="str">
        <f t="shared" si="10"/>
        <v>0.997181722651146+0.0237327497901118j</v>
      </c>
      <c r="O105" s="86" t="str">
        <f t="shared" si="11"/>
        <v>1.00630706174238+0.146253989739041j</v>
      </c>
      <c r="P105" s="86" t="str">
        <f t="shared" si="12"/>
        <v>4.83027389636342+0.702019150747397j</v>
      </c>
      <c r="R105" s="86">
        <f t="shared" si="13"/>
        <v>11.52</v>
      </c>
      <c r="S105" s="86" t="str">
        <f t="shared" si="14"/>
        <v>1+0.000352857046031048j</v>
      </c>
      <c r="T105" s="86" t="str">
        <f t="shared" si="15"/>
        <v>0.997181722651146+0.0237327497901118j</v>
      </c>
      <c r="U105" s="86" t="str">
        <f t="shared" si="16"/>
        <v>1.0022669484465-0.0234999229649405j</v>
      </c>
      <c r="V105" s="86" t="str">
        <f t="shared" si="17"/>
        <v>11.5461152461037-0.270719112556115j</v>
      </c>
      <c r="X105" s="86" t="str">
        <f t="shared" si="18"/>
        <v>2.98011025490727+0.429963635071889j</v>
      </c>
      <c r="Y105" s="86">
        <f t="shared" si="19"/>
        <v>9.5741216307832602</v>
      </c>
      <c r="Z105" s="86">
        <f t="shared" si="20"/>
        <v>-171.79014604421175</v>
      </c>
      <c r="AB105" s="86" t="str">
        <f t="shared" si="21"/>
        <v>9.62497102876267-0.22567448529186j</v>
      </c>
      <c r="AC105" s="86">
        <f t="shared" si="22"/>
        <v>19.670375501448902</v>
      </c>
      <c r="AD105" s="86">
        <f t="shared" si="23"/>
        <v>178.65684511352561</v>
      </c>
      <c r="AF105" s="86" t="str">
        <f t="shared" si="24"/>
        <v>2.38431705249793-0.314273734202599j</v>
      </c>
      <c r="AG105" s="86">
        <f t="shared" si="25"/>
        <v>7.6220844525856544</v>
      </c>
      <c r="AH105" s="86">
        <f t="shared" si="26"/>
        <v>172.49120284257006</v>
      </c>
      <c r="AJ105" s="86" t="str">
        <f t="shared" si="27"/>
        <v>15.0499999994125-0.0000940270624300326j</v>
      </c>
      <c r="AK105" s="86" t="str">
        <f t="shared" si="28"/>
        <v>30.1-3.76108249734812E-12j</v>
      </c>
      <c r="AL105" s="86" t="str">
        <f t="shared" si="43"/>
        <v>10000-5353127.87468805j</v>
      </c>
      <c r="AM105" s="86" t="str">
        <f t="shared" si="44"/>
        <v>963.137521505237-1661316.78814812j</v>
      </c>
      <c r="AN105" s="86" t="str">
        <f t="shared" si="45"/>
        <v>10963.1375215052-1661316.78814812j</v>
      </c>
      <c r="AO105" s="86" t="str">
        <f t="shared" si="46"/>
        <v>30.0999963914338-0.000545332680008094j</v>
      </c>
      <c r="AP105" s="86" t="str">
        <f t="shared" si="47"/>
        <v>0.66666666667245+1.38836560430462E-06j</v>
      </c>
      <c r="AQ105" s="86" t="str">
        <f t="shared" si="29"/>
        <v>1+0.231939163245255j</v>
      </c>
      <c r="AR105" s="86">
        <f t="shared" si="51"/>
        <v>9.9037160376451366E-8</v>
      </c>
      <c r="AS105" s="86" t="str">
        <f t="shared" si="31"/>
        <v>1.22290787283009E-06j</v>
      </c>
      <c r="AT105" s="86" t="str">
        <f t="shared" si="32"/>
        <v>9.90371603764514E-08+1.22290787283009E-06j</v>
      </c>
      <c r="AU105" s="86" t="str">
        <f t="shared" si="33"/>
        <v>25.4217984631604-79.7135249795634j</v>
      </c>
      <c r="AW105" s="86" t="str">
        <f t="shared" si="48"/>
        <v>16.7944671240137-53.1908028926692j</v>
      </c>
      <c r="AX105" s="86">
        <f t="shared" si="34"/>
        <v>34.929440718732756</v>
      </c>
      <c r="AY105" s="86">
        <f t="shared" si="35"/>
        <v>107.52299370550867</v>
      </c>
      <c r="AZ105" s="86" t="str">
        <f t="shared" si="36"/>
        <v>149.642452447075-515.75001956253j</v>
      </c>
      <c r="BA105" s="86">
        <f t="shared" si="37"/>
        <v>54.599816220181665</v>
      </c>
      <c r="BB105" s="86">
        <f t="shared" si="38"/>
        <v>106.17983881903425</v>
      </c>
      <c r="BD105" s="86" t="str">
        <f t="shared" si="39"/>
        <v>23.3268621010882-132.101798270054j</v>
      </c>
      <c r="BE105" s="86">
        <f t="shared" si="40"/>
        <v>42.551525171318417</v>
      </c>
      <c r="BF105" s="86">
        <f t="shared" si="41"/>
        <v>100.01419654807876</v>
      </c>
      <c r="BH105" s="86">
        <f t="shared" si="49"/>
        <v>-41.551525171318417</v>
      </c>
      <c r="BI105" s="157">
        <f t="shared" si="50"/>
        <v>-100.01419654807876</v>
      </c>
      <c r="BJ105" s="88"/>
      <c r="BK105" s="88"/>
      <c r="BL105" s="88"/>
      <c r="BM105" s="88"/>
      <c r="BN105" s="42"/>
      <c r="BO105" s="42"/>
      <c r="BP105" s="42"/>
    </row>
    <row r="106" spans="1:68" s="86" customFormat="1">
      <c r="A106" s="86">
        <v>42</v>
      </c>
      <c r="B106" s="86">
        <f t="shared" si="42"/>
        <v>691.83097091893671</v>
      </c>
      <c r="C106" s="86" t="str">
        <f t="shared" si="0"/>
        <v>4346.90219152965j</v>
      </c>
      <c r="D106" s="86">
        <f t="shared" si="1"/>
        <v>0.99999952136990766</v>
      </c>
      <c r="E106" s="86" t="str">
        <f t="shared" si="2"/>
        <v>-0.00108672554788241j</v>
      </c>
      <c r="F106" s="86" t="str">
        <f t="shared" si="3"/>
        <v>0.999999521369908-0.00108672554788241j</v>
      </c>
      <c r="G106" s="86">
        <f t="shared" si="4"/>
        <v>9.7157076704334573E-7</v>
      </c>
      <c r="H106" s="86">
        <f t="shared" si="5"/>
        <v>-6.226479267350269E-2</v>
      </c>
      <c r="J106" s="86">
        <f t="shared" si="6"/>
        <v>4.8</v>
      </c>
      <c r="K106" s="86" t="str">
        <f t="shared" si="7"/>
        <v>1+0.17772309610069j</v>
      </c>
      <c r="L106" s="86">
        <f t="shared" si="8"/>
        <v>0.99690982033629794</v>
      </c>
      <c r="M106" s="86" t="str">
        <f t="shared" si="9"/>
        <v>0.024851239828975j</v>
      </c>
      <c r="N106" s="86" t="str">
        <f t="shared" si="10"/>
        <v>0.996909820336298+0.024851239828975j</v>
      </c>
      <c r="O106" s="86" t="str">
        <f t="shared" si="11"/>
        <v>1.00691810340835+0.153173265735551j</v>
      </c>
      <c r="P106" s="86" t="str">
        <f t="shared" si="12"/>
        <v>4.83320689636008+0.735231675530645j</v>
      </c>
      <c r="R106" s="86">
        <f t="shared" si="13"/>
        <v>11.52</v>
      </c>
      <c r="S106" s="86" t="str">
        <f t="shared" si="14"/>
        <v>1+0.00036948668628002j</v>
      </c>
      <c r="T106" s="86" t="str">
        <f t="shared" si="15"/>
        <v>0.996909820336298+0.024851239828975j</v>
      </c>
      <c r="U106" s="86" t="str">
        <f t="shared" si="16"/>
        <v>1.00248603404344-0.0246196131989672j</v>
      </c>
      <c r="V106" s="86" t="str">
        <f t="shared" si="17"/>
        <v>11.5486391121804-0.283617944052102j</v>
      </c>
      <c r="X106" s="86" t="str">
        <f t="shared" si="18"/>
        <v>2.98196286077405+0.4503037896953j</v>
      </c>
      <c r="Y106" s="86">
        <f t="shared" si="19"/>
        <v>9.5879678253578842</v>
      </c>
      <c r="Z106" s="86">
        <f t="shared" si="20"/>
        <v>-171.41269294796336</v>
      </c>
      <c r="AB106" s="86" t="str">
        <f t="shared" si="21"/>
        <v>9.62707495180093-0.236427095741999j</v>
      </c>
      <c r="AC106" s="86">
        <f t="shared" si="22"/>
        <v>19.672505600471716</v>
      </c>
      <c r="AD106" s="86">
        <f t="shared" si="23"/>
        <v>178.59318095626526</v>
      </c>
      <c r="AF106" s="86" t="str">
        <f t="shared" si="24"/>
        <v>2.38051328780423-0.328576959757462j</v>
      </c>
      <c r="AG106" s="86">
        <f t="shared" si="25"/>
        <v>7.6153742399288156</v>
      </c>
      <c r="AH106" s="86">
        <f t="shared" si="26"/>
        <v>172.14124725716283</v>
      </c>
      <c r="AJ106" s="86" t="str">
        <f t="shared" si="27"/>
        <v>15.0499999993559-0.0000984584213594804j</v>
      </c>
      <c r="AK106" s="86" t="str">
        <f t="shared" si="28"/>
        <v>30.1-3.93833685454776E-12j</v>
      </c>
      <c r="AL106" s="86" t="str">
        <f t="shared" si="43"/>
        <v>10000-5112197.43235179j</v>
      </c>
      <c r="AM106" s="86" t="str">
        <f t="shared" si="44"/>
        <v>963.137367276443-1586545.33003936j</v>
      </c>
      <c r="AN106" s="86" t="str">
        <f t="shared" si="45"/>
        <v>10963.1373672764-1586545.33003936j</v>
      </c>
      <c r="AO106" s="86" t="str">
        <f t="shared" si="46"/>
        <v>30.0999960433032-0.000571030964062474j</v>
      </c>
      <c r="AP106" s="86" t="str">
        <f t="shared" si="47"/>
        <v>0.666666666673007+1.45379725939687E-06j</v>
      </c>
      <c r="AQ106" s="86" t="str">
        <f t="shared" si="29"/>
        <v>1+0.242870119245145j</v>
      </c>
      <c r="AR106" s="86">
        <f t="shared" si="51"/>
        <v>9.8944267346396206E-8</v>
      </c>
      <c r="AS106" s="86" t="str">
        <f t="shared" si="31"/>
        <v>1.28054174527658E-06j</v>
      </c>
      <c r="AT106" s="86" t="str">
        <f t="shared" si="32"/>
        <v>9.89442673463962E-08+1.28054174527658E-06j</v>
      </c>
      <c r="AU106" s="86" t="str">
        <f t="shared" si="33"/>
        <v>24.8517990704742-76.1717119402964j</v>
      </c>
      <c r="AW106" s="86" t="str">
        <f t="shared" si="48"/>
        <v>16.4143655179297-50.8307298385877j</v>
      </c>
      <c r="AX106" s="86">
        <f t="shared" si="34"/>
        <v>34.553313768483143</v>
      </c>
      <c r="AY106" s="86">
        <f t="shared" si="35"/>
        <v>107.89641431878641</v>
      </c>
      <c r="AZ106" s="86" t="str">
        <f t="shared" si="36"/>
        <v>146.004565297183-493.23204677868j</v>
      </c>
      <c r="BA106" s="86">
        <f t="shared" si="37"/>
        <v>54.225819368954873</v>
      </c>
      <c r="BB106" s="86">
        <f t="shared" si="38"/>
        <v>106.48959527505171</v>
      </c>
      <c r="BD106" s="86" t="str">
        <f t="shared" si="39"/>
        <v>22.3728085536913-126.396610127774j</v>
      </c>
      <c r="BE106" s="86">
        <f t="shared" si="40"/>
        <v>42.168688008411962</v>
      </c>
      <c r="BF106" s="86">
        <f t="shared" si="41"/>
        <v>100.0376615759493</v>
      </c>
      <c r="BH106" s="86">
        <f t="shared" si="49"/>
        <v>-41.168688008411962</v>
      </c>
      <c r="BI106" s="157">
        <f t="shared" si="50"/>
        <v>-100.0376615759493</v>
      </c>
      <c r="BJ106" s="88"/>
      <c r="BK106" s="88"/>
      <c r="BL106" s="88"/>
      <c r="BM106" s="88"/>
      <c r="BN106" s="42"/>
      <c r="BO106" s="42"/>
      <c r="BP106" s="42"/>
    </row>
    <row r="107" spans="1:68" s="86" customFormat="1">
      <c r="A107" s="86">
        <v>43</v>
      </c>
      <c r="B107" s="86">
        <f t="shared" si="42"/>
        <v>724.43596007499025</v>
      </c>
      <c r="C107" s="86" t="str">
        <f t="shared" si="0"/>
        <v>4551.76538033572j</v>
      </c>
      <c r="D107" s="86">
        <f t="shared" si="1"/>
        <v>0.99999947519253973</v>
      </c>
      <c r="E107" s="86" t="str">
        <f t="shared" si="2"/>
        <v>-0.00113794134508393j</v>
      </c>
      <c r="F107" s="86" t="str">
        <f t="shared" si="3"/>
        <v>0.99999947519254-0.00113794134508393j</v>
      </c>
      <c r="G107" s="86">
        <f t="shared" si="4"/>
        <v>1.0653062537115305E-6</v>
      </c>
      <c r="H107" s="86">
        <f t="shared" si="5"/>
        <v>-6.5199242481398301E-2</v>
      </c>
      <c r="J107" s="86">
        <f t="shared" si="6"/>
        <v>4.8</v>
      </c>
      <c r="K107" s="86" t="str">
        <f t="shared" si="7"/>
        <v>1+0.186098927575026j</v>
      </c>
      <c r="L107" s="86">
        <f t="shared" si="8"/>
        <v>0.99661168537658562</v>
      </c>
      <c r="M107" s="86" t="str">
        <f t="shared" si="9"/>
        <v>0.0260224426793793j</v>
      </c>
      <c r="N107" s="86" t="str">
        <f t="shared" si="10"/>
        <v>0.996611685376586+0.0260224426793793j</v>
      </c>
      <c r="O107" s="86" t="str">
        <f t="shared" si="11"/>
        <v>1.00758861444084+0.160422572760554j</v>
      </c>
      <c r="P107" s="86" t="str">
        <f t="shared" si="12"/>
        <v>4.83642534931603+0.770028349250659j</v>
      </c>
      <c r="R107" s="86">
        <f t="shared" si="13"/>
        <v>11.52</v>
      </c>
      <c r="S107" s="86" t="str">
        <f t="shared" si="14"/>
        <v>1+0.000386900057328536j</v>
      </c>
      <c r="T107" s="86" t="str">
        <f t="shared" si="15"/>
        <v>0.996611685376586+0.0260224426793793j</v>
      </c>
      <c r="U107" s="86" t="str">
        <f t="shared" si="16"/>
        <v>1.00272633236878-0.025793886251824j</v>
      </c>
      <c r="V107" s="86" t="str">
        <f t="shared" si="17"/>
        <v>11.5514073488883-0.297145569621012j</v>
      </c>
      <c r="X107" s="86" t="str">
        <f t="shared" si="18"/>
        <v>2.98399575115236+0.47161390364064j</v>
      </c>
      <c r="Y107" s="86">
        <f t="shared" si="19"/>
        <v>9.6031141107517257</v>
      </c>
      <c r="Z107" s="86">
        <f t="shared" si="20"/>
        <v>-171.01881815991706</v>
      </c>
      <c r="AB107" s="86" t="str">
        <f t="shared" si="21"/>
        <v>9.62938258493523-0.247703875976169j</v>
      </c>
      <c r="AC107" s="86">
        <f t="shared" si="22"/>
        <v>19.674841666392044</v>
      </c>
      <c r="AD107" s="86">
        <f t="shared" si="23"/>
        <v>178.52646238141563</v>
      </c>
      <c r="AF107" s="86" t="str">
        <f t="shared" si="24"/>
        <v>2.3763560035754-0.343480890225955j</v>
      </c>
      <c r="AG107" s="86">
        <f t="shared" si="25"/>
        <v>7.608028505836665</v>
      </c>
      <c r="AH107" s="86">
        <f t="shared" si="26"/>
        <v>171.77537126157475</v>
      </c>
      <c r="AJ107" s="86" t="str">
        <f t="shared" si="27"/>
        <v>15.0499999992937-0.000103098623801111j</v>
      </c>
      <c r="AK107" s="86" t="str">
        <f t="shared" si="28"/>
        <v>30.1-4.12394495223796E-12j</v>
      </c>
      <c r="AL107" s="86" t="str">
        <f t="shared" si="43"/>
        <v>10000-4882110.64617378j</v>
      </c>
      <c r="AM107" s="86" t="str">
        <f t="shared" si="44"/>
        <v>963.137198167998-1515139.14728741j</v>
      </c>
      <c r="AN107" s="86" t="str">
        <f t="shared" si="45"/>
        <v>10963.137198168-1515139.14728741j</v>
      </c>
      <c r="AO107" s="86" t="str">
        <f t="shared" si="46"/>
        <v>30.099995661589-0.000597940007483866j</v>
      </c>
      <c r="AP107" s="86" t="str">
        <f t="shared" si="47"/>
        <v>0.66666666667362+1.52231261338984E-06j</v>
      </c>
      <c r="AQ107" s="86" t="str">
        <f t="shared" si="29"/>
        <v>1+0.254316235330117j</v>
      </c>
      <c r="AR107" s="86">
        <f t="shared" si="51"/>
        <v>9.8842412164367053E-8</v>
      </c>
      <c r="AS107" s="86" t="str">
        <f t="shared" si="31"/>
        <v>1.34089181845003E-06j</v>
      </c>
      <c r="AT107" s="86" t="str">
        <f t="shared" si="32"/>
        <v>9.88424121643671E-08+1.34089181845003E-06j</v>
      </c>
      <c r="AU107" s="86" t="str">
        <f t="shared" si="33"/>
        <v>24.331371599776-72.7836706861431j</v>
      </c>
      <c r="AW107" s="86" t="str">
        <f t="shared" si="48"/>
        <v>16.067318462705-48.5732752580243j</v>
      </c>
      <c r="AX107" s="86">
        <f t="shared" si="34"/>
        <v>34.178903060342172</v>
      </c>
      <c r="AY107" s="86">
        <f t="shared" si="35"/>
        <v>108.30344873285094</v>
      </c>
      <c r="AZ107" s="86" t="str">
        <f t="shared" si="36"/>
        <v>142.68656804111-471.71058792264j</v>
      </c>
      <c r="BA107" s="86">
        <f t="shared" si="37"/>
        <v>53.853744726734206</v>
      </c>
      <c r="BB107" s="86">
        <f t="shared" si="38"/>
        <v>106.82991111426658</v>
      </c>
      <c r="BD107" s="86" t="str">
        <f t="shared" si="39"/>
        <v>21.4976768633904-120.94621112184j</v>
      </c>
      <c r="BE107" s="86">
        <f t="shared" si="40"/>
        <v>41.786931566178815</v>
      </c>
      <c r="BF107" s="86">
        <f t="shared" si="41"/>
        <v>100.07881999442574</v>
      </c>
      <c r="BH107" s="86">
        <f t="shared" si="49"/>
        <v>-40.786931566178815</v>
      </c>
      <c r="BI107" s="157">
        <f t="shared" si="50"/>
        <v>-100.07881999442574</v>
      </c>
      <c r="BJ107" s="88"/>
      <c r="BK107" s="88"/>
      <c r="BL107" s="88"/>
      <c r="BM107" s="88"/>
      <c r="BN107" s="42"/>
      <c r="BO107" s="42"/>
      <c r="BP107" s="42"/>
    </row>
    <row r="108" spans="1:68" s="86" customFormat="1">
      <c r="A108" s="86">
        <v>44</v>
      </c>
      <c r="B108" s="86">
        <f t="shared" si="42"/>
        <v>758.57757502918378</v>
      </c>
      <c r="C108" s="86" t="str">
        <f t="shared" si="0"/>
        <v>4766.28347377929j</v>
      </c>
      <c r="D108" s="86">
        <f t="shared" si="1"/>
        <v>0.99999942456006263</v>
      </c>
      <c r="E108" s="86" t="str">
        <f t="shared" si="2"/>
        <v>-0.00119157086844482j</v>
      </c>
      <c r="F108" s="86" t="str">
        <f t="shared" si="3"/>
        <v>0.999999424560063-0.00119157086844482j</v>
      </c>
      <c r="G108" s="86">
        <f t="shared" si="4"/>
        <v>1.1680851934234045E-6</v>
      </c>
      <c r="H108" s="86">
        <f t="shared" si="5"/>
        <v>-6.8271988727256316E-2</v>
      </c>
      <c r="J108" s="86">
        <f t="shared" si="6"/>
        <v>4.8</v>
      </c>
      <c r="K108" s="86" t="str">
        <f t="shared" si="7"/>
        <v>1+0.194869499825466j</v>
      </c>
      <c r="L108" s="86">
        <f t="shared" si="8"/>
        <v>0.99628478689375299</v>
      </c>
      <c r="M108" s="86" t="str">
        <f t="shared" si="9"/>
        <v>0.0272488426195962j</v>
      </c>
      <c r="N108" s="86" t="str">
        <f t="shared" si="10"/>
        <v>0.996284786893753+0.0272488426195962j</v>
      </c>
      <c r="O108" s="86" t="str">
        <f t="shared" si="11"/>
        <v>1.00832443753398+0.168018048774503j</v>
      </c>
      <c r="P108" s="86" t="str">
        <f t="shared" si="12"/>
        <v>4.8399573001631+0.806486634117614j</v>
      </c>
      <c r="R108" s="86">
        <f t="shared" si="13"/>
        <v>11.52</v>
      </c>
      <c r="S108" s="86" t="str">
        <f t="shared" si="14"/>
        <v>1+0.00040513409527124j</v>
      </c>
      <c r="T108" s="86" t="str">
        <f t="shared" si="15"/>
        <v>0.996284786893753+0.0272488426195962j</v>
      </c>
      <c r="U108" s="86" t="str">
        <f t="shared" si="16"/>
        <v>1.00298990530763-0.0270255857940461j</v>
      </c>
      <c r="V108" s="86" t="str">
        <f t="shared" si="17"/>
        <v>11.5544437091439-0.311334748347411j</v>
      </c>
      <c r="X108" s="86" t="str">
        <f t="shared" si="18"/>
        <v>2.98622663451789+0.493941374835868j</v>
      </c>
      <c r="Y108" s="86">
        <f t="shared" si="19"/>
        <v>9.6196789403245582</v>
      </c>
      <c r="Z108" s="86">
        <f t="shared" si="20"/>
        <v>-170.60794145972051</v>
      </c>
      <c r="AB108" s="86" t="str">
        <f t="shared" si="21"/>
        <v>9.63191372886287-0.259532134334287j</v>
      </c>
      <c r="AC108" s="86">
        <f t="shared" si="22"/>
        <v>19.677403663434351</v>
      </c>
      <c r="AD108" s="86">
        <f t="shared" si="23"/>
        <v>178.45653738210788</v>
      </c>
      <c r="AF108" s="86" t="str">
        <f t="shared" si="24"/>
        <v>2.3718137335009-0.359003439072498j</v>
      </c>
      <c r="AG108" s="86">
        <f t="shared" si="25"/>
        <v>7.5999882885208239</v>
      </c>
      <c r="AH108" s="86">
        <f t="shared" si="26"/>
        <v>171.39290714404197</v>
      </c>
      <c r="AJ108" s="86" t="str">
        <f t="shared" si="27"/>
        <v>15.0499999992256-0.000107957512246414j</v>
      </c>
      <c r="AK108" s="86" t="str">
        <f t="shared" si="28"/>
        <v>30.1-4.31830049007879E-12j</v>
      </c>
      <c r="AL108" s="86" t="str">
        <f t="shared" si="43"/>
        <v>10000-4662379.47123228j</v>
      </c>
      <c r="AM108" s="86" t="str">
        <f t="shared" si="44"/>
        <v>963.137012744341-1446946.77780506j</v>
      </c>
      <c r="AN108" s="86" t="str">
        <f t="shared" si="45"/>
        <v>10963.1370127443-1446946.77780506j</v>
      </c>
      <c r="AO108" s="86" t="str">
        <f t="shared" si="46"/>
        <v>30.0999952430521-0.000626116817763425j</v>
      </c>
      <c r="AP108" s="86" t="str">
        <f t="shared" si="47"/>
        <v>0.66666666667429+1.59405699653524E-06j</v>
      </c>
      <c r="AQ108" s="86" t="str">
        <f t="shared" si="29"/>
        <v>1+0.266301790246996j</v>
      </c>
      <c r="AR108" s="86">
        <f t="shared" si="51"/>
        <v>9.8730730178107893E-8</v>
      </c>
      <c r="AS108" s="86" t="str">
        <f t="shared" si="31"/>
        <v>1.40408610294691E-06j</v>
      </c>
      <c r="AT108" s="86" t="str">
        <f t="shared" si="32"/>
        <v>9.87307301781079E-08+1.40408610294691E-06j</v>
      </c>
      <c r="AU108" s="86" t="str">
        <f t="shared" si="33"/>
        <v>23.8562513145012-69.5432101232747j</v>
      </c>
      <c r="AW108" s="86" t="str">
        <f t="shared" si="48"/>
        <v>15.7504820148056-46.4143145398802j</v>
      </c>
      <c r="AX108" s="86">
        <f t="shared" si="34"/>
        <v>33.806392230278028</v>
      </c>
      <c r="AY108" s="86">
        <f t="shared" si="35"/>
        <v>108.744404759663</v>
      </c>
      <c r="AZ108" s="86" t="str">
        <f t="shared" si="36"/>
        <v>139.661277838416-451.146429646528j</v>
      </c>
      <c r="BA108" s="86">
        <f t="shared" si="37"/>
        <v>53.483795893712383</v>
      </c>
      <c r="BB108" s="86">
        <f t="shared" si="38"/>
        <v>107.20094214177089</v>
      </c>
      <c r="BD108" s="86" t="str">
        <f t="shared" si="39"/>
        <v>20.6943110099652-115.740585867083j</v>
      </c>
      <c r="BE108" s="86">
        <f t="shared" si="40"/>
        <v>41.406380518798841</v>
      </c>
      <c r="BF108" s="86">
        <f t="shared" si="41"/>
        <v>100.13731190370498</v>
      </c>
      <c r="BH108" s="86">
        <f t="shared" si="49"/>
        <v>-40.406380518798841</v>
      </c>
      <c r="BI108" s="157">
        <f t="shared" si="50"/>
        <v>-100.13731190370498</v>
      </c>
      <c r="BJ108" s="88"/>
      <c r="BK108" s="88"/>
      <c r="BL108" s="88"/>
      <c r="BM108" s="88"/>
      <c r="BN108" s="42"/>
      <c r="BO108" s="42"/>
      <c r="BP108" s="42"/>
    </row>
    <row r="109" spans="1:68" s="86" customFormat="1">
      <c r="A109" s="86">
        <v>45</v>
      </c>
      <c r="B109" s="86">
        <f t="shared" si="42"/>
        <v>794.32823472428174</v>
      </c>
      <c r="C109" s="86" t="str">
        <f t="shared" si="0"/>
        <v>4990.91149349751j</v>
      </c>
      <c r="D109" s="86">
        <f t="shared" si="1"/>
        <v>0.99999936904265552</v>
      </c>
      <c r="E109" s="86" t="str">
        <f t="shared" si="2"/>
        <v>-0.00124772787337438j</v>
      </c>
      <c r="F109" s="86" t="str">
        <f t="shared" si="3"/>
        <v>0.999999369042656-0.00124772787337438j</v>
      </c>
      <c r="G109" s="86">
        <f t="shared" si="4"/>
        <v>1.2807800841485504E-6</v>
      </c>
      <c r="H109" s="86">
        <f t="shared" si="5"/>
        <v>-7.1489549133131519E-2</v>
      </c>
      <c r="J109" s="86">
        <f t="shared" si="6"/>
        <v>4.8</v>
      </c>
      <c r="K109" s="86" t="str">
        <f t="shared" si="7"/>
        <v>1+0.204053416411646j</v>
      </c>
      <c r="L109" s="86">
        <f t="shared" si="8"/>
        <v>0.99592634983497474</v>
      </c>
      <c r="M109" s="86" t="str">
        <f t="shared" si="9"/>
        <v>0.0285330410083253j</v>
      </c>
      <c r="N109" s="86" t="str">
        <f t="shared" si="10"/>
        <v>0.995926349834975+0.0285330410083253j</v>
      </c>
      <c r="O109" s="86" t="str">
        <f t="shared" si="11"/>
        <v>1.00913200054138+0.175976679085181j</v>
      </c>
      <c r="P109" s="86" t="str">
        <f t="shared" si="12"/>
        <v>4.84383360259862+0.844688059608869j</v>
      </c>
      <c r="R109" s="86">
        <f t="shared" si="13"/>
        <v>11.52</v>
      </c>
      <c r="S109" s="86" t="str">
        <f t="shared" si="14"/>
        <v>1+0.000424227476947288j</v>
      </c>
      <c r="T109" s="86" t="str">
        <f t="shared" si="15"/>
        <v>0.995926349834975+0.0285330410083253j</v>
      </c>
      <c r="U109" s="86" t="str">
        <f t="shared" si="16"/>
        <v>1.00327901677008-0.0283177303783748j</v>
      </c>
      <c r="V109" s="86" t="str">
        <f t="shared" si="17"/>
        <v>11.5577742731913-0.326220253958878j</v>
      </c>
      <c r="X109" s="86" t="str">
        <f t="shared" si="18"/>
        <v>2.98867499209325+0.517336085303952j</v>
      </c>
      <c r="Y109" s="86">
        <f t="shared" si="19"/>
        <v>9.6377908630324516</v>
      </c>
      <c r="Z109" s="86">
        <f t="shared" si="20"/>
        <v>-170.1794817970864</v>
      </c>
      <c r="AB109" s="86" t="str">
        <f t="shared" si="21"/>
        <v>9.63469012436754-0.27194085858526j</v>
      </c>
      <c r="AC109" s="86">
        <f t="shared" si="22"/>
        <v>19.680213500763685</v>
      </c>
      <c r="AD109" s="86">
        <f t="shared" si="23"/>
        <v>178.38324558004729</v>
      </c>
      <c r="AF109" s="86" t="str">
        <f t="shared" si="24"/>
        <v>2.36685248421939-0.375161942306546j</v>
      </c>
      <c r="AG109" s="86">
        <f t="shared" si="25"/>
        <v>7.5911893984069483</v>
      </c>
      <c r="AH109" s="86">
        <f t="shared" si="26"/>
        <v>170.99316740060638</v>
      </c>
      <c r="AJ109" s="86" t="str">
        <f t="shared" si="27"/>
        <v>15.0499999991509-0.000113045393049214j</v>
      </c>
      <c r="AK109" s="86" t="str">
        <f t="shared" si="28"/>
        <v>30.1-4.52181572222368E-12j</v>
      </c>
      <c r="AL109" s="86" t="str">
        <f t="shared" si="43"/>
        <v>10000-4452537.82824536j</v>
      </c>
      <c r="AM109" s="86" t="str">
        <f t="shared" si="44"/>
        <v>963.136809431429-1381823.57643391j</v>
      </c>
      <c r="AN109" s="86" t="str">
        <f t="shared" si="45"/>
        <v>10963.1368094314-1381823.57643391j</v>
      </c>
      <c r="AO109" s="86" t="str">
        <f t="shared" si="46"/>
        <v>30.0999947841404-0.000655621081097942j</v>
      </c>
      <c r="AP109" s="86" t="str">
        <f t="shared" si="47"/>
        <v>0.666666666675025+1.66918258828866E-06j</v>
      </c>
      <c r="AQ109" s="86" t="str">
        <f t="shared" si="29"/>
        <v>1+0.278852206964693j</v>
      </c>
      <c r="AR109" s="86">
        <f t="shared" si="51"/>
        <v>9.860827331527276E-8</v>
      </c>
      <c r="AS109" s="86" t="str">
        <f t="shared" si="31"/>
        <v>1.47025864231725E-06j</v>
      </c>
      <c r="AT109" s="86" t="str">
        <f t="shared" si="32"/>
        <v>9.86082733152728E-08+1.47025864231725E-06j</v>
      </c>
      <c r="AU109" s="86" t="str">
        <f t="shared" si="33"/>
        <v>23.4225325815509-66.4443259802877j</v>
      </c>
      <c r="AW109" s="86" t="str">
        <f t="shared" si="48"/>
        <v>15.4612516783787-44.3498478277278j</v>
      </c>
      <c r="AX109" s="86">
        <f t="shared" si="34"/>
        <v>33.435974965776794</v>
      </c>
      <c r="AY109" s="86">
        <f t="shared" si="35"/>
        <v>109.21958548030281</v>
      </c>
      <c r="AZ109" s="86" t="str">
        <f t="shared" si="36"/>
        <v>136.903833159638-431.501586939233j</v>
      </c>
      <c r="BA109" s="86">
        <f t="shared" si="37"/>
        <v>53.116188466540478</v>
      </c>
      <c r="BB109" s="86">
        <f t="shared" si="38"/>
        <v>107.60283106035008</v>
      </c>
      <c r="BD109" s="86" t="str">
        <f t="shared" si="39"/>
        <v>19.9561268920616-110.77002071596j</v>
      </c>
      <c r="BE109" s="86">
        <f t="shared" si="40"/>
        <v>41.027164364183719</v>
      </c>
      <c r="BF109" s="86">
        <f t="shared" si="41"/>
        <v>100.21275288090918</v>
      </c>
      <c r="BH109" s="86">
        <f t="shared" si="49"/>
        <v>-40.027164364183719</v>
      </c>
      <c r="BI109" s="157">
        <f t="shared" si="50"/>
        <v>-100.21275288090918</v>
      </c>
      <c r="BJ109" s="88"/>
      <c r="BK109" s="88"/>
      <c r="BL109" s="88"/>
      <c r="BM109" s="88"/>
      <c r="BN109" s="42"/>
      <c r="BO109" s="42"/>
      <c r="BP109" s="42"/>
    </row>
    <row r="110" spans="1:68" s="86" customFormat="1">
      <c r="A110" s="86">
        <v>46</v>
      </c>
      <c r="B110" s="86">
        <f t="shared" si="42"/>
        <v>831.76377110267106</v>
      </c>
      <c r="C110" s="86" t="str">
        <f t="shared" si="0"/>
        <v>5226.12590563659j</v>
      </c>
      <c r="D110" s="86">
        <f t="shared" si="1"/>
        <v>0.99999930816902904</v>
      </c>
      <c r="E110" s="86" t="str">
        <f t="shared" si="2"/>
        <v>-0.00130653147640915j</v>
      </c>
      <c r="F110" s="86" t="str">
        <f t="shared" si="3"/>
        <v>0.999999308169029-0.00130653147640915j</v>
      </c>
      <c r="G110" s="86">
        <f t="shared" si="4"/>
        <v>1.4043475941241963E-6</v>
      </c>
      <c r="H110" s="86">
        <f t="shared" si="5"/>
        <v>-7.4858748593591956E-2</v>
      </c>
      <c r="J110" s="86">
        <f t="shared" si="6"/>
        <v>4.8</v>
      </c>
      <c r="K110" s="86" t="str">
        <f t="shared" si="7"/>
        <v>1+0.213670157651952j</v>
      </c>
      <c r="L110" s="86">
        <f t="shared" si="8"/>
        <v>0.99553333141533473</v>
      </c>
      <c r="M110" s="86" t="str">
        <f t="shared" si="9"/>
        <v>0.0298777618025244j</v>
      </c>
      <c r="N110" s="86" t="str">
        <f t="shared" si="10"/>
        <v>0.995533331415335+0.0298777618025244j</v>
      </c>
      <c r="O110" s="86" t="str">
        <f t="shared" si="11"/>
        <v>1.01001837733381+0.184316349204432j</v>
      </c>
      <c r="P110" s="86" t="str">
        <f t="shared" si="12"/>
        <v>4.84808821120229+0.884718476181274j</v>
      </c>
      <c r="R110" s="86">
        <f t="shared" si="13"/>
        <v>11.52</v>
      </c>
      <c r="S110" s="86" t="str">
        <f t="shared" si="14"/>
        <v>1+0.00044422070197911j</v>
      </c>
      <c r="T110" s="86" t="str">
        <f t="shared" si="15"/>
        <v>0.995533331415335+0.0298777618025244j</v>
      </c>
      <c r="U110" s="86" t="str">
        <f t="shared" si="16"/>
        <v>1.00359615280863-0.0296735279124899j</v>
      </c>
      <c r="V110" s="86" t="str">
        <f t="shared" si="17"/>
        <v>11.5614276803554-0.341839041551884j</v>
      </c>
      <c r="X110" s="86" t="str">
        <f t="shared" si="18"/>
        <v>2.99136226205768+0.541850555477153j</v>
      </c>
      <c r="Y110" s="86">
        <f t="shared" si="19"/>
        <v>9.6575892515914301</v>
      </c>
      <c r="Z110" s="86">
        <f t="shared" si="20"/>
        <v>-169.73286065307374</v>
      </c>
      <c r="AB110" s="86" t="str">
        <f t="shared" si="21"/>
        <v>9.63773564551134-0.28496085491154j</v>
      </c>
      <c r="AC110" s="86">
        <f t="shared" si="22"/>
        <v>19.683295223950246</v>
      </c>
      <c r="AD110" s="86">
        <f t="shared" si="23"/>
        <v>178.3064176484371</v>
      </c>
      <c r="AF110" s="86" t="str">
        <f t="shared" si="24"/>
        <v>2.36143558668407-0.391972949725006j</v>
      </c>
      <c r="AG110" s="86">
        <f t="shared" si="25"/>
        <v>7.5815620023266339</v>
      </c>
      <c r="AH110" s="86">
        <f t="shared" si="26"/>
        <v>170.57544539256315</v>
      </c>
      <c r="AJ110" s="86" t="str">
        <f t="shared" si="27"/>
        <v>15.049999999069-0.000118373058286822j</v>
      </c>
      <c r="AK110" s="86" t="str">
        <f t="shared" si="28"/>
        <v>30.1-4.7349223317658E-12j</v>
      </c>
      <c r="AL110" s="86" t="str">
        <f t="shared" si="43"/>
        <v>10000-4252140.6149543j</v>
      </c>
      <c r="AM110" s="86" t="str">
        <f t="shared" si="44"/>
        <v>963.136586503354-1319631.40813263j</v>
      </c>
      <c r="AN110" s="86" t="str">
        <f t="shared" si="45"/>
        <v>10963.1365865034-1319631.40813263j</v>
      </c>
      <c r="AO110" s="86" t="str">
        <f t="shared" si="46"/>
        <v>30.0999942809599-0.000686515287454046j</v>
      </c>
      <c r="AP110" s="86" t="str">
        <f t="shared" si="47"/>
        <v>0.666666666675831+0.0000017478487401023j</v>
      </c>
      <c r="AQ110" s="86" t="str">
        <f t="shared" si="29"/>
        <v>1+0.291994106599728j</v>
      </c>
      <c r="AR110" s="86">
        <f t="shared" si="51"/>
        <v>9.8474002035205951E-8</v>
      </c>
      <c r="AS110" s="86" t="str">
        <f t="shared" si="31"/>
        <v>1.53954979738895E-06j</v>
      </c>
      <c r="AT110" s="86" t="str">
        <f t="shared" si="32"/>
        <v>9.8474002035206E-08+1.53954979738895E-06j</v>
      </c>
      <c r="AU110" s="86" t="str">
        <f t="shared" si="33"/>
        <v>23.0266399454642-63.4812039057775j</v>
      </c>
      <c r="AW110" s="86" t="str">
        <f t="shared" si="48"/>
        <v>15.1972431157468-42.3760020936706j</v>
      </c>
      <c r="AX110" s="86">
        <f t="shared" si="34"/>
        <v>33.06785557126706</v>
      </c>
      <c r="AY110" s="86">
        <f t="shared" si="35"/>
        <v>109.72928174954632</v>
      </c>
      <c r="AZ110" s="86" t="str">
        <f t="shared" si="36"/>
        <v>134.391509905789-412.739325282994j</v>
      </c>
      <c r="BA110" s="86">
        <f t="shared" si="37"/>
        <v>52.751150795217313</v>
      </c>
      <c r="BB110" s="86">
        <f t="shared" si="38"/>
        <v>108.03569939798342</v>
      </c>
      <c r="BD110" s="86" t="str">
        <f t="shared" si="39"/>
        <v>19.2770641748049-106.02510757716j</v>
      </c>
      <c r="BE110" s="86">
        <f t="shared" si="40"/>
        <v>40.649417573593716</v>
      </c>
      <c r="BF110" s="86">
        <f t="shared" si="41"/>
        <v>100.30472714210946</v>
      </c>
      <c r="BH110" s="86">
        <f t="shared" si="49"/>
        <v>-39.649417573593716</v>
      </c>
      <c r="BI110" s="157">
        <f t="shared" si="50"/>
        <v>-100.30472714210946</v>
      </c>
      <c r="BJ110" s="88"/>
      <c r="BK110" s="88"/>
      <c r="BL110" s="88"/>
      <c r="BM110" s="88"/>
      <c r="BN110" s="42"/>
      <c r="BO110" s="42"/>
      <c r="BP110" s="42"/>
    </row>
    <row r="111" spans="1:68" s="86" customFormat="1">
      <c r="A111" s="86">
        <v>47</v>
      </c>
      <c r="B111" s="86">
        <f t="shared" si="42"/>
        <v>870.9635899560808</v>
      </c>
      <c r="C111" s="86" t="str">
        <f t="shared" si="0"/>
        <v>5472.42563150043j</v>
      </c>
      <c r="D111" s="86">
        <f t="shared" si="1"/>
        <v>0.99999924142242502</v>
      </c>
      <c r="E111" s="86" t="str">
        <f t="shared" si="2"/>
        <v>-0.00136810640787511j</v>
      </c>
      <c r="F111" s="86" t="str">
        <f t="shared" si="3"/>
        <v>0.999999241422425-0.00136810640787511j</v>
      </c>
      <c r="G111" s="86">
        <f t="shared" si="4"/>
        <v>1.5398367123325632E-6</v>
      </c>
      <c r="H111" s="86">
        <f t="shared" si="5"/>
        <v>-7.8386733652574203E-2</v>
      </c>
      <c r="J111" s="86">
        <f t="shared" si="6"/>
        <v>4.8</v>
      </c>
      <c r="K111" s="86" t="str">
        <f t="shared" si="7"/>
        <v>1+0.223740121943895j</v>
      </c>
      <c r="L111" s="86">
        <f t="shared" si="8"/>
        <v>0.99510239528751676</v>
      </c>
      <c r="M111" s="86" t="str">
        <f t="shared" si="9"/>
        <v>0.031285857335288j</v>
      </c>
      <c r="N111" s="86" t="str">
        <f t="shared" si="10"/>
        <v>0.995102395287517+0.031285857335288j</v>
      </c>
      <c r="O111" s="86" t="str">
        <f t="shared" si="11"/>
        <v>1.01099135543834+0.193055902126469j</v>
      </c>
      <c r="P111" s="86" t="str">
        <f t="shared" si="12"/>
        <v>4.85275850610403+0.926668330207051j</v>
      </c>
      <c r="R111" s="86">
        <f t="shared" si="13"/>
        <v>11.52</v>
      </c>
      <c r="S111" s="86" t="str">
        <f t="shared" si="14"/>
        <v>1+0.000465156178677537j</v>
      </c>
      <c r="T111" s="86" t="str">
        <f t="shared" si="15"/>
        <v>0.995102395287517+0.031285857335288j</v>
      </c>
      <c r="U111" s="86" t="str">
        <f t="shared" si="16"/>
        <v>1.00394404380302-0.0310963917832951j</v>
      </c>
      <c r="V111" s="86" t="str">
        <f t="shared" si="17"/>
        <v>11.5654353846108-0.35823043334356j</v>
      </c>
      <c r="X111" s="86" t="str">
        <f t="shared" si="18"/>
        <v>2.9943120442524+0.567540111340765j</v>
      </c>
      <c r="Y111" s="86">
        <f t="shared" si="19"/>
        <v>9.6792250581453221</v>
      </c>
      <c r="Z111" s="86">
        <f t="shared" si="20"/>
        <v>-169.26750594026208</v>
      </c>
      <c r="AB111" s="86" t="str">
        <f t="shared" si="21"/>
        <v>9.64107651267989-0.298624902753885j</v>
      </c>
      <c r="AC111" s="86">
        <f t="shared" si="22"/>
        <v>19.686675225681089</v>
      </c>
      <c r="AD111" s="86">
        <f t="shared" si="23"/>
        <v>178.22587467970834</v>
      </c>
      <c r="AF111" s="86" t="str">
        <f t="shared" si="24"/>
        <v>2.35552355011725-0.409451986358099j</v>
      </c>
      <c r="AG111" s="86">
        <f t="shared" si="25"/>
        <v>7.5710301840923275</v>
      </c>
      <c r="AH111" s="86">
        <f t="shared" si="26"/>
        <v>170.139016236353</v>
      </c>
      <c r="AJ111" s="86" t="str">
        <f t="shared" si="27"/>
        <v>15.0499999989791-0.000123951808651485j</v>
      </c>
      <c r="AK111" s="86" t="str">
        <f t="shared" si="28"/>
        <v>30.1-4.95807234639571E-12j</v>
      </c>
      <c r="AL111" s="86" t="str">
        <f t="shared" si="43"/>
        <v>10000-4060762.76200201j</v>
      </c>
      <c r="AM111" s="86" t="str">
        <f t="shared" si="44"/>
        <v>963.136342067688-1260238.354974j</v>
      </c>
      <c r="AN111" s="86" t="str">
        <f t="shared" si="45"/>
        <v>10963.1363420677-1260238.354974j</v>
      </c>
      <c r="AO111" s="86" t="str">
        <f t="shared" si="46"/>
        <v>30.0999937292408-0.000718864861345874j</v>
      </c>
      <c r="AP111" s="86" t="str">
        <f t="shared" si="47"/>
        <v>0.666666666676716+1.83022231343108E-06j</v>
      </c>
      <c r="AQ111" s="86" t="str">
        <f t="shared" si="29"/>
        <v>1+0.305755364883192j</v>
      </c>
      <c r="AR111" s="86">
        <f t="shared" si="51"/>
        <v>9.8326776504244443E-8</v>
      </c>
      <c r="AS111" s="86" t="str">
        <f t="shared" si="31"/>
        <v>1.61210654399194E-06j</v>
      </c>
      <c r="AT111" s="86" t="str">
        <f t="shared" si="32"/>
        <v>9.83267765042444E-08+1.61210654399194E-06j</v>
      </c>
      <c r="AU111" s="86" t="str">
        <f t="shared" si="33"/>
        <v>22.6653013089378-60.6482210175083j</v>
      </c>
      <c r="AW111" s="86" t="str">
        <f t="shared" si="48"/>
        <v>14.9562742623617-40.48903218008j</v>
      </c>
      <c r="AX111" s="86">
        <f t="shared" si="34"/>
        <v>32.702249456659381</v>
      </c>
      <c r="AY111" s="86">
        <f t="shared" si="35"/>
        <v>110.27376392863601</v>
      </c>
      <c r="AZ111" s="86" t="str">
        <f t="shared" si="36"/>
        <v>132.103551210679-394.824173119668j</v>
      </c>
      <c r="BA111" s="86">
        <f t="shared" si="37"/>
        <v>52.388924682340473</v>
      </c>
      <c r="BB111" s="86">
        <f t="shared" si="38"/>
        <v>108.49963860834436</v>
      </c>
      <c r="BD111" s="86" t="str">
        <f t="shared" si="39"/>
        <v>18.6515415951548-101.496745026874j</v>
      </c>
      <c r="BE111" s="86">
        <f t="shared" si="40"/>
        <v>40.273279640751689</v>
      </c>
      <c r="BF111" s="86">
        <f t="shared" si="41"/>
        <v>100.41278016498904</v>
      </c>
      <c r="BH111" s="86">
        <f t="shared" si="49"/>
        <v>-39.273279640751689</v>
      </c>
      <c r="BI111" s="157">
        <f t="shared" si="50"/>
        <v>-100.41278016498904</v>
      </c>
      <c r="BJ111" s="88"/>
      <c r="BK111" s="88"/>
      <c r="BL111" s="88"/>
      <c r="BM111" s="88"/>
      <c r="BN111" s="42"/>
      <c r="BO111" s="42"/>
      <c r="BP111" s="42"/>
    </row>
    <row r="112" spans="1:68" s="86" customFormat="1">
      <c r="A112" s="86">
        <v>48</v>
      </c>
      <c r="B112" s="86">
        <f t="shared" si="42"/>
        <v>912.01083935590987</v>
      </c>
      <c r="C112" s="86" t="str">
        <f t="shared" si="0"/>
        <v>5730.33310582957j</v>
      </c>
      <c r="D112" s="86">
        <f t="shared" si="1"/>
        <v>0.99999916823622892</v>
      </c>
      <c r="E112" s="86" t="str">
        <f t="shared" si="2"/>
        <v>-0.00143258327645739j</v>
      </c>
      <c r="F112" s="86" t="str">
        <f t="shared" si="3"/>
        <v>0.999999168236229-0.00143258327645739j</v>
      </c>
      <c r="G112" s="86">
        <f t="shared" si="4"/>
        <v>1.6883976164341356E-6</v>
      </c>
      <c r="H112" s="86">
        <f t="shared" si="5"/>
        <v>-8.2080987662544944E-2</v>
      </c>
      <c r="J112" s="86">
        <f t="shared" si="6"/>
        <v>4.8</v>
      </c>
      <c r="K112" s="86" t="str">
        <f t="shared" si="7"/>
        <v>1+0.234284669031842j</v>
      </c>
      <c r="L112" s="86">
        <f t="shared" si="8"/>
        <v>0.99462988321943402</v>
      </c>
      <c r="M112" s="86" t="str">
        <f t="shared" si="9"/>
        <v>0.0327603143660276j</v>
      </c>
      <c r="N112" s="86" t="str">
        <f t="shared" si="10"/>
        <v>0.994629883219434+0.0327603143660276j</v>
      </c>
      <c r="O112" s="86" t="str">
        <f t="shared" si="11"/>
        <v>1.0120595113034+0.202215200526045j</v>
      </c>
      <c r="P112" s="86" t="str">
        <f t="shared" si="12"/>
        <v>4.85788565425632+0.970632962525016j</v>
      </c>
      <c r="R112" s="86">
        <f t="shared" si="13"/>
        <v>11.52</v>
      </c>
      <c r="S112" s="86" t="str">
        <f t="shared" si="14"/>
        <v>1+0.000487078313995513j</v>
      </c>
      <c r="T112" s="86" t="str">
        <f t="shared" si="15"/>
        <v>0.994629883219434+0.0327603143660276j</v>
      </c>
      <c r="U112" s="86" t="str">
        <f t="shared" si="16"/>
        <v>1.00432568893768-0.0325899588664668j</v>
      </c>
      <c r="V112" s="86" t="str">
        <f t="shared" si="17"/>
        <v>11.5698319365621-0.375436326141698j</v>
      </c>
      <c r="X112" s="86" t="str">
        <f t="shared" si="18"/>
        <v>2.99755032792815+0.594463065843561j</v>
      </c>
      <c r="Y112" s="86">
        <f t="shared" si="19"/>
        <v>9.7028615934318712</v>
      </c>
      <c r="Z112" s="86">
        <f t="shared" si="20"/>
        <v>-168.78285649631769</v>
      </c>
      <c r="AB112" s="86" t="str">
        <f t="shared" si="21"/>
        <v>9.6447415276443-0.312967927760669j</v>
      </c>
      <c r="AC112" s="86">
        <f t="shared" si="22"/>
        <v>19.690382477736474</v>
      </c>
      <c r="AD112" s="86">
        <f t="shared" si="23"/>
        <v>178.14142749105702</v>
      </c>
      <c r="AF112" s="86" t="str">
        <f t="shared" si="24"/>
        <v>2.34907392155053-0.427613281342902j</v>
      </c>
      <c r="AG112" s="86">
        <f t="shared" si="25"/>
        <v>7.559511482095421</v>
      </c>
      <c r="AH112" s="86">
        <f t="shared" si="26"/>
        <v>169.68313795859208</v>
      </c>
      <c r="AJ112" s="86" t="str">
        <f t="shared" si="27"/>
        <v>15.0499999988806-0.000129793477420663j</v>
      </c>
      <c r="AK112" s="86" t="str">
        <f t="shared" si="28"/>
        <v>30.1-5.19173909721265E-12j</v>
      </c>
      <c r="AL112" s="86" t="str">
        <f t="shared" si="43"/>
        <v>10000-3877998.33130383j</v>
      </c>
      <c r="AM112" s="86" t="str">
        <f t="shared" si="44"/>
        <v>963.136074049468-1203518.43632928j</v>
      </c>
      <c r="AN112" s="86" t="str">
        <f t="shared" si="45"/>
        <v>10963.1360740495-1203518.43632928j</v>
      </c>
      <c r="AO112" s="86" t="str">
        <f t="shared" si="46"/>
        <v>30.0999931243016-0.00075273829858034j</v>
      </c>
      <c r="AP112" s="86" t="str">
        <f t="shared" si="47"/>
        <v>0.666666666677686+1.91647803366787E-06j</v>
      </c>
      <c r="AQ112" s="86" t="str">
        <f t="shared" si="29"/>
        <v>1+0.32016517128891j</v>
      </c>
      <c r="AR112" s="86">
        <f t="shared" si="51"/>
        <v>9.8165346919629564E-8</v>
      </c>
      <c r="AS112" s="86" t="str">
        <f t="shared" si="31"/>
        <v>1.68808278471364E-06j</v>
      </c>
      <c r="AT112" s="86" t="str">
        <f t="shared" si="32"/>
        <v>9.81653469196296E-08+1.68808278471364E-06j</v>
      </c>
      <c r="AU112" s="86" t="str">
        <f t="shared" si="33"/>
        <v>22.3355231056382-57.939946139724j</v>
      </c>
      <c r="AW112" s="86" t="str">
        <f t="shared" si="48"/>
        <v>14.7363487701536-38.6853209669601j</v>
      </c>
      <c r="AX112" s="86">
        <f t="shared" si="34"/>
        <v>32.339383531290608</v>
      </c>
      <c r="AY112" s="86">
        <f t="shared" si="35"/>
        <v>110.85327283521815</v>
      </c>
      <c r="AZ112" s="86" t="str">
        <f t="shared" si="36"/>
        <v>130.021010211565-377.721926177642j</v>
      </c>
      <c r="BA112" s="86">
        <f t="shared" si="37"/>
        <v>52.029766009027078</v>
      </c>
      <c r="BB112" s="86">
        <f t="shared" si="38"/>
        <v>108.99470032627524</v>
      </c>
      <c r="BD112" s="86" t="str">
        <f t="shared" si="39"/>
        <v>18.0744155563559-97.1761370829166j</v>
      </c>
      <c r="BE112" s="86">
        <f t="shared" si="40"/>
        <v>39.898895013386017</v>
      </c>
      <c r="BF112" s="86">
        <f t="shared" si="41"/>
        <v>100.53641079381026</v>
      </c>
      <c r="BH112" s="86">
        <f t="shared" si="49"/>
        <v>-38.898895013386017</v>
      </c>
      <c r="BI112" s="157">
        <f t="shared" si="50"/>
        <v>-100.53641079381026</v>
      </c>
      <c r="BJ112" s="88"/>
      <c r="BK112" s="88"/>
      <c r="BL112" s="88"/>
      <c r="BM112" s="88"/>
      <c r="BN112" s="42"/>
      <c r="BO112" s="42"/>
      <c r="BP112" s="42"/>
    </row>
    <row r="113" spans="1:68" s="86" customFormat="1">
      <c r="A113" s="86">
        <v>49</v>
      </c>
      <c r="B113" s="86">
        <f t="shared" si="42"/>
        <v>954.99258602143584</v>
      </c>
      <c r="C113" s="86" t="str">
        <f t="shared" si="0"/>
        <v>6000.39538495532j</v>
      </c>
      <c r="D113" s="86">
        <f t="shared" si="1"/>
        <v>0.9999990879891606</v>
      </c>
      <c r="E113" s="86" t="str">
        <f t="shared" si="2"/>
        <v>-0.00150009884623883j</v>
      </c>
      <c r="F113" s="86" t="str">
        <f t="shared" si="3"/>
        <v>0.999999087989161-0.00150009884623883j</v>
      </c>
      <c r="G113" s="86">
        <f t="shared" si="4"/>
        <v>1.8512914587362015E-6</v>
      </c>
      <c r="H113" s="86">
        <f t="shared" si="5"/>
        <v>-8.5949346658138776E-2</v>
      </c>
      <c r="J113" s="86">
        <f t="shared" si="6"/>
        <v>4.8</v>
      </c>
      <c r="K113" s="86" t="str">
        <f t="shared" si="7"/>
        <v>1+0.245326165313898j</v>
      </c>
      <c r="L113" s="86">
        <f t="shared" si="8"/>
        <v>0.99411178403936684</v>
      </c>
      <c r="M113" s="86" t="str">
        <f t="shared" si="9"/>
        <v>0.0343042604157896j</v>
      </c>
      <c r="N113" s="86" t="str">
        <f t="shared" si="10"/>
        <v>0.994111784039367+0.0343042604157896j</v>
      </c>
      <c r="O113" s="86" t="str">
        <f t="shared" si="11"/>
        <v>1.01323229415644+0.211815194442086j</v>
      </c>
      <c r="P113" s="86" t="str">
        <f t="shared" si="12"/>
        <v>4.86351501195091+1.01671293332201j</v>
      </c>
      <c r="R113" s="86">
        <f t="shared" si="13"/>
        <v>11.52</v>
      </c>
      <c r="S113" s="86" t="str">
        <f t="shared" si="14"/>
        <v>1+0.000510033607721202j</v>
      </c>
      <c r="T113" s="86" t="str">
        <f t="shared" si="15"/>
        <v>0.994111784039367+0.0343042604157896j</v>
      </c>
      <c r="U113" s="86" t="str">
        <f t="shared" si="16"/>
        <v>1.00474438322346-0.0341581096923537j</v>
      </c>
      <c r="V113" s="86" t="str">
        <f t="shared" si="17"/>
        <v>11.5746552947343-0.393501423655915j</v>
      </c>
      <c r="X113" s="86" t="str">
        <f t="shared" si="18"/>
        <v>3.00110574544877+0.622680916205335j</v>
      </c>
      <c r="Y113" s="86">
        <f t="shared" si="19"/>
        <v>9.7286753242475434</v>
      </c>
      <c r="Z113" s="86">
        <f t="shared" si="20"/>
        <v>-168.27836722684066</v>
      </c>
      <c r="AB113" s="86" t="str">
        <f t="shared" si="21"/>
        <v>9.64876233305627-0.328027195445078j</v>
      </c>
      <c r="AC113" s="86">
        <f t="shared" si="22"/>
        <v>19.694448786470502</v>
      </c>
      <c r="AD113" s="86">
        <f t="shared" si="23"/>
        <v>178.0528758597404</v>
      </c>
      <c r="AF113" s="86" t="str">
        <f t="shared" si="24"/>
        <v>2.3420411545986-0.44646946145153j</v>
      </c>
      <c r="AG113" s="86">
        <f t="shared" si="25"/>
        <v>7.5469164050900677</v>
      </c>
      <c r="AH113" s="86">
        <f t="shared" si="26"/>
        <v>169.2070529518524</v>
      </c>
      <c r="AJ113" s="86" t="str">
        <f t="shared" si="27"/>
        <v>15.0499999987726-0.000135910455557j</v>
      </c>
      <c r="AK113" s="86" t="str">
        <f t="shared" si="28"/>
        <v>30.1-5.43641822272337E-12j</v>
      </c>
      <c r="AL113" s="86" t="str">
        <f t="shared" si="43"/>
        <v>10000-3703459.65499867j</v>
      </c>
      <c r="AM113" s="86" t="str">
        <f t="shared" si="44"/>
        <v>963.135780173489-1149351.34164646j</v>
      </c>
      <c r="AN113" s="86" t="str">
        <f t="shared" si="45"/>
        <v>10963.1357801735-1149351.34164646j</v>
      </c>
      <c r="AO113" s="86" t="str">
        <f t="shared" si="46"/>
        <v>30.0999924610096-0.00078820730922145j</v>
      </c>
      <c r="AP113" s="86" t="str">
        <f t="shared" si="47"/>
        <v>0.666666666678749+2.00679886075967E-06j</v>
      </c>
      <c r="AQ113" s="86" t="str">
        <f t="shared" si="29"/>
        <v>1+0.335254090948224j</v>
      </c>
      <c r="AR113" s="86">
        <f t="shared" si="51"/>
        <v>9.798834289988689E-8</v>
      </c>
      <c r="AS113" s="86" t="str">
        <f t="shared" si="31"/>
        <v>1.76763967534691E-06j</v>
      </c>
      <c r="AT113" s="86" t="str">
        <f t="shared" si="32"/>
        <v>9.79883428998869E-08+1.76763967534691E-06j</v>
      </c>
      <c r="AU113" s="86" t="str">
        <f t="shared" si="33"/>
        <v>22.0345673498961-55.3511389359745j</v>
      </c>
      <c r="AW113" s="86" t="str">
        <f t="shared" si="48"/>
        <v>14.5356407023063-36.9613788032434j</v>
      </c>
      <c r="AX113" s="86">
        <f t="shared" si="34"/>
        <v>31.979496483415456</v>
      </c>
      <c r="AY113" s="86">
        <f t="shared" si="35"/>
        <v>111.46800991413129</v>
      </c>
      <c r="AZ113" s="86" t="str">
        <f t="shared" si="36"/>
        <v>128.126605066642-361.399645028134j</v>
      </c>
      <c r="BA113" s="86">
        <f t="shared" si="37"/>
        <v>51.673945269885955</v>
      </c>
      <c r="BB113" s="86">
        <f t="shared" si="38"/>
        <v>109.52088577387175</v>
      </c>
      <c r="BD113" s="86" t="str">
        <f t="shared" si="39"/>
        <v>17.5409418444699-93.054789964116j</v>
      </c>
      <c r="BE113" s="86">
        <f t="shared" si="40"/>
        <v>39.526412888505526</v>
      </c>
      <c r="BF113" s="86">
        <f t="shared" si="41"/>
        <v>100.67506286598376</v>
      </c>
      <c r="BH113" s="86">
        <f t="shared" si="49"/>
        <v>-38.526412888505526</v>
      </c>
      <c r="BI113" s="157">
        <f t="shared" si="50"/>
        <v>-100.67506286598376</v>
      </c>
      <c r="BJ113" s="88"/>
      <c r="BK113" s="88"/>
      <c r="BL113" s="88"/>
      <c r="BM113" s="88"/>
      <c r="BN113" s="42"/>
      <c r="BO113" s="42"/>
      <c r="BP113" s="42"/>
    </row>
    <row r="114" spans="1:68" s="86" customFormat="1">
      <c r="A114" s="86">
        <v>50</v>
      </c>
      <c r="B114" s="86">
        <f t="shared" si="42"/>
        <v>1000</v>
      </c>
      <c r="C114" s="86" t="str">
        <f t="shared" si="0"/>
        <v>6283.18530717959j</v>
      </c>
      <c r="D114" s="86">
        <f t="shared" si="1"/>
        <v>0.99999899999999997</v>
      </c>
      <c r="E114" s="86" t="str">
        <f t="shared" si="2"/>
        <v>-0.0015707963267949j</v>
      </c>
      <c r="F114" s="86" t="str">
        <f t="shared" si="3"/>
        <v>0.999999-0.0015707963267949j</v>
      </c>
      <c r="G114" s="86">
        <f t="shared" si="4"/>
        <v>2.0299010547665255E-6</v>
      </c>
      <c r="H114" s="86">
        <f t="shared" si="5"/>
        <v>-9.00000159779447E-2</v>
      </c>
      <c r="J114" s="86">
        <f t="shared" si="6"/>
        <v>4.8</v>
      </c>
      <c r="K114" s="86" t="str">
        <f t="shared" si="7"/>
        <v>1+0.256888031284038j</v>
      </c>
      <c r="L114" s="86">
        <f t="shared" si="8"/>
        <v>0.99354369958498334</v>
      </c>
      <c r="M114" s="86" t="str">
        <f t="shared" si="9"/>
        <v>0.0359209704011457j</v>
      </c>
      <c r="N114" s="86" t="str">
        <f t="shared" si="10"/>
        <v>0.993543699584983+0.0359209704011457j</v>
      </c>
      <c r="O114" s="86" t="str">
        <f t="shared" si="11"/>
        <v>1.01452011956326+0.22187799508962j</v>
      </c>
      <c r="P114" s="86" t="str">
        <f t="shared" si="12"/>
        <v>4.86969657390365+1.06501437643018j</v>
      </c>
      <c r="R114" s="86">
        <f t="shared" si="13"/>
        <v>11.52</v>
      </c>
      <c r="S114" s="86" t="str">
        <f t="shared" si="14"/>
        <v>1+0.000534070751110265j</v>
      </c>
      <c r="T114" s="86" t="str">
        <f t="shared" si="15"/>
        <v>0.993543699584983+0.0359209704011457j</v>
      </c>
      <c r="U114" s="86" t="str">
        <f t="shared" si="16"/>
        <v>1.00520374734625-0.0358049910832256j</v>
      </c>
      <c r="V114" s="86" t="str">
        <f t="shared" si="17"/>
        <v>11.5799471694288-0.412473497278759j</v>
      </c>
      <c r="X114" s="86" t="str">
        <f t="shared" si="18"/>
        <v>3.00500985529292+0.652258558973352j</v>
      </c>
      <c r="Y114" s="86">
        <f t="shared" si="19"/>
        <v>9.7568566826716214</v>
      </c>
      <c r="Z114" s="86">
        <f t="shared" si="20"/>
        <v>-167.75351495373775</v>
      </c>
      <c r="AB114" s="86" t="str">
        <f t="shared" si="21"/>
        <v>9.65317369909036-0.343842528575158j</v>
      </c>
      <c r="AC114" s="86">
        <f t="shared" si="22"/>
        <v>19.698909074295301</v>
      </c>
      <c r="AD114" s="86">
        <f t="shared" si="23"/>
        <v>177.96000767886406</v>
      </c>
      <c r="AF114" s="86" t="str">
        <f t="shared" si="24"/>
        <v>2.33437649185552-0.46603120658678j</v>
      </c>
      <c r="AG114" s="86">
        <f t="shared" si="25"/>
        <v>7.5331479279708766</v>
      </c>
      <c r="AH114" s="86">
        <f t="shared" si="26"/>
        <v>168.7099897696807</v>
      </c>
      <c r="AJ114" s="86" t="str">
        <f t="shared" si="27"/>
        <v>15.0499999986542-0.000142315717991219j</v>
      </c>
      <c r="AK114" s="86" t="str">
        <f t="shared" si="28"/>
        <v>30.1-5.69262872015779E-12j</v>
      </c>
      <c r="AL114" s="86" t="str">
        <f t="shared" si="43"/>
        <v>10000-3536776.51315322j</v>
      </c>
      <c r="AM114" s="86" t="str">
        <f t="shared" si="44"/>
        <v>963.135457945106-1097622.17525538j</v>
      </c>
      <c r="AN114" s="86" t="str">
        <f t="shared" si="45"/>
        <v>10963.1354579451-1097622.17525538j</v>
      </c>
      <c r="AO114" s="86" t="str">
        <f t="shared" si="46"/>
        <v>30.0999917337371-0.00082534696701358j</v>
      </c>
      <c r="AP114" s="86" t="str">
        <f t="shared" si="47"/>
        <v>0.666666666679915+2.10137637729014E-06j</v>
      </c>
      <c r="AQ114" s="86" t="str">
        <f t="shared" si="29"/>
        <v>1+0.351054129482738j</v>
      </c>
      <c r="AR114" s="86">
        <f t="shared" si="51"/>
        <v>9.7794261851609336E-8</v>
      </c>
      <c r="AS114" s="86" t="str">
        <f t="shared" si="31"/>
        <v>1.85094596672318E-06j</v>
      </c>
      <c r="AT114" s="86" t="str">
        <f t="shared" si="32"/>
        <v>9.77942618516093E-08+1.85094596672318E-06j</v>
      </c>
      <c r="AU114" s="86" t="str">
        <f t="shared" si="33"/>
        <v>21.75993044841-52.8767481187595j</v>
      </c>
      <c r="AW114" s="86" t="str">
        <f t="shared" si="48"/>
        <v>14.3524804028455-35.3138423229307j</v>
      </c>
      <c r="AX114" s="86">
        <f t="shared" si="34"/>
        <v>31.622838923377991</v>
      </c>
      <c r="AY114" s="86">
        <f t="shared" si="35"/>
        <v>112.11812665141426</v>
      </c>
      <c r="AZ114" s="86" t="str">
        <f t="shared" si="36"/>
        <v>126.404585503437-345.825647078579j</v>
      </c>
      <c r="BA114" s="86">
        <f t="shared" si="37"/>
        <v>51.321747997673306</v>
      </c>
      <c r="BB114" s="86">
        <f t="shared" si="38"/>
        <v>110.07813433027827</v>
      </c>
      <c r="BD114" s="86" t="str">
        <f t="shared" si="39"/>
        <v>17.0467403052488-89.1245071153932j</v>
      </c>
      <c r="BE114" s="86">
        <f t="shared" si="40"/>
        <v>39.155986851348871</v>
      </c>
      <c r="BF114" s="86">
        <f t="shared" si="41"/>
        <v>100.82811642109489</v>
      </c>
      <c r="BH114" s="86">
        <f t="shared" si="49"/>
        <v>-38.155986851348871</v>
      </c>
      <c r="BI114" s="157">
        <f t="shared" si="50"/>
        <v>-100.82811642109489</v>
      </c>
      <c r="BJ114" s="88"/>
      <c r="BK114" s="88"/>
      <c r="BL114" s="88"/>
      <c r="BM114" s="88"/>
      <c r="BN114" s="42"/>
      <c r="BO114" s="42"/>
      <c r="BP114" s="42"/>
    </row>
    <row r="115" spans="1:68" s="86" customFormat="1">
      <c r="A115" s="86">
        <v>51</v>
      </c>
      <c r="B115" s="86">
        <f t="shared" si="42"/>
        <v>1047.1285480509</v>
      </c>
      <c r="C115" s="86" t="str">
        <f t="shared" si="0"/>
        <v>6579.30270784171j</v>
      </c>
      <c r="D115" s="86">
        <f t="shared" si="1"/>
        <v>0.99999890352180387</v>
      </c>
      <c r="E115" s="86" t="str">
        <f t="shared" si="2"/>
        <v>-0.00164482567696043j</v>
      </c>
      <c r="F115" s="86" t="str">
        <f t="shared" si="3"/>
        <v>0.999998903521804-0.00164482567696043j</v>
      </c>
      <c r="G115" s="86">
        <f t="shared" si="4"/>
        <v>2.2257426576732745E-6</v>
      </c>
      <c r="H115" s="86">
        <f t="shared" si="5"/>
        <v>-9.4241587669713522E-2</v>
      </c>
      <c r="J115" s="86">
        <f t="shared" si="6"/>
        <v>4.8</v>
      </c>
      <c r="K115" s="86" t="str">
        <f t="shared" si="7"/>
        <v>1+0.268994791210108j</v>
      </c>
      <c r="L115" s="86">
        <f t="shared" si="8"/>
        <v>0.99292080736718402</v>
      </c>
      <c r="M115" s="86" t="str">
        <f t="shared" si="9"/>
        <v>0.0376138735807311j</v>
      </c>
      <c r="N115" s="86" t="str">
        <f t="shared" si="10"/>
        <v>0.992920807367184+0.0376138735807311j</v>
      </c>
      <c r="O115" s="86" t="str">
        <f t="shared" si="11"/>
        <v>1.01593447396563+0.232426955531323j</v>
      </c>
      <c r="P115" s="86" t="str">
        <f t="shared" si="12"/>
        <v>4.87648547503502+1.11564938655035j</v>
      </c>
      <c r="R115" s="86">
        <f t="shared" si="13"/>
        <v>11.52</v>
      </c>
      <c r="S115" s="86" t="str">
        <f t="shared" si="14"/>
        <v>1+0.000559240730166545j</v>
      </c>
      <c r="T115" s="86" t="str">
        <f t="shared" si="15"/>
        <v>0.992920807367184+0.0376138735807311j</v>
      </c>
      <c r="U115" s="86" t="str">
        <f t="shared" si="16"/>
        <v>1.00570776065936-0.0375350416286044j</v>
      </c>
      <c r="V115" s="86" t="str">
        <f t="shared" si="17"/>
        <v>11.5857534027958-0.432403679561523j</v>
      </c>
      <c r="X115" s="86" t="str">
        <f t="shared" si="18"/>
        <v>3.00929745819945+0.683264524932829j</v>
      </c>
      <c r="Y115" s="86">
        <f t="shared" si="19"/>
        <v>9.7876108790391942</v>
      </c>
      <c r="Z115" s="86">
        <f t="shared" si="20"/>
        <v>-167.20780502440437</v>
      </c>
      <c r="AB115" s="86" t="str">
        <f t="shared" si="21"/>
        <v>9.65801384027659-0.360456551818542j</v>
      </c>
      <c r="AC115" s="86">
        <f t="shared" si="22"/>
        <v>19.70380168995267</v>
      </c>
      <c r="AD115" s="86">
        <f t="shared" si="23"/>
        <v>177.86259802296414</v>
      </c>
      <c r="AF115" s="86" t="str">
        <f t="shared" si="24"/>
        <v>2.32602786612635-0.486306864750191j</v>
      </c>
      <c r="AG115" s="86">
        <f t="shared" si="25"/>
        <v>7.5181009701101518</v>
      </c>
      <c r="AH115" s="86">
        <f t="shared" si="26"/>
        <v>168.19116530207825</v>
      </c>
      <c r="AJ115" s="86" t="str">
        <f t="shared" si="27"/>
        <v>15.0499999985244-0.00014902285114368j</v>
      </c>
      <c r="AK115" s="86" t="str">
        <f t="shared" si="28"/>
        <v>30.1-5.96091404633165E-12j</v>
      </c>
      <c r="AL115" s="86" t="str">
        <f t="shared" si="43"/>
        <v>10000-3377595.34847608j</v>
      </c>
      <c r="AM115" s="86" t="str">
        <f t="shared" si="44"/>
        <v>963.135104628944-1048221.21265867j</v>
      </c>
      <c r="AN115" s="86" t="str">
        <f t="shared" si="45"/>
        <v>10963.1351046289-1048221.21265867j</v>
      </c>
      <c r="AO115" s="86" t="str">
        <f t="shared" si="46"/>
        <v>30.0999909363139-0.000864235865555613j</v>
      </c>
      <c r="AP115" s="86" t="str">
        <f t="shared" si="47"/>
        <v>0.666666666681192+2.20041119485183E-06j</v>
      </c>
      <c r="AQ115" s="86" t="str">
        <f t="shared" si="29"/>
        <v>1+0.367598800892532j</v>
      </c>
      <c r="AR115" s="86">
        <f t="shared" si="51"/>
        <v>9.7581456213888397E-8</v>
      </c>
      <c r="AS115" s="86" t="str">
        <f t="shared" si="31"/>
        <v>1.93817836265551E-06j</v>
      </c>
      <c r="AT115" s="86" t="str">
        <f t="shared" si="32"/>
        <v>9.75814562138884E-08+1.93817836265551E-06j</v>
      </c>
      <c r="AU115" s="86" t="str">
        <f t="shared" si="33"/>
        <v>21.5093236610921-50.5119088941019j</v>
      </c>
      <c r="AW115" s="86" t="str">
        <f t="shared" si="48"/>
        <v>14.1853414657659-33.7394727515308j</v>
      </c>
      <c r="AX115" s="86">
        <f t="shared" si="34"/>
        <v>31.269673366862474</v>
      </c>
      <c r="AY115" s="86">
        <f t="shared" si="35"/>
        <v>112.80371327683623</v>
      </c>
      <c r="AZ115" s="86" t="str">
        <f t="shared" si="36"/>
        <v>124.840610197224-330.969494069038j</v>
      </c>
      <c r="BA115" s="86">
        <f t="shared" si="37"/>
        <v>50.973475056815147</v>
      </c>
      <c r="BB115" s="86">
        <f t="shared" si="38"/>
        <v>110.66631129980037</v>
      </c>
      <c r="BD115" s="86" t="str">
        <f t="shared" si="39"/>
        <v>16.5877623277677-85.3773827420989j</v>
      </c>
      <c r="BE115" s="86">
        <f t="shared" si="40"/>
        <v>38.787774336972646</v>
      </c>
      <c r="BF115" s="86">
        <f t="shared" si="41"/>
        <v>100.99487857891452</v>
      </c>
      <c r="BH115" s="86">
        <f t="shared" si="49"/>
        <v>-37.787774336972646</v>
      </c>
      <c r="BI115" s="157">
        <f t="shared" si="50"/>
        <v>-100.99487857891452</v>
      </c>
      <c r="BJ115" s="88"/>
      <c r="BK115" s="88"/>
      <c r="BL115" s="88"/>
      <c r="BM115" s="88"/>
      <c r="BN115" s="42"/>
      <c r="BO115" s="42"/>
      <c r="BP115" s="42"/>
    </row>
    <row r="116" spans="1:68" s="86" customFormat="1">
      <c r="A116" s="86">
        <v>52</v>
      </c>
      <c r="B116" s="86">
        <f t="shared" si="42"/>
        <v>1096.4781961431854</v>
      </c>
      <c r="C116" s="86" t="str">
        <f t="shared" si="0"/>
        <v>6889.37569164964j</v>
      </c>
      <c r="D116" s="86">
        <f t="shared" si="1"/>
        <v>0.99999879773556544</v>
      </c>
      <c r="E116" s="86" t="str">
        <f t="shared" si="2"/>
        <v>-0.00172234392291241j</v>
      </c>
      <c r="F116" s="86" t="str">
        <f t="shared" si="3"/>
        <v>0.999998797735565-0.00172234392291241j</v>
      </c>
      <c r="G116" s="86">
        <f t="shared" si="4"/>
        <v>2.4404787818054722E-6</v>
      </c>
      <c r="H116" s="86">
        <f t="shared" si="5"/>
        <v>-9.8683058715913763E-2</v>
      </c>
      <c r="J116" s="86">
        <f t="shared" si="6"/>
        <v>4.8</v>
      </c>
      <c r="K116" s="86" t="str">
        <f t="shared" si="7"/>
        <v>1+0.281672125153096j</v>
      </c>
      <c r="L116" s="86">
        <f t="shared" si="8"/>
        <v>0.9922378196318199</v>
      </c>
      <c r="M116" s="86" t="str">
        <f t="shared" si="9"/>
        <v>0.039386560829161j</v>
      </c>
      <c r="N116" s="86" t="str">
        <f t="shared" si="10"/>
        <v>0.99223781963182+0.039386560829161j</v>
      </c>
      <c r="O116" s="86" t="str">
        <f t="shared" si="11"/>
        <v>1.01748803167038+0.243486759041713j</v>
      </c>
      <c r="P116" s="86" t="str">
        <f t="shared" si="12"/>
        <v>4.88394255201782+1.16873644340022j</v>
      </c>
      <c r="R116" s="86">
        <f t="shared" si="13"/>
        <v>11.52</v>
      </c>
      <c r="S116" s="86" t="str">
        <f t="shared" si="14"/>
        <v>1+0.000585596933790219j</v>
      </c>
      <c r="T116" s="86" t="str">
        <f t="shared" si="15"/>
        <v>0.99223781963182+0.039386560829161j</v>
      </c>
      <c r="U116" s="86" t="str">
        <f t="shared" si="16"/>
        <v>1.00626079767615-0.0393530204264645j</v>
      </c>
      <c r="V116" s="86" t="str">
        <f t="shared" si="17"/>
        <v>11.5921243892292-0.453346795312871j</v>
      </c>
      <c r="X116" s="86" t="str">
        <f t="shared" si="18"/>
        <v>3.01400695089216+0.715771236267733j</v>
      </c>
      <c r="Y116" s="86">
        <f t="shared" si="19"/>
        <v>9.8211587090632335</v>
      </c>
      <c r="Z116" s="86">
        <f t="shared" si="20"/>
        <v>-166.64077873435727</v>
      </c>
      <c r="AB116" s="86" t="str">
        <f t="shared" si="21"/>
        <v>9.66332476594632-0.377914967749976j</v>
      </c>
      <c r="AC116" s="86">
        <f t="shared" si="22"/>
        <v>19.709168750683052</v>
      </c>
      <c r="AD116" s="86">
        <f t="shared" si="23"/>
        <v>177.76040811102047</v>
      </c>
      <c r="AF116" s="86" t="str">
        <f t="shared" si="24"/>
        <v>2.31693982661727-0.50730202431592j</v>
      </c>
      <c r="AG116" s="86">
        <f t="shared" si="25"/>
        <v>7.5016618597267577</v>
      </c>
      <c r="AH116" s="86">
        <f t="shared" si="26"/>
        <v>167.64978737511871</v>
      </c>
      <c r="AJ116" s="86" t="str">
        <f t="shared" si="27"/>
        <v>15.049999998382-0.000156046081743011j</v>
      </c>
      <c r="AK116" s="86" t="str">
        <f t="shared" si="28"/>
        <v>30.1-6.24184327039149E-12j</v>
      </c>
      <c r="AL116" s="86" t="str">
        <f t="shared" si="43"/>
        <v>10000-3225578.51637514j</v>
      </c>
      <c r="AM116" s="86" t="str">
        <f t="shared" si="44"/>
        <v>963.134717225786-1001043.66779133j</v>
      </c>
      <c r="AN116" s="86" t="str">
        <f t="shared" si="45"/>
        <v>10963.1347172258-1001043.66779133j</v>
      </c>
      <c r="AO116" s="86" t="str">
        <f t="shared" si="46"/>
        <v>30.0999900619753-0.000904956281486336j</v>
      </c>
      <c r="AP116" s="86" t="str">
        <f t="shared" si="47"/>
        <v>0.666666666682594+2.30411337957046E-06j</v>
      </c>
      <c r="AQ116" s="86" t="str">
        <f t="shared" si="29"/>
        <v>1+0.384923198643849j</v>
      </c>
      <c r="AR116" s="86">
        <f t="shared" si="51"/>
        <v>9.7348119472111033E-8</v>
      </c>
      <c r="AS116" s="86" t="str">
        <f t="shared" si="31"/>
        <v>2.02952189475113E-06j</v>
      </c>
      <c r="AT116" s="86" t="str">
        <f t="shared" si="32"/>
        <v>9.7348119472111E-08+2.02952189475113E-06j</v>
      </c>
      <c r="AU116" s="86" t="str">
        <f t="shared" si="33"/>
        <v>21.2806551012859-48.2519397785377j</v>
      </c>
      <c r="AW116" s="86" t="str">
        <f t="shared" si="48"/>
        <v>14.0328287304845-32.2351537944997j</v>
      </c>
      <c r="AX116" s="86">
        <f t="shared" si="34"/>
        <v>30.920274033303848</v>
      </c>
      <c r="AY116" s="86">
        <f t="shared" si="35"/>
        <v>113.52478682758793</v>
      </c>
      <c r="AZ116" s="86" t="str">
        <f t="shared" si="36"/>
        <v>123.42163430091-316.801976013599j</v>
      </c>
      <c r="BA116" s="86">
        <f t="shared" si="37"/>
        <v>50.629442783986896</v>
      </c>
      <c r="BB116" s="86">
        <f t="shared" si="38"/>
        <v>111.28519493860841</v>
      </c>
      <c r="BD116" s="86" t="str">
        <f t="shared" si="39"/>
        <v>16.1602609916739-81.8057940654624j</v>
      </c>
      <c r="BE116" s="86">
        <f t="shared" si="40"/>
        <v>38.421935893030593</v>
      </c>
      <c r="BF116" s="86">
        <f t="shared" si="41"/>
        <v>101.17457420270667</v>
      </c>
      <c r="BH116" s="86">
        <f t="shared" si="49"/>
        <v>-37.421935893030593</v>
      </c>
      <c r="BI116" s="157">
        <f t="shared" si="50"/>
        <v>-101.17457420270667</v>
      </c>
      <c r="BJ116" s="88"/>
      <c r="BK116" s="88"/>
      <c r="BL116" s="88"/>
      <c r="BM116" s="88"/>
      <c r="BN116" s="42"/>
      <c r="BO116" s="42"/>
      <c r="BP116" s="42"/>
    </row>
    <row r="117" spans="1:68" s="86" customFormat="1">
      <c r="A117" s="86">
        <v>53</v>
      </c>
      <c r="B117" s="86">
        <f t="shared" si="42"/>
        <v>1148.1536214968835</v>
      </c>
      <c r="C117" s="86" t="str">
        <f t="shared" si="0"/>
        <v>7214.06196497425j</v>
      </c>
      <c r="D117" s="86">
        <f t="shared" si="1"/>
        <v>0.99999868174326145</v>
      </c>
      <c r="E117" s="86" t="str">
        <f t="shared" si="2"/>
        <v>-0.00180351549124356j</v>
      </c>
      <c r="F117" s="86" t="str">
        <f t="shared" si="3"/>
        <v>0.999998681743261-0.00180351549124356j</v>
      </c>
      <c r="G117" s="86">
        <f t="shared" si="4"/>
        <v>2.6759323647706058E-6</v>
      </c>
      <c r="H117" s="86">
        <f t="shared" si="5"/>
        <v>-0.10333385011830623</v>
      </c>
      <c r="J117" s="86">
        <f t="shared" si="6"/>
        <v>4.8</v>
      </c>
      <c r="K117" s="86" t="str">
        <f t="shared" si="7"/>
        <v>1+0.294946923437972j</v>
      </c>
      <c r="L117" s="86">
        <f t="shared" si="8"/>
        <v>0.99148893847175978</v>
      </c>
      <c r="M117" s="86" t="str">
        <f t="shared" si="9"/>
        <v>0.0412427922537578j</v>
      </c>
      <c r="N117" s="86" t="str">
        <f t="shared" si="10"/>
        <v>0.99148893847176+0.0412427922537578j</v>
      </c>
      <c r="O117" s="86" t="str">
        <f t="shared" si="11"/>
        <v>1.0191947859953+0.255083516113537j</v>
      </c>
      <c r="P117" s="86" t="str">
        <f t="shared" si="12"/>
        <v>4.89213497277744+1.22440087734498j</v>
      </c>
      <c r="R117" s="86">
        <f t="shared" si="13"/>
        <v>11.52</v>
      </c>
      <c r="S117" s="86" t="str">
        <f t="shared" si="14"/>
        <v>1+0.000613195267022811j</v>
      </c>
      <c r="T117" s="86" t="str">
        <f t="shared" si="15"/>
        <v>0.99148893847176+0.0412427922537578j</v>
      </c>
      <c r="U117" s="86" t="str">
        <f t="shared" si="16"/>
        <v>1.00686766846472-0.0412640395903505j</v>
      </c>
      <c r="V117" s="86" t="str">
        <f t="shared" si="17"/>
        <v>11.5991155407136-0.475361736080838j</v>
      </c>
      <c r="X117" s="86" t="str">
        <f t="shared" si="18"/>
        <v>3.01918072251719+0.749855288700895j</v>
      </c>
      <c r="Y117" s="86">
        <f t="shared" si="19"/>
        <v>9.8577373438374831</v>
      </c>
      <c r="Z117" s="86">
        <f t="shared" si="20"/>
        <v>-166.05202161131908</v>
      </c>
      <c r="AB117" s="86" t="str">
        <f t="shared" si="21"/>
        <v>9.66915266815072-0.396266869023706j</v>
      </c>
      <c r="AC117" s="86">
        <f t="shared" si="22"/>
        <v>19.715056519773331</v>
      </c>
      <c r="AD117" s="86">
        <f t="shared" si="23"/>
        <v>177.65318415257988</v>
      </c>
      <c r="AF117" s="86" t="str">
        <f t="shared" si="24"/>
        <v>2.30705349719169-0.529019041939759j</v>
      </c>
      <c r="AG117" s="86">
        <f t="shared" si="25"/>
        <v>7.4837077888127013</v>
      </c>
      <c r="AH117" s="86">
        <f t="shared" si="26"/>
        <v>167.0850578204174</v>
      </c>
      <c r="AJ117" s="86" t="str">
        <f t="shared" si="27"/>
        <v>15.0499999982259-0.000163400307002896j</v>
      </c>
      <c r="AK117" s="86" t="str">
        <f t="shared" si="28"/>
        <v>30.1-6.53601228088632E-12j</v>
      </c>
      <c r="AL117" s="86" t="str">
        <f t="shared" si="43"/>
        <v>10000-3080403.56876829j</v>
      </c>
      <c r="AM117" s="86" t="str">
        <f t="shared" si="44"/>
        <v>963.134292447021-955989.470755474j</v>
      </c>
      <c r="AN117" s="86" t="str">
        <f t="shared" si="45"/>
        <v>10963.134292447-955989.470755474j</v>
      </c>
      <c r="AO117" s="86" t="str">
        <f t="shared" si="46"/>
        <v>30.099989103304-0.000947594344947157j</v>
      </c>
      <c r="AP117" s="86" t="str">
        <f t="shared" si="47"/>
        <v>0.666666666684131+2.41270289768314E-06j</v>
      </c>
      <c r="AQ117" s="86" t="str">
        <f t="shared" si="29"/>
        <v>1+0.403064070107041j</v>
      </c>
      <c r="AR117" s="86">
        <f t="shared" si="51"/>
        <v>9.709227082239307E-8</v>
      </c>
      <c r="AS117" s="86" t="str">
        <f t="shared" si="31"/>
        <v>2.12517031488826E-06j</v>
      </c>
      <c r="AT117" s="86" t="str">
        <f t="shared" si="32"/>
        <v>9.70922708223931E-08+2.12517031488826E-06j</v>
      </c>
      <c r="AU117" s="86" t="str">
        <f t="shared" si="33"/>
        <v>21.0720131695092-46.0923389077752j</v>
      </c>
      <c r="AW117" s="86" t="str">
        <f t="shared" si="48"/>
        <v>13.8936672330232-30.7978891872222j</v>
      </c>
      <c r="AX117" s="86">
        <f t="shared" si="34"/>
        <v>30.574926433825173</v>
      </c>
      <c r="AY117" s="86">
        <f t="shared" si="35"/>
        <v>114.28127867747011</v>
      </c>
      <c r="AZ117" s="86" t="str">
        <f t="shared" si="36"/>
        <v>122.135806475825-303.295092421727j</v>
      </c>
      <c r="BA117" s="86">
        <f t="shared" si="37"/>
        <v>50.289982953598511</v>
      </c>
      <c r="BB117" s="86">
        <f t="shared" si="38"/>
        <v>111.93446283005001</v>
      </c>
      <c r="BD117" s="86" t="str">
        <f t="shared" si="39"/>
        <v>15.7607637471727-78.4023924841469j</v>
      </c>
      <c r="BE117" s="86">
        <f t="shared" si="40"/>
        <v>38.058634222637878</v>
      </c>
      <c r="BF117" s="86">
        <f t="shared" si="41"/>
        <v>101.36633649788757</v>
      </c>
      <c r="BH117" s="86">
        <f t="shared" si="49"/>
        <v>-37.058634222637878</v>
      </c>
      <c r="BI117" s="157">
        <f t="shared" si="50"/>
        <v>-101.36633649788757</v>
      </c>
      <c r="BJ117" s="88"/>
      <c r="BK117" s="88"/>
      <c r="BL117" s="88"/>
      <c r="BM117" s="88"/>
      <c r="BN117" s="42"/>
      <c r="BO117" s="42"/>
      <c r="BP117" s="42"/>
    </row>
    <row r="118" spans="1:68" s="86" customFormat="1">
      <c r="A118" s="86">
        <v>54</v>
      </c>
      <c r="B118" s="86">
        <f t="shared" si="42"/>
        <v>1202.2644346174134</v>
      </c>
      <c r="C118" s="86" t="str">
        <f t="shared" si="0"/>
        <v>7554.0502309327j</v>
      </c>
      <c r="D118" s="86">
        <f t="shared" si="1"/>
        <v>0.99999855456022924</v>
      </c>
      <c r="E118" s="86" t="str">
        <f t="shared" si="2"/>
        <v>-0.00188851255773318j</v>
      </c>
      <c r="F118" s="86" t="str">
        <f t="shared" si="3"/>
        <v>0.999998554560229-0.00188851255773318j</v>
      </c>
      <c r="G118" s="86">
        <f t="shared" si="4"/>
        <v>2.9341022043219305E-6</v>
      </c>
      <c r="H118" s="86">
        <f t="shared" si="5"/>
        <v>-0.10820382688203527</v>
      </c>
      <c r="J118" s="86">
        <f t="shared" si="6"/>
        <v>4.8</v>
      </c>
      <c r="K118" s="86" t="str">
        <f t="shared" si="7"/>
        <v>1+0.308847343691683j</v>
      </c>
      <c r="L118" s="86">
        <f t="shared" si="8"/>
        <v>0.9906678066082516</v>
      </c>
      <c r="M118" s="86" t="str">
        <f t="shared" si="9"/>
        <v>0.0431865051702422j</v>
      </c>
      <c r="N118" s="86" t="str">
        <f t="shared" si="10"/>
        <v>0.990667806608252+0.0431865051702422j</v>
      </c>
      <c r="O118" s="86" t="str">
        <f t="shared" si="11"/>
        <v>1.02107019655214+0.267244871190002j</v>
      </c>
      <c r="P118" s="86" t="str">
        <f t="shared" si="12"/>
        <v>4.90113694345027+1.28277538171201j</v>
      </c>
      <c r="R118" s="86">
        <f t="shared" si="13"/>
        <v>11.52</v>
      </c>
      <c r="S118" s="86" t="str">
        <f t="shared" si="14"/>
        <v>1+0.00064209426962928j</v>
      </c>
      <c r="T118" s="86" t="str">
        <f t="shared" si="15"/>
        <v>0.990667806608252+0.0431865051702422j</v>
      </c>
      <c r="U118" s="86" t="str">
        <f t="shared" si="16"/>
        <v>1.00753366339753-0.0432736011081801j</v>
      </c>
      <c r="V118" s="86" t="str">
        <f t="shared" si="17"/>
        <v>11.6067878023395-0.498511884766235j</v>
      </c>
      <c r="X118" s="86" t="str">
        <f t="shared" si="18"/>
        <v>3.02486559975088+0.785597761725333j</v>
      </c>
      <c r="Y118" s="86">
        <f t="shared" si="19"/>
        <v>9.8976010897494913</v>
      </c>
      <c r="Z118" s="86">
        <f t="shared" si="20"/>
        <v>-165.44117260168551</v>
      </c>
      <c r="AB118" s="86" t="str">
        <f t="shared" si="21"/>
        <v>9.67554835140005-0.415565092335974j</v>
      </c>
      <c r="AC118" s="86">
        <f t="shared" si="22"/>
        <v>19.721515823377871</v>
      </c>
      <c r="AD118" s="86">
        <f t="shared" si="23"/>
        <v>177.54065606036869</v>
      </c>
      <c r="AF118" s="86" t="str">
        <f t="shared" si="24"/>
        <v>2.29630657484276-0.551456525133409j</v>
      </c>
      <c r="AG118" s="86">
        <f t="shared" si="25"/>
        <v>7.4641062643563778</v>
      </c>
      <c r="AH118" s="86">
        <f t="shared" si="26"/>
        <v>166.49617606155968</v>
      </c>
      <c r="AJ118" s="86" t="str">
        <f t="shared" si="27"/>
        <v>15.0499999980548-0.000171101126221068j</v>
      </c>
      <c r="AK118" s="86" t="str">
        <f t="shared" si="28"/>
        <v>30.1-6.84404504972733E-12j</v>
      </c>
      <c r="AL118" s="86" t="str">
        <f t="shared" si="43"/>
        <v>10000-2941762.57012768j</v>
      </c>
      <c r="AM118" s="86" t="str">
        <f t="shared" si="44"/>
        <v>963.133826686805-912963.055558651j</v>
      </c>
      <c r="AN118" s="86" t="str">
        <f t="shared" si="45"/>
        <v>10963.1338266868-912963.055558651j</v>
      </c>
      <c r="AO118" s="86" t="str">
        <f t="shared" si="46"/>
        <v>30.0999880521686-0.000992240217640035j</v>
      </c>
      <c r="AP118" s="86" t="str">
        <f t="shared" si="47"/>
        <v>0.666666666685815+2.52641008211637E-06j</v>
      </c>
      <c r="AQ118" s="86" t="str">
        <f t="shared" si="29"/>
        <v>1+0.422059894502672j</v>
      </c>
      <c r="AR118" s="86">
        <f t="shared" si="51"/>
        <v>9.6811738356464653E-8</v>
      </c>
      <c r="AS118" s="86" t="str">
        <f t="shared" si="31"/>
        <v>2.22532650618982E-06j</v>
      </c>
      <c r="AT118" s="86" t="str">
        <f t="shared" si="32"/>
        <v>9.68117383564647E-08+2.22532650618982E-06j</v>
      </c>
      <c r="AU118" s="86" t="str">
        <f t="shared" si="33"/>
        <v>20.881651319361-44.0287799401521j</v>
      </c>
      <c r="AW118" s="86" t="str">
        <f t="shared" si="48"/>
        <v>13.7666920453133-29.4247999753282j</v>
      </c>
      <c r="AX118" s="86">
        <f t="shared" si="34"/>
        <v>30.233926723150933</v>
      </c>
      <c r="AY118" s="86">
        <f t="shared" si="35"/>
        <v>115.07302167165675</v>
      </c>
      <c r="AZ118" s="86" t="str">
        <f t="shared" si="36"/>
        <v>120.972374804548-290.422031542535j</v>
      </c>
      <c r="BA118" s="86">
        <f t="shared" si="37"/>
        <v>49.955442546528815</v>
      </c>
      <c r="BB118" s="86">
        <f t="shared" si="38"/>
        <v>112.61367773202534</v>
      </c>
      <c r="BD118" s="86" t="str">
        <f t="shared" si="39"/>
        <v>15.3860475103483-75.1600938046697j</v>
      </c>
      <c r="BE118" s="86">
        <f t="shared" si="40"/>
        <v>37.698032987507339</v>
      </c>
      <c r="BF118" s="86">
        <f t="shared" si="41"/>
        <v>101.56919773321634</v>
      </c>
      <c r="BH118" s="86">
        <f t="shared" si="49"/>
        <v>-36.698032987507339</v>
      </c>
      <c r="BI118" s="157">
        <f t="shared" si="50"/>
        <v>-101.56919773321634</v>
      </c>
      <c r="BJ118" s="88"/>
      <c r="BK118" s="88"/>
      <c r="BL118" s="88"/>
      <c r="BM118" s="88"/>
      <c r="BN118" s="42"/>
      <c r="BO118" s="42"/>
      <c r="BP118" s="42"/>
    </row>
    <row r="119" spans="1:68" s="86" customFormat="1">
      <c r="A119" s="86">
        <v>55</v>
      </c>
      <c r="B119" s="86">
        <f t="shared" si="42"/>
        <v>1258.925411794168</v>
      </c>
      <c r="C119" s="86" t="str">
        <f t="shared" si="0"/>
        <v>7910.06165022013j</v>
      </c>
      <c r="D119" s="86">
        <f t="shared" si="1"/>
        <v>0.99999841510680754</v>
      </c>
      <c r="E119" s="86" t="str">
        <f t="shared" si="2"/>
        <v>-0.00197751541255503j</v>
      </c>
      <c r="F119" s="86" t="str">
        <f t="shared" si="3"/>
        <v>0.999998415106808-0.00197751541255503j</v>
      </c>
      <c r="G119" s="86">
        <f t="shared" si="4"/>
        <v>3.2171799555140869E-6</v>
      </c>
      <c r="H119" s="86">
        <f t="shared" si="5"/>
        <v>-0.11330331894163929</v>
      </c>
      <c r="J119" s="86">
        <f t="shared" si="6"/>
        <v>4.8</v>
      </c>
      <c r="K119" s="86" t="str">
        <f t="shared" si="7"/>
        <v>1+0.32340287056925j</v>
      </c>
      <c r="L119" s="86">
        <f t="shared" si="8"/>
        <v>0.98976745342375627</v>
      </c>
      <c r="M119" s="86" t="str">
        <f t="shared" si="9"/>
        <v>0.0452218224543085j</v>
      </c>
      <c r="N119" s="86" t="str">
        <f t="shared" si="10"/>
        <v>0.989767453423756+0.0452218224543085j</v>
      </c>
      <c r="O119" s="86" t="str">
        <f t="shared" si="11"/>
        <v>1.02313135497349+0.280000120360142j</v>
      </c>
      <c r="P119" s="86" t="str">
        <f t="shared" si="12"/>
        <v>4.91103050387275+1.34400057772868j</v>
      </c>
      <c r="R119" s="86">
        <f t="shared" si="13"/>
        <v>11.52</v>
      </c>
      <c r="S119" s="86" t="str">
        <f t="shared" si="14"/>
        <v>1+0.000672355240268711j</v>
      </c>
      <c r="T119" s="86" t="str">
        <f t="shared" si="15"/>
        <v>0.989767453423756+0.0452218224543085j</v>
      </c>
      <c r="U119" s="86" t="str">
        <f t="shared" si="16"/>
        <v>1.00826460276826-0.0453876387404792j</v>
      </c>
      <c r="V119" s="86" t="str">
        <f t="shared" si="17"/>
        <v>11.6152082238904-0.52286559829032j</v>
      </c>
      <c r="X119" s="86" t="str">
        <f t="shared" si="18"/>
        <v>3.03111334751621+0.823084560476492j</v>
      </c>
      <c r="Y119" s="86">
        <f t="shared" si="19"/>
        <v>9.9410221036699031</v>
      </c>
      <c r="Z119" s="86">
        <f t="shared" si="20"/>
        <v>-164.80793419049641</v>
      </c>
      <c r="AB119" s="86" t="str">
        <f t="shared" si="21"/>
        <v>9.68256770914505-0.435866620782194j</v>
      </c>
      <c r="AC119" s="86">
        <f t="shared" si="22"/>
        <v>19.728602510988331</v>
      </c>
      <c r="AD119" s="86">
        <f t="shared" si="23"/>
        <v>177.42253601006601</v>
      </c>
      <c r="AF119" s="86" t="str">
        <f t="shared" si="24"/>
        <v>2.28463337761207-0.574608769478326j</v>
      </c>
      <c r="AG119" s="86">
        <f t="shared" si="25"/>
        <v>7.4427145629884208</v>
      </c>
      <c r="AH119" s="86">
        <f t="shared" si="26"/>
        <v>165.88234326514402</v>
      </c>
      <c r="AJ119" s="86" t="str">
        <f t="shared" si="27"/>
        <v>15.0499999978671-0.000179164873867507j</v>
      </c>
      <c r="AK119" s="86" t="str">
        <f t="shared" si="28"/>
        <v>30.1-7.16659495571594E-12j</v>
      </c>
      <c r="AL119" s="86" t="str">
        <f t="shared" si="43"/>
        <v>10000-2809361.4443073j</v>
      </c>
      <c r="AM119" s="86" t="str">
        <f t="shared" si="44"/>
        <v>963.133315991392-871873.157405548j</v>
      </c>
      <c r="AN119" s="86" t="str">
        <f t="shared" si="45"/>
        <v>10963.1333159914-871873.157405548j</v>
      </c>
      <c r="AO119" s="86" t="str">
        <f t="shared" si="46"/>
        <v>30.0999868996535-0.00103898827872879j</v>
      </c>
      <c r="AP119" s="86" t="str">
        <f t="shared" si="47"/>
        <v>0.666666666687663+2.64547612105302E-06j</v>
      </c>
      <c r="AQ119" s="86" t="str">
        <f t="shared" si="29"/>
        <v>1+0.441950964521099j</v>
      </c>
      <c r="AR119" s="86">
        <f t="shared" si="51"/>
        <v>9.6504140624263858E-8</v>
      </c>
      <c r="AS119" s="86" t="str">
        <f t="shared" si="31"/>
        <v>2.33020291336573E-06j</v>
      </c>
      <c r="AT119" s="86" t="str">
        <f t="shared" si="32"/>
        <v>9.65041406242639E-08+2.33020291336573E-06j</v>
      </c>
      <c r="AU119" s="86" t="str">
        <f t="shared" si="33"/>
        <v>20.7079740591008-42.0571076438163j</v>
      </c>
      <c r="AW119" s="86" t="str">
        <f t="shared" si="48"/>
        <v>13.6508389382613-28.113121584665j</v>
      </c>
      <c r="AX119" s="86">
        <f t="shared" si="34"/>
        <v>29.897580791038351</v>
      </c>
      <c r="AY119" s="86">
        <f t="shared" si="35"/>
        <v>115.89973704625433</v>
      </c>
      <c r="AZ119" s="86" t="str">
        <f t="shared" si="36"/>
        <v>119.921601001602-278.157148297808j</v>
      </c>
      <c r="BA119" s="86">
        <f t="shared" si="37"/>
        <v>49.626183302026675</v>
      </c>
      <c r="BB119" s="86">
        <f t="shared" si="38"/>
        <v>113.32227305632036</v>
      </c>
      <c r="BD119" s="86" t="str">
        <f t="shared" si="39"/>
        <v>15.0331160707993-72.0720676858531j</v>
      </c>
      <c r="BE119" s="86">
        <f t="shared" si="40"/>
        <v>37.340295354026757</v>
      </c>
      <c r="BF119" s="86">
        <f t="shared" si="41"/>
        <v>101.78208031139832</v>
      </c>
      <c r="BH119" s="86">
        <f t="shared" si="49"/>
        <v>-36.340295354026757</v>
      </c>
      <c r="BI119" s="157">
        <f t="shared" si="50"/>
        <v>-101.78208031139832</v>
      </c>
      <c r="BJ119" s="88"/>
      <c r="BK119" s="88"/>
      <c r="BL119" s="88"/>
      <c r="BM119" s="88"/>
      <c r="BN119" s="42"/>
      <c r="BO119" s="42"/>
      <c r="BP119" s="42"/>
    </row>
    <row r="120" spans="1:68" s="86" customFormat="1">
      <c r="A120" s="86">
        <v>56</v>
      </c>
      <c r="B120" s="86">
        <f t="shared" si="42"/>
        <v>1318.2567385564075</v>
      </c>
      <c r="C120" s="86" t="str">
        <f t="shared" si="0"/>
        <v>8282.8513707881j</v>
      </c>
      <c r="D120" s="86">
        <f t="shared" si="1"/>
        <v>0.99999826219917121</v>
      </c>
      <c r="E120" s="86" t="str">
        <f t="shared" si="2"/>
        <v>-0.00207071284269702j</v>
      </c>
      <c r="F120" s="86" t="str">
        <f t="shared" si="3"/>
        <v>0.999998262199171-0.00207071284269702j</v>
      </c>
      <c r="G120" s="86">
        <f t="shared" si="4"/>
        <v>3.5275686939103052E-6</v>
      </c>
      <c r="H120" s="86">
        <f t="shared" si="5"/>
        <v>-0.11864314307339463</v>
      </c>
      <c r="J120" s="86">
        <f t="shared" si="6"/>
        <v>4.8</v>
      </c>
      <c r="K120" s="86" t="str">
        <f t="shared" si="7"/>
        <v>1+0.338644378294671j</v>
      </c>
      <c r="L120" s="86">
        <f t="shared" si="8"/>
        <v>0.98878023578812924</v>
      </c>
      <c r="M120" s="86" t="str">
        <f t="shared" si="9"/>
        <v>0.0473530612867956j</v>
      </c>
      <c r="N120" s="86" t="str">
        <f t="shared" si="10"/>
        <v>0.988780235788129+0.0473530612867956j</v>
      </c>
      <c r="O120" s="86" t="str">
        <f t="shared" si="11"/>
        <v>1.02539717177902+0.29338034143137j</v>
      </c>
      <c r="P120" s="86" t="str">
        <f t="shared" si="12"/>
        <v>4.9219064245393+1.40822563887058j</v>
      </c>
      <c r="R120" s="86">
        <f t="shared" si="13"/>
        <v>11.52</v>
      </c>
      <c r="S120" s="86" t="str">
        <f t="shared" si="14"/>
        <v>1+0.000704042366516989j</v>
      </c>
      <c r="T120" s="86" t="str">
        <f t="shared" si="15"/>
        <v>0.988780235788129+0.0473530612867956j</v>
      </c>
      <c r="U120" s="86" t="str">
        <f t="shared" si="16"/>
        <v>1.00906689185582-0.0476125657674409j</v>
      </c>
      <c r="V120" s="86" t="str">
        <f t="shared" si="17"/>
        <v>11.624450594179-0.548496757640919j</v>
      </c>
      <c r="X120" s="86" t="str">
        <f t="shared" si="18"/>
        <v>3.03798123341107+0.862406793297914j</v>
      </c>
      <c r="Y120" s="86">
        <f t="shared" si="19"/>
        <v>9.9882910472424857</v>
      </c>
      <c r="Z120" s="86">
        <f t="shared" si="20"/>
        <v>-164.15208347308186</v>
      </c>
      <c r="AB120" s="86" t="str">
        <f t="shared" si="21"/>
        <v>9.69027225256669-0.45723304238156j</v>
      </c>
      <c r="AC120" s="86">
        <f t="shared" si="22"/>
        <v>19.736377964465152</v>
      </c>
      <c r="AD120" s="86">
        <f t="shared" si="23"/>
        <v>177.2985168247111</v>
      </c>
      <c r="AF120" s="86" t="str">
        <f t="shared" si="24"/>
        <v>2.27196495226234-0.598465151683225j</v>
      </c>
      <c r="AG120" s="86">
        <f t="shared" si="25"/>
        <v>7.4193791977328516</v>
      </c>
      <c r="AH120" s="86">
        <f t="shared" si="26"/>
        <v>165.24276710348781</v>
      </c>
      <c r="AJ120" s="86" t="str">
        <f t="shared" si="27"/>
        <v>15.0499999976613-0.00018760865423204j</v>
      </c>
      <c r="AK120" s="86" t="str">
        <f t="shared" si="28"/>
        <v>30.1-7.50434617044773E-12j</v>
      </c>
      <c r="AL120" s="86" t="str">
        <f t="shared" si="43"/>
        <v>10000-2682919.35076795j</v>
      </c>
      <c r="AM120" s="86" t="str">
        <f t="shared" si="44"/>
        <v>963.132756025631-832632.61911313j</v>
      </c>
      <c r="AN120" s="86" t="str">
        <f t="shared" si="45"/>
        <v>10963.1327560256-832632.61911313j</v>
      </c>
      <c r="AO120" s="86" t="str">
        <f t="shared" si="46"/>
        <v>30.0999856359842-0.00108793731891574j</v>
      </c>
      <c r="AP120" s="86" t="str">
        <f t="shared" si="47"/>
        <v>0.666666666689688+2.77015356952474E-06j</v>
      </c>
      <c r="AQ120" s="86" t="str">
        <f t="shared" si="29"/>
        <v>1+0.462779471788673j</v>
      </c>
      <c r="AR120" s="86">
        <f t="shared" si="51"/>
        <v>9.616686641772259E-8</v>
      </c>
      <c r="AS120" s="86" t="str">
        <f t="shared" si="31"/>
        <v>2.44002199333663E-06j</v>
      </c>
      <c r="AT120" s="86" t="str">
        <f t="shared" si="32"/>
        <v>9.61668664177226E-08+2.44002199333663E-06j</v>
      </c>
      <c r="AU120" s="86" t="str">
        <f t="shared" si="33"/>
        <v>20.5495240975013-40.1733332440681j</v>
      </c>
      <c r="AW120" s="86" t="str">
        <f t="shared" si="48"/>
        <v>13.5451358076056-26.8602007319213j</v>
      </c>
      <c r="AX120" s="86">
        <f t="shared" si="34"/>
        <v>29.566203071085514</v>
      </c>
      <c r="AY120" s="86">
        <f t="shared" si="35"/>
        <v>116.7610213533664</v>
      </c>
      <c r="AZ120" s="86" t="str">
        <f t="shared" si="36"/>
        <v>118.974682374052-266.475941505691j</v>
      </c>
      <c r="BA120" s="86">
        <f t="shared" si="37"/>
        <v>49.302581035550659</v>
      </c>
      <c r="BB120" s="86">
        <f t="shared" si="38"/>
        <v>114.05953817807749</v>
      </c>
      <c r="BD120" s="86" t="str">
        <f t="shared" si="39"/>
        <v>14.6991797232424-69.1317264293249j</v>
      </c>
      <c r="BE120" s="86">
        <f t="shared" si="40"/>
        <v>36.985582268818355</v>
      </c>
      <c r="BF120" s="86">
        <f t="shared" si="41"/>
        <v>102.00378845685421</v>
      </c>
      <c r="BH120" s="86">
        <f t="shared" si="49"/>
        <v>-35.985582268818355</v>
      </c>
      <c r="BI120" s="157">
        <f t="shared" si="50"/>
        <v>-102.00378845685421</v>
      </c>
      <c r="BJ120" s="88"/>
      <c r="BK120" s="88"/>
      <c r="BL120" s="88"/>
      <c r="BM120" s="88"/>
      <c r="BN120" s="42"/>
      <c r="BO120" s="42"/>
      <c r="BP120" s="42"/>
    </row>
    <row r="121" spans="1:68" s="86" customFormat="1">
      <c r="A121" s="86">
        <v>57</v>
      </c>
      <c r="B121" s="86">
        <f t="shared" si="42"/>
        <v>1380.3842646028857</v>
      </c>
      <c r="C121" s="86" t="str">
        <f t="shared" si="0"/>
        <v>8673.21012961475j</v>
      </c>
      <c r="D121" s="86">
        <f t="shared" si="1"/>
        <v>0.99999809453928201</v>
      </c>
      <c r="E121" s="86" t="str">
        <f t="shared" si="2"/>
        <v>-0.00216830253240369j</v>
      </c>
      <c r="F121" s="86" t="str">
        <f t="shared" si="3"/>
        <v>0.999998094539282-0.00216830253240369j</v>
      </c>
      <c r="G121" s="86">
        <f t="shared" si="4"/>
        <v>3.8679033958530371E-6</v>
      </c>
      <c r="H121" s="86">
        <f t="shared" si="5"/>
        <v>-0.12423462584048235</v>
      </c>
      <c r="J121" s="86">
        <f t="shared" si="6"/>
        <v>4.8</v>
      </c>
      <c r="K121" s="86" t="str">
        <f t="shared" si="7"/>
        <v>1+0.354604196149299j</v>
      </c>
      <c r="L121" s="86">
        <f t="shared" si="8"/>
        <v>0.98769777317581597</v>
      </c>
      <c r="M121" s="86" t="str">
        <f t="shared" si="9"/>
        <v>0.0495847423110075j</v>
      </c>
      <c r="N121" s="86" t="str">
        <f t="shared" si="10"/>
        <v>0.987697773175816+0.0495847423110075j</v>
      </c>
      <c r="O121" s="86" t="str">
        <f t="shared" si="11"/>
        <v>1.02788858754209+0.307418537995985j</v>
      </c>
      <c r="P121" s="86" t="str">
        <f t="shared" si="12"/>
        <v>4.93386522020203+1.47560898238073j</v>
      </c>
      <c r="R121" s="86">
        <f t="shared" si="13"/>
        <v>11.52</v>
      </c>
      <c r="S121" s="86" t="str">
        <f t="shared" si="14"/>
        <v>1+0.000737222861017254j</v>
      </c>
      <c r="T121" s="86" t="str">
        <f t="shared" si="15"/>
        <v>0.987697773175816+0.0495847423110075j</v>
      </c>
      <c r="U121" s="86" t="str">
        <f t="shared" si="16"/>
        <v>1.00994758209315-0.0499553295397721j</v>
      </c>
      <c r="V121" s="86" t="str">
        <f t="shared" si="17"/>
        <v>11.6345961457131-0.575485396298175j</v>
      </c>
      <c r="X121" s="86" t="str">
        <f t="shared" si="18"/>
        <v>3.04553266534733+0.90366118962868j</v>
      </c>
      <c r="Y121" s="86">
        <f t="shared" si="19"/>
        <v>10.039717662810475</v>
      </c>
      <c r="Z121" s="86">
        <f t="shared" si="20"/>
        <v>-163.47348418024905</v>
      </c>
      <c r="AB121" s="86" t="str">
        <f t="shared" si="21"/>
        <v>9.69872969799358-0.479731073939792j</v>
      </c>
      <c r="AC121" s="86">
        <f t="shared" si="22"/>
        <v>19.74490966116797</v>
      </c>
      <c r="AD121" s="86">
        <f t="shared" si="23"/>
        <v>177.16827015743493</v>
      </c>
      <c r="AF121" s="86" t="str">
        <f t="shared" si="24"/>
        <v>2.25822925304139-0.62300948124493j</v>
      </c>
      <c r="AG121" s="86">
        <f t="shared" si="25"/>
        <v>7.3939354072748102</v>
      </c>
      <c r="AH121" s="86">
        <f t="shared" si="26"/>
        <v>164.57666717398624</v>
      </c>
      <c r="AJ121" s="86" t="str">
        <f t="shared" si="27"/>
        <v>15.0499999974357-0.000196450377704834j</v>
      </c>
      <c r="AK121" s="86" t="str">
        <f t="shared" si="28"/>
        <v>30.1-7.85801510953226E-12j</v>
      </c>
      <c r="AL121" s="86" t="str">
        <f t="shared" si="43"/>
        <v>10000-2562168.08887683j</v>
      </c>
      <c r="AM121" s="86" t="str">
        <f t="shared" si="44"/>
        <v>963.13214203614-795158.20623857j</v>
      </c>
      <c r="AN121" s="86" t="str">
        <f t="shared" si="45"/>
        <v>10963.1321420361-795158.20623857j</v>
      </c>
      <c r="AO121" s="86" t="str">
        <f t="shared" si="46"/>
        <v>30.0999842504446-0.00113919074295241j</v>
      </c>
      <c r="AP121" s="86" t="str">
        <f t="shared" si="47"/>
        <v>0.666666666691909+2.90070688511513E-06j</v>
      </c>
      <c r="AQ121" s="86" t="str">
        <f t="shared" si="29"/>
        <v>1+0.484589596361835j</v>
      </c>
      <c r="AR121" s="86">
        <f t="shared" si="51"/>
        <v>9.5797052604128605E-8</v>
      </c>
      <c r="AS121" s="86" t="str">
        <f t="shared" si="31"/>
        <v>2.55501668709485E-06j</v>
      </c>
      <c r="AT121" s="86" t="str">
        <f t="shared" si="32"/>
        <v>9.57970526041286E-08+2.55501668709485E-06j</v>
      </c>
      <c r="AU121" s="86" t="str">
        <f t="shared" si="33"/>
        <v>20.4049705477717-38.3736295963415j</v>
      </c>
      <c r="AW121" s="86" t="str">
        <f t="shared" si="48"/>
        <v>13.4486948050622-25.6634922195912j</v>
      </c>
      <c r="AX121" s="86">
        <f t="shared" si="34"/>
        <v>29.240115048518017</v>
      </c>
      <c r="AY121" s="86">
        <f t="shared" si="35"/>
        <v>117.65633365472711</v>
      </c>
      <c r="AZ121" s="86" t="str">
        <f t="shared" si="36"/>
        <v>118.123681021559-255.355030946297j</v>
      </c>
      <c r="BA121" s="86">
        <f t="shared" si="37"/>
        <v>48.98502470968598</v>
      </c>
      <c r="BB121" s="86">
        <f t="shared" si="38"/>
        <v>114.82460381216211</v>
      </c>
      <c r="BD121" s="86" t="str">
        <f t="shared" si="39"/>
        <v>14.3816370493565-66.3327132394041j</v>
      </c>
      <c r="BE121" s="86">
        <f t="shared" si="40"/>
        <v>36.634050455792824</v>
      </c>
      <c r="BF121" s="86">
        <f t="shared" si="41"/>
        <v>102.23300082871341</v>
      </c>
      <c r="BH121" s="86">
        <f t="shared" si="49"/>
        <v>-35.634050455792824</v>
      </c>
      <c r="BI121" s="157">
        <f t="shared" si="50"/>
        <v>-102.23300082871341</v>
      </c>
      <c r="BJ121" s="88"/>
      <c r="BK121" s="88"/>
      <c r="BL121" s="88"/>
      <c r="BM121" s="88"/>
      <c r="BN121" s="42"/>
      <c r="BO121" s="42"/>
      <c r="BP121" s="42"/>
    </row>
    <row r="122" spans="1:68" s="86" customFormat="1">
      <c r="A122" s="86">
        <v>58</v>
      </c>
      <c r="B122" s="86">
        <f t="shared" si="42"/>
        <v>1445.4397707459275</v>
      </c>
      <c r="C122" s="86" t="str">
        <f t="shared" si="0"/>
        <v>9081.96592996384j</v>
      </c>
      <c r="D122" s="86">
        <f t="shared" si="1"/>
        <v>0.99999791070386912</v>
      </c>
      <c r="E122" s="86" t="str">
        <f t="shared" si="2"/>
        <v>-0.00227049148249096j</v>
      </c>
      <c r="F122" s="86" t="str">
        <f t="shared" si="3"/>
        <v>0.999997910703869-0.00227049148249096j</v>
      </c>
      <c r="G122" s="86">
        <f t="shared" si="4"/>
        <v>4.2410732239321961E-6</v>
      </c>
      <c r="H122" s="86">
        <f t="shared" si="5"/>
        <v>-0.13008962761968054</v>
      </c>
      <c r="J122" s="86">
        <f t="shared" si="6"/>
        <v>4.8</v>
      </c>
      <c r="K122" s="86" t="str">
        <f t="shared" si="7"/>
        <v>1+0.371316177046572j</v>
      </c>
      <c r="L122" s="86">
        <f t="shared" si="8"/>
        <v>0.9865108765232744</v>
      </c>
      <c r="M122" s="86" t="str">
        <f t="shared" si="9"/>
        <v>0.0519215992216033j</v>
      </c>
      <c r="N122" s="86" t="str">
        <f t="shared" si="10"/>
        <v>0.986510876523274+0.0519215992216033j</v>
      </c>
      <c r="O122" s="86" t="str">
        <f t="shared" si="11"/>
        <v>1.03062881207546+0.322149799341067j</v>
      </c>
      <c r="P122" s="86" t="str">
        <f t="shared" si="12"/>
        <v>4.94701829796221+1.54631903683712j</v>
      </c>
      <c r="R122" s="86">
        <f t="shared" si="13"/>
        <v>11.52</v>
      </c>
      <c r="S122" s="86" t="str">
        <f t="shared" si="14"/>
        <v>1+0.000771967104046926j</v>
      </c>
      <c r="T122" s="86" t="str">
        <f t="shared" si="15"/>
        <v>0.986510876523274+0.0519215992216033j</v>
      </c>
      <c r="U122" s="86" t="str">
        <f t="shared" si="16"/>
        <v>1.01091443908836-0.0524234739629965j</v>
      </c>
      <c r="V122" s="86" t="str">
        <f t="shared" si="17"/>
        <v>11.6457343382979-0.60391842005372j</v>
      </c>
      <c r="X122" s="86" t="str">
        <f t="shared" si="18"/>
        <v>3.05383791357119+0.946950563500352j</v>
      </c>
      <c r="Y122" s="86">
        <f t="shared" si="19"/>
        <v>10.095631252610062</v>
      </c>
      <c r="Z122" s="86">
        <f t="shared" si="20"/>
        <v>-162.77209963903053</v>
      </c>
      <c r="AB122" s="86" t="str">
        <f t="shared" si="21"/>
        <v>9.70801462012163-0.503433161098466j</v>
      </c>
      <c r="AC122" s="86">
        <f t="shared" si="22"/>
        <v>19.754271797427059</v>
      </c>
      <c r="AD122" s="86">
        <f t="shared" si="23"/>
        <v>177.03144444171207</v>
      </c>
      <c r="AF122" s="86" t="str">
        <f t="shared" si="24"/>
        <v>2.24335140378812-0.648219315391922j</v>
      </c>
      <c r="AG122" s="86">
        <f t="shared" si="25"/>
        <v>7.3662066800336596</v>
      </c>
      <c r="AH122" s="86">
        <f t="shared" si="26"/>
        <v>163.88328111622246</v>
      </c>
      <c r="AJ122" s="86" t="str">
        <f t="shared" si="27"/>
        <v>15.0499999971883-0.000205708798766732j</v>
      </c>
      <c r="AK122" s="86" t="str">
        <f t="shared" si="28"/>
        <v>30.1-8.22835195220655E-12j</v>
      </c>
      <c r="AL122" s="86" t="str">
        <f t="shared" si="43"/>
        <v>10000-2446851.52901809j</v>
      </c>
      <c r="AM122" s="86" t="str">
        <f t="shared" si="44"/>
        <v>963.131468810941-759370.430527845j</v>
      </c>
      <c r="AN122" s="86" t="str">
        <f t="shared" si="45"/>
        <v>10963.1314688109-759370.430527845j</v>
      </c>
      <c r="AO122" s="86" t="str">
        <f t="shared" si="46"/>
        <v>30.0999827312862-0.0011928567809131j</v>
      </c>
      <c r="AP122" s="86" t="str">
        <f t="shared" si="47"/>
        <v>0.666666666694344+3.03741298890966E-06j</v>
      </c>
      <c r="AQ122" s="86" t="str">
        <f t="shared" si="29"/>
        <v>1+0.50742760043894j</v>
      </c>
      <c r="AR122" s="86">
        <f t="shared" si="51"/>
        <v>9.5391559820890241E-8</v>
      </c>
      <c r="AS122" s="86" t="str">
        <f t="shared" si="31"/>
        <v>2.67543091380344E-06j</v>
      </c>
      <c r="AT122" s="86" t="str">
        <f t="shared" si="32"/>
        <v>9.53915598208902E-08+2.67543091380344E-06j</v>
      </c>
      <c r="AU122" s="86" t="str">
        <f t="shared" si="33"/>
        <v>20.2730981085478-36.6543262407068j</v>
      </c>
      <c r="AW122" s="86" t="str">
        <f t="shared" si="48"/>
        <v>13.3607051207165-24.5205556525683j</v>
      </c>
      <c r="AX122" s="86">
        <f t="shared" si="34"/>
        <v>28.919643453888728</v>
      </c>
      <c r="AY122" s="86">
        <f t="shared" si="35"/>
        <v>118.58498328816412</v>
      </c>
      <c r="AZ122" s="86" t="str">
        <f t="shared" si="36"/>
        <v>117.361459802986-244.772134782066j</v>
      </c>
      <c r="BA122" s="86">
        <f t="shared" si="37"/>
        <v>48.67391525131579</v>
      </c>
      <c r="BB122" s="86">
        <f t="shared" si="38"/>
        <v>115.61642772987611</v>
      </c>
      <c r="BD122" s="86" t="str">
        <f t="shared" si="39"/>
        <v>14.0780587900211-63.668890071358j</v>
      </c>
      <c r="BE122" s="86">
        <f t="shared" si="40"/>
        <v>36.285850133922381</v>
      </c>
      <c r="BF122" s="86">
        <f t="shared" si="41"/>
        <v>102.46826440438657</v>
      </c>
      <c r="BH122" s="86">
        <f t="shared" si="49"/>
        <v>-35.285850133922381</v>
      </c>
      <c r="BI122" s="157">
        <f t="shared" si="50"/>
        <v>-102.46826440438657</v>
      </c>
      <c r="BJ122" s="88"/>
      <c r="BK122" s="88"/>
      <c r="BL122" s="88"/>
      <c r="BM122" s="88"/>
      <c r="BN122" s="42"/>
      <c r="BO122" s="42"/>
      <c r="BP122" s="42"/>
    </row>
    <row r="123" spans="1:68" s="86" customFormat="1">
      <c r="A123" s="86">
        <v>59</v>
      </c>
      <c r="B123" s="86">
        <f t="shared" si="42"/>
        <v>1513.5612484362086</v>
      </c>
      <c r="C123" s="86" t="str">
        <f t="shared" si="0"/>
        <v>9509.98579769078j</v>
      </c>
      <c r="D123" s="86">
        <f t="shared" si="1"/>
        <v>0.9999977091323472</v>
      </c>
      <c r="E123" s="86" t="str">
        <f t="shared" si="2"/>
        <v>-0.0023774964494227j</v>
      </c>
      <c r="F123" s="86" t="str">
        <f t="shared" si="3"/>
        <v>0.999997709132347-0.0023774964494227j</v>
      </c>
      <c r="G123" s="86">
        <f t="shared" si="4"/>
        <v>4.6502461055958282E-6</v>
      </c>
      <c r="H123" s="86">
        <f t="shared" si="5"/>
        <v>-0.13622056776058006</v>
      </c>
      <c r="J123" s="86">
        <f t="shared" si="6"/>
        <v>4.8</v>
      </c>
      <c r="K123" s="86" t="str">
        <f t="shared" si="7"/>
        <v>1+0.388815769338588j</v>
      </c>
      <c r="L123" s="86">
        <f t="shared" si="8"/>
        <v>0.98520947022268723</v>
      </c>
      <c r="M123" s="86" t="str">
        <f t="shared" si="9"/>
        <v>0.0543685888053982j</v>
      </c>
      <c r="N123" s="86" t="str">
        <f t="shared" si="10"/>
        <v>0.985209470222687+0.0543685888053982j</v>
      </c>
      <c r="O123" s="86" t="str">
        <f t="shared" si="11"/>
        <v>1.03364359602682+0.337611478318099j</v>
      </c>
      <c r="P123" s="86" t="str">
        <f t="shared" si="12"/>
        <v>4.96148926092874+1.62053509592688j</v>
      </c>
      <c r="R123" s="86">
        <f t="shared" si="13"/>
        <v>11.52</v>
      </c>
      <c r="S123" s="86" t="str">
        <f t="shared" si="14"/>
        <v>1+0.000808348792803716j</v>
      </c>
      <c r="T123" s="86" t="str">
        <f t="shared" si="15"/>
        <v>0.985209470222687+0.0543685888053982j</v>
      </c>
      <c r="U123" s="86" t="str">
        <f t="shared" si="16"/>
        <v>1.01197601834864-0.0550252112552921j</v>
      </c>
      <c r="V123" s="86" t="str">
        <f t="shared" si="17"/>
        <v>11.6579637313763-0.633890433660965j</v>
      </c>
      <c r="X123" s="86" t="str">
        <f t="shared" si="18"/>
        <v>3.06297493024771+0.992384328685702j</v>
      </c>
      <c r="Y123" s="86">
        <f t="shared" si="19"/>
        <v>10.156381042521776</v>
      </c>
      <c r="Z123" s="86">
        <f t="shared" si="20"/>
        <v>-162.04800662766809</v>
      </c>
      <c r="AB123" s="86" t="str">
        <f t="shared" si="21"/>
        <v>9.71820917920665-0.528418167439951j</v>
      </c>
      <c r="AC123" s="86">
        <f t="shared" si="22"/>
        <v>19.764545979416798</v>
      </c>
      <c r="AD123" s="86">
        <f t="shared" si="23"/>
        <v>176.88766257298482</v>
      </c>
      <c r="AF123" s="86" t="str">
        <f t="shared" si="24"/>
        <v>2.2272540563509-0.674065244305428j</v>
      </c>
      <c r="AG123" s="86">
        <f t="shared" si="25"/>
        <v>7.3360043273498121</v>
      </c>
      <c r="AH123" s="86">
        <f t="shared" si="26"/>
        <v>163.16187146181224</v>
      </c>
      <c r="AJ123" s="86" t="str">
        <f t="shared" si="27"/>
        <v>15.049999996917-0.00021540355577002j</v>
      </c>
      <c r="AK123" s="86" t="str">
        <f t="shared" si="28"/>
        <v>30.1-8.61614223256584E-12j</v>
      </c>
      <c r="AL123" s="86" t="str">
        <f t="shared" si="43"/>
        <v>10000-2336725.06930749j</v>
      </c>
      <c r="AM123" s="86" t="str">
        <f t="shared" si="44"/>
        <v>963.130730635274-725193.381310467j</v>
      </c>
      <c r="AN123" s="86" t="str">
        <f t="shared" si="45"/>
        <v>10963.1307306353-725193.381310467j</v>
      </c>
      <c r="AO123" s="86" t="str">
        <f t="shared" si="46"/>
        <v>30.099981065629-0.00124904870850163j</v>
      </c>
      <c r="AP123" s="86" t="str">
        <f t="shared" si="47"/>
        <v>0.666666666697015+3.18056185288243E-06j</v>
      </c>
      <c r="AQ123" s="86" t="str">
        <f t="shared" si="29"/>
        <v>1+0.531341926488579j</v>
      </c>
      <c r="AR123" s="86">
        <f t="shared" si="51"/>
        <v>9.4946945825375951E-8</v>
      </c>
      <c r="AS123" s="86" t="str">
        <f t="shared" si="31"/>
        <v>2.80152008818149E-06j</v>
      </c>
      <c r="AT123" s="86" t="str">
        <f t="shared" si="32"/>
        <v>9.4946945825376E-08+2.80152008818149E-06j</v>
      </c>
      <c r="AU123" s="86" t="str">
        <f t="shared" si="33"/>
        <v>20.1527971460766-35.0119043853836j</v>
      </c>
      <c r="AW123" s="86" t="str">
        <f t="shared" si="48"/>
        <v>13.2804263660428-23.4290521080657j</v>
      </c>
      <c r="AX123" s="86">
        <f t="shared" si="34"/>
        <v>28.605118136660515</v>
      </c>
      <c r="AY123" s="86">
        <f t="shared" si="35"/>
        <v>119.546118548761</v>
      </c>
      <c r="AZ123" s="86" t="str">
        <f t="shared" si="36"/>
        <v>116.681624634456-234.706047819881j</v>
      </c>
      <c r="BA123" s="86">
        <f t="shared" si="37"/>
        <v>48.369664116077331</v>
      </c>
      <c r="BB123" s="86">
        <f t="shared" si="38"/>
        <v>116.43378112174578</v>
      </c>
      <c r="BD123" s="86" t="str">
        <f t="shared" si="39"/>
        <v>13.7861737607704-61.134325187053j</v>
      </c>
      <c r="BE123" s="86">
        <f t="shared" si="40"/>
        <v>35.941122464010348</v>
      </c>
      <c r="BF123" s="86">
        <f t="shared" si="41"/>
        <v>102.70799001057323</v>
      </c>
      <c r="BH123" s="86">
        <f t="shared" si="49"/>
        <v>-34.941122464010348</v>
      </c>
      <c r="BI123" s="157">
        <f t="shared" si="50"/>
        <v>-102.70799001057323</v>
      </c>
      <c r="BJ123" s="88"/>
      <c r="BK123" s="88"/>
      <c r="BL123" s="88"/>
      <c r="BM123" s="88"/>
      <c r="BN123" s="42"/>
      <c r="BO123" s="42"/>
      <c r="BP123" s="42"/>
    </row>
    <row r="124" spans="1:68" s="86" customFormat="1">
      <c r="A124" s="86">
        <v>60</v>
      </c>
      <c r="B124" s="86">
        <f t="shared" si="42"/>
        <v>1584.8931924611136</v>
      </c>
      <c r="C124" s="86" t="str">
        <f t="shared" si="0"/>
        <v>9958.17762032062j</v>
      </c>
      <c r="D124" s="86">
        <f t="shared" si="1"/>
        <v>0.99999748811356848</v>
      </c>
      <c r="E124" s="86" t="str">
        <f t="shared" si="2"/>
        <v>-0.00248954440508015j</v>
      </c>
      <c r="F124" s="86" t="str">
        <f t="shared" si="3"/>
        <v>0.999997488113568-0.00248954440508015j</v>
      </c>
      <c r="G124" s="86">
        <f t="shared" si="4"/>
        <v>5.0988956048975993E-6</v>
      </c>
      <c r="H124" s="86">
        <f t="shared" si="5"/>
        <v>-0.14264045093070754</v>
      </c>
      <c r="J124" s="86">
        <f t="shared" si="6"/>
        <v>4.8</v>
      </c>
      <c r="K124" s="86" t="str">
        <f t="shared" si="7"/>
        <v>1+0.407140092006809j</v>
      </c>
      <c r="L124" s="86">
        <f t="shared" si="8"/>
        <v>0.98378250658977007</v>
      </c>
      <c r="M124" s="86" t="str">
        <f t="shared" si="9"/>
        <v>0.056930901455373j</v>
      </c>
      <c r="N124" s="86" t="str">
        <f t="shared" si="10"/>
        <v>0.98378250658977+0.056930901455373j</v>
      </c>
      <c r="O124" s="86" t="str">
        <f t="shared" si="11"/>
        <v>1.03696154008663+0.353843389594121j</v>
      </c>
      <c r="P124" s="86" t="str">
        <f t="shared" si="12"/>
        <v>4.97741539241582+1.69844827005178j</v>
      </c>
      <c r="R124" s="86">
        <f t="shared" si="13"/>
        <v>11.52</v>
      </c>
      <c r="S124" s="86" t="str">
        <f t="shared" si="14"/>
        <v>1+0.000846445097727253j</v>
      </c>
      <c r="T124" s="86" t="str">
        <f t="shared" si="15"/>
        <v>0.98378250658977+0.056930901455373j</v>
      </c>
      <c r="U124" s="86" t="str">
        <f t="shared" si="16"/>
        <v>1.01314174967703-0.0577695045731881j</v>
      </c>
      <c r="V124" s="86" t="str">
        <f t="shared" si="17"/>
        <v>11.6713929562794-0.665504692683127j</v>
      </c>
      <c r="X124" s="86" t="str">
        <f t="shared" si="18"/>
        <v>3.07303028222343+1.04007907240288j</v>
      </c>
      <c r="Y124" s="86">
        <f t="shared" si="19"/>
        <v>10.222336412094432</v>
      </c>
      <c r="Z124" s="86">
        <f t="shared" si="20"/>
        <v>-161.30141005693977</v>
      </c>
      <c r="AB124" s="86" t="str">
        <f t="shared" si="21"/>
        <v>9.72940393154335-0.554772167958592j</v>
      </c>
      <c r="AC124" s="86">
        <f t="shared" si="22"/>
        <v>19.775821989428419</v>
      </c>
      <c r="AD124" s="86">
        <f t="shared" si="23"/>
        <v>176.73651927912755</v>
      </c>
      <c r="AF124" s="86" t="str">
        <f t="shared" si="24"/>
        <v>2.20985785870784-0.700510156341907j</v>
      </c>
      <c r="AG124" s="86">
        <f t="shared" si="25"/>
        <v>7.3031271221959173</v>
      </c>
      <c r="AH124" s="86">
        <f t="shared" si="26"/>
        <v>162.41173324319828</v>
      </c>
      <c r="AJ124" s="86" t="str">
        <f t="shared" si="27"/>
        <v>15.0499999966196-0.000225555212594004j</v>
      </c>
      <c r="AK124" s="86" t="str">
        <f t="shared" si="28"/>
        <v>30.1-9.0222085057867E-12j</v>
      </c>
      <c r="AL124" s="86" t="str">
        <f t="shared" si="43"/>
        <v>10000-2231555.11675908j</v>
      </c>
      <c r="AM124" s="86" t="str">
        <f t="shared" si="44"/>
        <v>963.129921243051-692554.564482799j</v>
      </c>
      <c r="AN124" s="86" t="str">
        <f t="shared" si="45"/>
        <v>10963.1299212431-692554.564482799j</v>
      </c>
      <c r="AO124" s="86" t="str">
        <f t="shared" si="46"/>
        <v>30.0999792393525-0.00130788507668438j</v>
      </c>
      <c r="AP124" s="86" t="str">
        <f t="shared" si="47"/>
        <v>0.666666666699942+3.33045711496561E-06j</v>
      </c>
      <c r="AQ124" s="86" t="str">
        <f t="shared" si="29"/>
        <v>1+0.556383300002554j</v>
      </c>
      <c r="AR124" s="86">
        <f t="shared" si="51"/>
        <v>9.445943627359444E-8</v>
      </c>
      <c r="AS124" s="86" t="str">
        <f t="shared" si="31"/>
        <v>2.93355166227291E-06j</v>
      </c>
      <c r="AT124" s="86" t="str">
        <f t="shared" si="32"/>
        <v>9.44594362735944E-08+2.93355166227291E-06j</v>
      </c>
      <c r="AU124" s="86" t="str">
        <f t="shared" si="33"/>
        <v>20.0430546067304-33.4429918594426j</v>
      </c>
      <c r="AW124" s="86" t="str">
        <f t="shared" si="48"/>
        <v>13.2071825102646-22.3867407856816j</v>
      </c>
      <c r="AX124" s="86">
        <f t="shared" si="34"/>
        <v>28.296869621401925</v>
      </c>
      <c r="AY124" s="86">
        <f t="shared" si="35"/>
        <v>120.53871665767662</v>
      </c>
      <c r="AZ124" s="86" t="str">
        <f t="shared" si="36"/>
        <v>116.078472720779-225.136621088497j</v>
      </c>
      <c r="BA124" s="86">
        <f t="shared" si="37"/>
        <v>48.072691610830347</v>
      </c>
      <c r="BB124" s="86">
        <f t="shared" si="38"/>
        <v>117.27523593680405</v>
      </c>
      <c r="BD124" s="86" t="str">
        <f t="shared" si="39"/>
        <v>13.5038567739333-58.7232805411954j</v>
      </c>
      <c r="BE124" s="86">
        <f t="shared" si="40"/>
        <v>35.599996743597842</v>
      </c>
      <c r="BF124" s="86">
        <f t="shared" si="41"/>
        <v>102.95044990087479</v>
      </c>
      <c r="BH124" s="86">
        <f t="shared" si="49"/>
        <v>-34.599996743597842</v>
      </c>
      <c r="BI124" s="157">
        <f t="shared" si="50"/>
        <v>-102.95044990087479</v>
      </c>
      <c r="BJ124" s="88"/>
      <c r="BK124" s="88"/>
      <c r="BL124" s="88"/>
      <c r="BM124" s="88"/>
      <c r="BN124" s="42"/>
      <c r="BO124" s="42"/>
      <c r="BP124" s="42"/>
    </row>
    <row r="125" spans="1:68" s="86" customFormat="1">
      <c r="A125" s="86">
        <v>61</v>
      </c>
      <c r="B125" s="86">
        <f t="shared" si="42"/>
        <v>1659.5869074375614</v>
      </c>
      <c r="C125" s="86" t="str">
        <f t="shared" si="0"/>
        <v>10427.4920727993j</v>
      </c>
      <c r="D125" s="86">
        <f t="shared" si="1"/>
        <v>0.99999724577129667</v>
      </c>
      <c r="E125" s="86" t="str">
        <f t="shared" si="2"/>
        <v>-0.00260687301819982j</v>
      </c>
      <c r="F125" s="86" t="str">
        <f t="shared" si="3"/>
        <v>0.999997245771297-0.00260687301819982j</v>
      </c>
      <c r="G125" s="86">
        <f t="shared" si="4"/>
        <v>5.5908304461039754E-6</v>
      </c>
      <c r="H125" s="86">
        <f t="shared" si="5"/>
        <v>-0.14936289470249733</v>
      </c>
      <c r="J125" s="86">
        <f t="shared" si="6"/>
        <v>4.8</v>
      </c>
      <c r="K125" s="86" t="str">
        <f t="shared" si="7"/>
        <v>1+0.426328013396399j</v>
      </c>
      <c r="L125" s="86">
        <f t="shared" si="8"/>
        <v>0.98221787207958711</v>
      </c>
      <c r="M125" s="86" t="str">
        <f t="shared" si="9"/>
        <v>0.0596139721801936j</v>
      </c>
      <c r="N125" s="86" t="str">
        <f t="shared" si="10"/>
        <v>0.982217872079587+0.0596139721801936j</v>
      </c>
      <c r="O125" s="86" t="str">
        <f t="shared" si="11"/>
        <v>1.0406144479954+0.370888031055676j</v>
      </c>
      <c r="P125" s="86" t="str">
        <f t="shared" si="12"/>
        <v>4.99494935037792+1.78026254906724j</v>
      </c>
      <c r="R125" s="86">
        <f t="shared" si="13"/>
        <v>11.52</v>
      </c>
      <c r="S125" s="86" t="str">
        <f t="shared" si="14"/>
        <v>1+0.00088633682618794j</v>
      </c>
      <c r="T125" s="86" t="str">
        <f t="shared" si="15"/>
        <v>0.982217872079587+0.0596139721801936j</v>
      </c>
      <c r="U125" s="86" t="str">
        <f t="shared" si="16"/>
        <v>1.01442203134906-0.0606661634077886j</v>
      </c>
      <c r="V125" s="86" t="str">
        <f t="shared" si="17"/>
        <v>11.6861418011412-0.698874202457725j</v>
      </c>
      <c r="X125" s="86" t="str">
        <f t="shared" si="18"/>
        <v>3.08410021552738+1.09015919546091j</v>
      </c>
      <c r="Y125" s="86">
        <f t="shared" si="19"/>
        <v>10.293886973965389</v>
      </c>
      <c r="Z125" s="86">
        <f t="shared" si="20"/>
        <v>-160.53265838073324</v>
      </c>
      <c r="AB125" s="86" t="str">
        <f t="shared" si="21"/>
        <v>9.74169873386229-0.582589365169828j</v>
      </c>
      <c r="AC125" s="86">
        <f t="shared" si="22"/>
        <v>19.788198636618986</v>
      </c>
      <c r="AD125" s="86">
        <f t="shared" si="23"/>
        <v>176.57757812957411</v>
      </c>
      <c r="AF125" s="86" t="str">
        <f t="shared" si="24"/>
        <v>2.19108204617857-0.727508496124654j</v>
      </c>
      <c r="AG125" s="86">
        <f t="shared" si="25"/>
        <v>7.2673610219625875</v>
      </c>
      <c r="AH125" s="86">
        <f t="shared" si="26"/>
        <v>161.63220237574504</v>
      </c>
      <c r="AJ125" s="86" t="str">
        <f t="shared" si="27"/>
        <v>15.0499999962934-0.000236185302263753j</v>
      </c>
      <c r="AK125" s="86" t="str">
        <f t="shared" si="28"/>
        <v>30.1-9.4474120928769E-12j</v>
      </c>
      <c r="AL125" s="86" t="str">
        <f t="shared" si="43"/>
        <v>10000-2131118.59180312j</v>
      </c>
      <c r="AM125" s="86" t="str">
        <f t="shared" si="44"/>
        <v>963.12903376369-661384.748738323j</v>
      </c>
      <c r="AN125" s="86" t="str">
        <f t="shared" si="45"/>
        <v>10963.1290337637-661384.748738323j</v>
      </c>
      <c r="AO125" s="86" t="str">
        <f t="shared" si="46"/>
        <v>30.0999772369764-0.00136948995096243j</v>
      </c>
      <c r="AP125" s="86" t="str">
        <f t="shared" si="47"/>
        <v>0.666666666703154+3.48741672310614E-06j</v>
      </c>
      <c r="AQ125" s="86" t="str">
        <f t="shared" si="29"/>
        <v>1+0.582604837091442j</v>
      </c>
      <c r="AR125" s="86">
        <f t="shared" si="51"/>
        <v>9.3924892679654467E-8</v>
      </c>
      <c r="AS125" s="86" t="str">
        <f t="shared" si="31"/>
        <v>3.07180569274814E-06j</v>
      </c>
      <c r="AT125" s="86" t="str">
        <f t="shared" si="32"/>
        <v>9.39248926796545E-08+3.07180569274814E-06j</v>
      </c>
      <c r="AU125" s="86" t="str">
        <f t="shared" si="33"/>
        <v>19.9429456938216-31.9443580684962j</v>
      </c>
      <c r="AW125" s="86" t="str">
        <f t="shared" si="48"/>
        <v>13.1403563259956-21.3914756601819j</v>
      </c>
      <c r="AX125" s="86">
        <f t="shared" si="34"/>
        <v>27.99522635972524</v>
      </c>
      <c r="AY125" s="86">
        <f t="shared" si="35"/>
        <v>121.56157541297176</v>
      </c>
      <c r="AZ125" s="86" t="str">
        <f t="shared" si="36"/>
        <v>115.546946358539-216.044743204307j</v>
      </c>
      <c r="BA125" s="86">
        <f t="shared" si="37"/>
        <v>47.783424996344223</v>
      </c>
      <c r="BB125" s="86">
        <f t="shared" si="38"/>
        <v>118.13915354254578</v>
      </c>
      <c r="BD125" s="86" t="str">
        <f t="shared" si="39"/>
        <v>13.2291185388517-56.4301991295575j</v>
      </c>
      <c r="BE125" s="86">
        <f t="shared" si="40"/>
        <v>35.262587381687808</v>
      </c>
      <c r="BF125" s="86">
        <f t="shared" si="41"/>
        <v>103.19377778871666</v>
      </c>
      <c r="BH125" s="86">
        <f t="shared" si="49"/>
        <v>-34.262587381687808</v>
      </c>
      <c r="BI125" s="157">
        <f t="shared" si="50"/>
        <v>-103.19377778871666</v>
      </c>
      <c r="BJ125" s="88"/>
      <c r="BK125" s="88"/>
      <c r="BL125" s="88"/>
      <c r="BM125" s="88"/>
      <c r="BN125" s="42"/>
      <c r="BO125" s="42"/>
      <c r="BP125" s="42"/>
    </row>
    <row r="126" spans="1:68" s="86" customFormat="1">
      <c r="A126" s="86">
        <v>62</v>
      </c>
      <c r="B126" s="86">
        <f t="shared" si="42"/>
        <v>1737.8008287493756</v>
      </c>
      <c r="C126" s="86" t="str">
        <f t="shared" si="0"/>
        <v>10918.9246340026j</v>
      </c>
      <c r="D126" s="86">
        <f t="shared" si="1"/>
        <v>0.99999698004827964</v>
      </c>
      <c r="E126" s="86" t="str">
        <f t="shared" si="2"/>
        <v>-0.00272973115850065j</v>
      </c>
      <c r="F126" s="86" t="str">
        <f t="shared" si="3"/>
        <v>0.99999698004828-0.00272973115850065j</v>
      </c>
      <c r="G126" s="86">
        <f t="shared" si="4"/>
        <v>6.1302267875143566E-6</v>
      </c>
      <c r="H126" s="86">
        <f t="shared" si="5"/>
        <v>-0.15640215844065045</v>
      </c>
      <c r="J126" s="86">
        <f t="shared" si="6"/>
        <v>4.8</v>
      </c>
      <c r="K126" s="86" t="str">
        <f t="shared" si="7"/>
        <v>1+0.446420233661196j</v>
      </c>
      <c r="L126" s="86">
        <f t="shared" si="8"/>
        <v>0.98050228445423826</v>
      </c>
      <c r="M126" s="86" t="str">
        <f t="shared" si="9"/>
        <v>0.0624234921325929j</v>
      </c>
      <c r="N126" s="86" t="str">
        <f t="shared" si="10"/>
        <v>0.980502284454238+0.0624234921325929j</v>
      </c>
      <c r="O126" s="86" t="str">
        <f t="shared" si="11"/>
        <v>1.04463773073582+0.388790831535274j</v>
      </c>
      <c r="P126" s="86" t="str">
        <f t="shared" si="12"/>
        <v>5.01426110753194+1.86619599136932j</v>
      </c>
      <c r="R126" s="86">
        <f t="shared" si="13"/>
        <v>11.52</v>
      </c>
      <c r="S126" s="86" t="str">
        <f t="shared" si="14"/>
        <v>1+0.000928108593890221j</v>
      </c>
      <c r="T126" s="86" t="str">
        <f t="shared" si="15"/>
        <v>0.980502284454238+0.0624234921325929j</v>
      </c>
      <c r="U126" s="86" t="str">
        <f t="shared" si="16"/>
        <v>1.01582833533569-0.063725954029553j</v>
      </c>
      <c r="V126" s="86" t="str">
        <f t="shared" si="17"/>
        <v>11.7023424230671-0.73412299042045j</v>
      </c>
      <c r="X126" s="86" t="str">
        <f t="shared" si="18"/>
        <v>3.09629187375603+1.14275762784797j</v>
      </c>
      <c r="Y126" s="86">
        <f t="shared" si="19"/>
        <v>10.371442488434564</v>
      </c>
      <c r="Z126" s="86">
        <f t="shared" si="20"/>
        <v>-159.74225960794467</v>
      </c>
      <c r="AB126" s="86" t="str">
        <f t="shared" si="21"/>
        <v>9.75520375380719-0.61197314973362j</v>
      </c>
      <c r="AC126" s="86">
        <f t="shared" si="22"/>
        <v>19.801784702569787</v>
      </c>
      <c r="AD126" s="86">
        <f t="shared" si="23"/>
        <v>176.41036812374756</v>
      </c>
      <c r="AF126" s="86" t="str">
        <f t="shared" si="24"/>
        <v>2.17084516856016-0.755005531904842j</v>
      </c>
      <c r="AG126" s="86">
        <f t="shared" si="25"/>
        <v>7.228478995971944</v>
      </c>
      <c r="AH126" s="86">
        <f t="shared" si="26"/>
        <v>160.82266481211025</v>
      </c>
      <c r="AJ126" s="86" t="str">
        <f t="shared" si="27"/>
        <v>15.0499999959358-0.000247316372624531j</v>
      </c>
      <c r="AK126" s="86" t="str">
        <f t="shared" si="28"/>
        <v>30.1-9.89265490765269E-12j</v>
      </c>
      <c r="AL126" s="86" t="str">
        <f t="shared" si="43"/>
        <v>10000-2035202.45510442j</v>
      </c>
      <c r="AM126" s="86" t="str">
        <f t="shared" si="44"/>
        <v>963.128060663804-631617.818718764j</v>
      </c>
      <c r="AN126" s="86" t="str">
        <f t="shared" si="45"/>
        <v>10963.1280606638-631617.818718764j</v>
      </c>
      <c r="AO126" s="86" t="str">
        <f t="shared" si="46"/>
        <v>30.099975041531-0.00143399316052214j</v>
      </c>
      <c r="AP126" s="86" t="str">
        <f t="shared" si="47"/>
        <v>0.666666666706674+3.65177360967601E-06j</v>
      </c>
      <c r="AQ126" s="86" t="str">
        <f t="shared" si="29"/>
        <v>1+0.610062157150993j</v>
      </c>
      <c r="AR126" s="86">
        <f t="shared" si="51"/>
        <v>9.3338777284011244E-8</v>
      </c>
      <c r="AS126" s="86" t="str">
        <f t="shared" si="31"/>
        <v>3.21657543494185E-06j</v>
      </c>
      <c r="AT126" s="86" t="str">
        <f t="shared" si="32"/>
        <v>9.33387772840112E-08+3.21657543494185E-06j</v>
      </c>
      <c r="AU126" s="86" t="str">
        <f t="shared" si="33"/>
        <v>19.8516262473349-30.5129089816446j</v>
      </c>
      <c r="AW126" s="86" t="str">
        <f t="shared" si="48"/>
        <v>13.0793843031918-20.4412021558763j</v>
      </c>
      <c r="AX126" s="86">
        <f t="shared" si="34"/>
        <v>27.700511702909665</v>
      </c>
      <c r="AY126" s="86">
        <f t="shared" si="35"/>
        <v>122.61330692513647</v>
      </c>
      <c r="AZ126" s="86" t="str">
        <f t="shared" si="36"/>
        <v>115.08259198431-207.412324011937j</v>
      </c>
      <c r="BA126" s="86">
        <f t="shared" si="37"/>
        <v>47.502296405479456</v>
      </c>
      <c r="BB126" s="86">
        <f t="shared" si="38"/>
        <v>119.023675048884</v>
      </c>
      <c r="BD126" s="86" t="str">
        <f t="shared" si="39"/>
        <v>12.9600975158537-54.2496924424647j</v>
      </c>
      <c r="BE126" s="86">
        <f t="shared" si="40"/>
        <v>34.928990698881599</v>
      </c>
      <c r="BF126" s="86">
        <f t="shared" si="41"/>
        <v>103.43597173724672</v>
      </c>
      <c r="BH126" s="86">
        <f t="shared" si="49"/>
        <v>-33.928990698881599</v>
      </c>
      <c r="BI126" s="157">
        <f t="shared" si="50"/>
        <v>-103.43597173724672</v>
      </c>
      <c r="BJ126" s="88"/>
      <c r="BK126" s="88"/>
      <c r="BL126" s="88"/>
      <c r="BM126" s="88"/>
      <c r="BN126" s="42"/>
      <c r="BO126" s="42"/>
      <c r="BP126" s="42"/>
    </row>
    <row r="127" spans="1:68" s="86" customFormat="1">
      <c r="A127" s="86">
        <v>63</v>
      </c>
      <c r="B127" s="86">
        <f t="shared" si="42"/>
        <v>1819.7008586099842</v>
      </c>
      <c r="C127" s="86" t="str">
        <f t="shared" si="0"/>
        <v>11433.5176982803j</v>
      </c>
      <c r="D127" s="86">
        <f t="shared" si="1"/>
        <v>0.99999668868878522</v>
      </c>
      <c r="E127" s="86" t="str">
        <f t="shared" si="2"/>
        <v>-0.00285837942457008j</v>
      </c>
      <c r="F127" s="86" t="str">
        <f t="shared" si="3"/>
        <v>0.999996688688785-0.00285837942457008j</v>
      </c>
      <c r="G127" s="86">
        <f t="shared" si="4"/>
        <v>6.7216637353624333E-6</v>
      </c>
      <c r="H127" s="86">
        <f t="shared" si="5"/>
        <v>-0.16377317355122167</v>
      </c>
      <c r="J127" s="86">
        <f t="shared" si="6"/>
        <v>4.8</v>
      </c>
      <c r="K127" s="86" t="str">
        <f t="shared" si="7"/>
        <v>1+0.46745937109419j</v>
      </c>
      <c r="L127" s="86">
        <f t="shared" si="8"/>
        <v>0.97862118002947041</v>
      </c>
      <c r="M127" s="86" t="str">
        <f t="shared" si="9"/>
        <v>0.0653654206810685j</v>
      </c>
      <c r="N127" s="86" t="str">
        <f t="shared" si="10"/>
        <v>0.97862118002947+0.0653654206810685j</v>
      </c>
      <c r="O127" s="86" t="str">
        <f t="shared" si="11"/>
        <v>1.04907087075989+0.407600428483168j</v>
      </c>
      <c r="P127" s="86" t="str">
        <f t="shared" si="12"/>
        <v>5.03554017964747+1.95648205671921j</v>
      </c>
      <c r="R127" s="86">
        <f t="shared" si="13"/>
        <v>11.52</v>
      </c>
      <c r="S127" s="86" t="str">
        <f t="shared" si="14"/>
        <v>1+0.000971849004353826j</v>
      </c>
      <c r="T127" s="86" t="str">
        <f t="shared" si="15"/>
        <v>0.97862118002947+0.0653654206810685j</v>
      </c>
      <c r="U127" s="86" t="str">
        <f t="shared" si="16"/>
        <v>1.01737332502204-0.0669607277183967j</v>
      </c>
      <c r="V127" s="86" t="str">
        <f t="shared" si="17"/>
        <v>11.7201407042539-0.77138758331593j</v>
      </c>
      <c r="X127" s="86" t="str">
        <f t="shared" si="18"/>
        <v>3.10972469686735+1.19801663002691j</v>
      </c>
      <c r="Y127" s="86">
        <f t="shared" si="19"/>
        <v>10.455432603051886</v>
      </c>
      <c r="Z127" s="86">
        <f t="shared" si="20"/>
        <v>-158.93089775681526</v>
      </c>
      <c r="AB127" s="86" t="str">
        <f t="shared" si="21"/>
        <v>9.77004060041172-0.6430373318739j</v>
      </c>
      <c r="AC127" s="86">
        <f t="shared" si="22"/>
        <v>19.816699993434234</v>
      </c>
      <c r="AD127" s="86">
        <f t="shared" si="23"/>
        <v>176.23437978835312</v>
      </c>
      <c r="AF127" s="86" t="str">
        <f t="shared" si="24"/>
        <v>2.14906596474667-0.782936652452147j</v>
      </c>
      <c r="AG127" s="86">
        <f t="shared" si="25"/>
        <v>7.1862409803216378</v>
      </c>
      <c r="AH127" s="86">
        <f t="shared" si="26"/>
        <v>159.982566448591</v>
      </c>
      <c r="AJ127" s="86" t="str">
        <f t="shared" si="27"/>
        <v>15.0499999955437-0.000258972034168792j</v>
      </c>
      <c r="AK127" s="86" t="str">
        <f t="shared" si="28"/>
        <v>30.1-1.03588813698189E-11j</v>
      </c>
      <c r="AL127" s="86" t="str">
        <f t="shared" si="43"/>
        <v>10000-1943603.25567735j</v>
      </c>
      <c r="AM127" s="86" t="str">
        <f t="shared" si="44"/>
        <v>963.126993683256-603190.634774549j</v>
      </c>
      <c r="AN127" s="86" t="str">
        <f t="shared" si="45"/>
        <v>10963.1269936833-603190.634774549j</v>
      </c>
      <c r="AO127" s="86" t="str">
        <f t="shared" si="46"/>
        <v>30.0999726344123-0.00150153055753264j</v>
      </c>
      <c r="AP127" s="86" t="str">
        <f t="shared" si="47"/>
        <v>0.666666666710534+3.82387639766632E-06j</v>
      </c>
      <c r="AQ127" s="86" t="str">
        <f t="shared" si="29"/>
        <v>1+0.638813500838317j</v>
      </c>
      <c r="AR127" s="86">
        <f t="shared" si="51"/>
        <v>9.2696114532264693E-8</v>
      </c>
      <c r="AS127" s="86" t="str">
        <f t="shared" si="31"/>
        <v>3.36816796488684E-06j</v>
      </c>
      <c r="AT127" s="86" t="str">
        <f t="shared" si="32"/>
        <v>9.26961145322647E-08+3.36816796488684E-06j</v>
      </c>
      <c r="AU127" s="86" t="str">
        <f t="shared" si="33"/>
        <v>19.768325769618-29.1456821731414j</v>
      </c>
      <c r="AW127" s="86" t="str">
        <f t="shared" si="48"/>
        <v>13.0237519933948-19.5339538582696j</v>
      </c>
      <c r="AX127" s="86">
        <f t="shared" si="34"/>
        <v>27.413040633008379</v>
      </c>
      <c r="AY127" s="86">
        <f t="shared" si="35"/>
        <v>123.69233383210263</v>
      </c>
      <c r="AZ127" s="86" t="str">
        <f t="shared" si="36"/>
        <v>114.681524175191-199.222281014683j</v>
      </c>
      <c r="BA127" s="86">
        <f t="shared" si="37"/>
        <v>47.22974062644262</v>
      </c>
      <c r="BB127" s="86">
        <f t="shared" si="38"/>
        <v>119.92671362045581</v>
      </c>
      <c r="BD127" s="86" t="str">
        <f t="shared" si="39"/>
        <v>12.6950536993581-52.1765281818146j</v>
      </c>
      <c r="BE127" s="86">
        <f t="shared" si="40"/>
        <v>34.599281613330021</v>
      </c>
      <c r="BF127" s="86">
        <f t="shared" si="41"/>
        <v>103.67490028069368</v>
      </c>
      <c r="BH127" s="86">
        <f t="shared" si="49"/>
        <v>-33.599281613330021</v>
      </c>
      <c r="BI127" s="157">
        <f t="shared" si="50"/>
        <v>-103.67490028069368</v>
      </c>
      <c r="BJ127" s="88"/>
      <c r="BK127" s="88"/>
      <c r="BL127" s="88"/>
      <c r="BM127" s="88"/>
      <c r="BN127" s="42"/>
      <c r="BO127" s="42"/>
      <c r="BP127" s="42"/>
    </row>
    <row r="128" spans="1:68" s="86" customFormat="1">
      <c r="A128" s="86">
        <v>64</v>
      </c>
      <c r="B128" s="86">
        <f t="shared" ref="B128:B191" si="52">Fstart*10^(Step*A128)</f>
        <v>1905.4607179632476</v>
      </c>
      <c r="C128" s="86" t="str">
        <f t="shared" ref="C128:C191" si="53">COMPLEX(0,2*PI()*B128,"j")</f>
        <v>11972.3627865145j</v>
      </c>
      <c r="D128" s="86">
        <f t="shared" ref="D128:D191" si="54">(IMPRODUCT(C128,C128))/wn^2 + 1</f>
        <v>0.99999636921945234</v>
      </c>
      <c r="E128" s="86" t="str">
        <f t="shared" ref="E128:E191" si="55">IMDIV(C128,wn*Qn)</f>
        <v>-0.00299309069662863j</v>
      </c>
      <c r="F128" s="86" t="str">
        <f t="shared" ref="F128:F191" si="56">IMSUM(D128,E128)</f>
        <v>0.999996369219452-0.00299309069662863j</v>
      </c>
      <c r="G128" s="86">
        <f t="shared" ref="G128:G191" si="57">20*LOG(IMABS(F128),10)</f>
        <v>7.3701622154349286E-6</v>
      </c>
      <c r="H128" s="86">
        <f t="shared" ref="H128:H191" si="58">(IMARGUMENT(F128)*(180/PI()))</f>
        <v>-0.17149157515665148</v>
      </c>
      <c r="J128" s="86">
        <f t="shared" ref="J128:J191" si="59">Vin/(Rout+DCR/1000)</f>
        <v>4.8</v>
      </c>
      <c r="K128" s="86" t="str">
        <f t="shared" ref="K128:K191" si="60">IMSUM(1,IMPRODUCT(C128,ncap*(Cap*10^-6)*(Rout+(ESR/(ncap*1000)))))</f>
        <v>1+0.489490052526645j</v>
      </c>
      <c r="L128" s="86">
        <f t="shared" ref="L128:L191" si="61">(IMPRODUCT(C128,C128))/Gdo^2 + 1</f>
        <v>0.97655859004304391</v>
      </c>
      <c r="M128" s="86" t="str">
        <f t="shared" ref="M128:M191" si="62">IMDIV(C128,Q*Gdo)</f>
        <v>0.0684459980505034j</v>
      </c>
      <c r="N128" s="86" t="str">
        <f t="shared" ref="N128:N191" si="63">IMSUM(L128,M128)</f>
        <v>0.976558590043044+0.0684459980505034j</v>
      </c>
      <c r="O128" s="86" t="str">
        <f t="shared" ref="O128:O191" si="64">IMDIV(K128,N128)</f>
        <v>1.0539579568978+0.427368979720008j</v>
      </c>
      <c r="P128" s="86" t="str">
        <f t="shared" ref="P128:P191" si="65">IMPRODUCT(J128,O128)</f>
        <v>5.05899819310944+2.05137110265604j</v>
      </c>
      <c r="R128" s="86">
        <f t="shared" ref="R128:R191" si="66">Vin/(1+((DCR*10^-3)/Rout))</f>
        <v>11.52</v>
      </c>
      <c r="S128" s="86" t="str">
        <f t="shared" ref="S128:S191" si="67">IMSUM(1,IMPRODUCT(C128,ncap*(Cap*10^-6)*(ESR/(ncap*1000))))</f>
        <v>1+0.00101765083685373j</v>
      </c>
      <c r="T128" s="86" t="str">
        <f t="shared" ref="T128:T191" si="68">IMSUM(L128,M128)</f>
        <v>0.976558590043044+0.0684459980505034j</v>
      </c>
      <c r="U128" s="86" t="str">
        <f t="shared" ref="U128:U191" si="69">IMDIV(S128,T128)</f>
        <v>1.01907098708305-0.0703835700788089j</v>
      </c>
      <c r="V128" s="86" t="str">
        <f t="shared" ref="V128:V191" si="70">IMPRODUCT(R128,U128)</f>
        <v>11.7396977711967-0.810818727307878j</v>
      </c>
      <c r="X128" s="86" t="str">
        <f t="shared" ref="X128:X191" si="71">IMPRODUCT(Fm,Dmax,P128,F128)</f>
        <v>3.12453203227937+1.25608869162408j</v>
      </c>
      <c r="Y128" s="86">
        <f t="shared" ref="Y128:Y191" si="72">20*LOG(IMABS(X128),10)</f>
        <v>10.546306412877177</v>
      </c>
      <c r="Z128" s="86">
        <f t="shared" ref="Z128:Z191" si="73">IF((IMARGUMENT(X128)*(180/PI()))&lt;0,(IMARGUMENT(X128)*(180/PI()))+180,(IMARGUMENT(X128)*(180/PI()))-180)</f>
        <v>-158.09944956375062</v>
      </c>
      <c r="AB128" s="86" t="str">
        <f t="shared" ref="AB128:AB191" si="74">IMPRODUCT(Fm,V128)</f>
        <v>9.78634359052743-0.675907575281659j</v>
      </c>
      <c r="AC128" s="86">
        <f t="shared" ref="AC128:AC191" si="75">20*LOG(IMABS(AB128),10)</f>
        <v>19.833076512142398</v>
      </c>
      <c r="AD128" s="86">
        <f t="shared" ref="AD128:AD191" si="76">IF((IMARGUMENT(AB128)*(180/PI()))&lt;0,(IMARGUMENT(AB128)*(180/PI()))+180,(IMARGUMENT(AB128)*(180/PI()))-180)</f>
        <v>176.04906069968806</v>
      </c>
      <c r="AF128" s="86" t="str">
        <f t="shared" ref="AF128:AF191" si="77">IMDIV(AB128,IMSUM(1,X128))</f>
        <v>2.12566439424363-0.811226717817475j</v>
      </c>
      <c r="AG128" s="86">
        <f t="shared" ref="AG128:AG191" si="78">20*LOG(IMABS(AF128),10)</f>
        <v>7.1403939843461934</v>
      </c>
      <c r="AH128" s="86">
        <f t="shared" ref="AH128:AH191" si="79">IF((IMARGUMENT(AF128)*(180/PI()))&lt;0,(IMARGUMENT(AF128)*(180/PI()))+180,(IMARGUMENT(AF128)*(180/PI()))-180)</f>
        <v>159.11142373967377</v>
      </c>
      <c r="AJ128" s="86" t="str">
        <f t="shared" ref="AJ128:AJ191" si="80">IMDIV(_Rfb1,IMSUM(1,IMPRODUCT(C128,_Cfb1*_Rfb1)))</f>
        <v>15.0499999951138-0.000271177010117208j</v>
      </c>
      <c r="AK128" s="86" t="str">
        <f t="shared" ref="AK128:AK191" si="81">IMDIV(_Rfb2,IMSUM(1,IMPRODUCT(C128,_Cfb2*_Rfb2)))</f>
        <v>30.1-1.084708040821E-11j</v>
      </c>
      <c r="AL128" s="86" t="str">
        <f t="shared" si="43"/>
        <v>10000-1856126.699339j</v>
      </c>
      <c r="AM128" s="86" t="str">
        <f t="shared" si="44"/>
        <v>963.125823765061-576042.899037136j</v>
      </c>
      <c r="AN128" s="86" t="str">
        <f t="shared" si="45"/>
        <v>10963.1258237651-576042.899037136j</v>
      </c>
      <c r="AO128" s="86" t="str">
        <f t="shared" si="46"/>
        <v>30.0999699952271-0.00157224428687105j</v>
      </c>
      <c r="AP128" s="86" t="str">
        <f t="shared" si="47"/>
        <v>0.666666666714765+4.00409014016359E-06j</v>
      </c>
      <c r="AQ128" s="86" t="str">
        <f t="shared" ref="AQ128:AQ191" si="82">IMSUM(1,IMPRODUCT(C128,_res1*_Cap1))</f>
        <v>1+0.668919853608138j</v>
      </c>
      <c r="AR128" s="86">
        <f t="shared" ref="AR128:AR191" si="83">(IMPRODUCT(C128,C128))*_res1*_Cap1*_cap2 + (1/Roerr)</f>
        <v>9.199144883750121E-8</v>
      </c>
      <c r="AS128" s="86" t="str">
        <f t="shared" ref="AS128:AS191" si="84">IMPRODUCT(C128,(_Cap1+_cap2+(_Cap1*_res1/Roerr)))</f>
        <v>0.0000035269048306635j</v>
      </c>
      <c r="AT128" s="86" t="str">
        <f t="shared" ref="AT128:AT191" si="85">IMSUM(AR128,AS128)</f>
        <v>9.19914488375012E-08+0.0000035269048306635j</v>
      </c>
      <c r="AU128" s="86" t="str">
        <f t="shared" ref="AU128:AU191" si="86">IMPRODUCT(EA_BW,IMDIV(AQ128,AT128))</f>
        <v>19.6923410442689-27.8398419380836j</v>
      </c>
      <c r="AW128" s="86" t="str">
        <f t="shared" si="48"/>
        <v>12.9729897490383-18.6678492758937j</v>
      </c>
      <c r="AX128" s="86">
        <f t="shared" ref="AX128:AX191" si="87">20*LOG(IMABS(AW128),10)</f>
        <v>27.133116303591898</v>
      </c>
      <c r="AY128" s="86">
        <f t="shared" ref="AY128:AY191" si="88">IF((IMARGUMENT(AW128)*(180/PI()))&lt;0,(IMARGUMENT(AW128)*(180/PI()))+180,(IMARGUMENT(AW128)*(180/PI()))-180)</f>
        <v>124.79688836160685</v>
      </c>
      <c r="AZ128" s="86" t="str">
        <f t="shared" ref="AZ128:AZ191" si="89">IMPRODUCT(AW128,Fm,V128)</f>
        <v>114.340394340686-191.458529155501j</v>
      </c>
      <c r="BA128" s="86">
        <f t="shared" ref="BA128:BA191" si="90">20*LOG(IMABS(AZ128),10)</f>
        <v>46.966192815734303</v>
      </c>
      <c r="BB128" s="86">
        <f t="shared" ref="BB128:BB191" si="91">IF((IMARGUMENT(AZ128)*(180/PI()))&lt;0,(IMARGUMENT(AZ128)*(180/PI()))+180,(IMARGUMENT(AZ128)*(180/PI()))-180)</f>
        <v>120.84594906129482</v>
      </c>
      <c r="BD128" s="86" t="str">
        <f t="shared" ref="BD128:BD191" si="92">IMDIV(AZ128,IMSUM(1,X128))</f>
        <v>12.4323642996237-50.2056184172661j</v>
      </c>
      <c r="BE128" s="86">
        <f t="shared" ref="BE128:BE191" si="93">20*LOG(IMABS(BD128),10)</f>
        <v>34.273510287938095</v>
      </c>
      <c r="BF128" s="86">
        <f t="shared" ref="BF128:BF191" si="94">IF((IMARGUMENT(BD128)*(180/PI()))&lt;0,(IMARGUMENT(BD128)*(180/PI()))+180,(IMARGUMENT(BD128)*(180/PI()))-180)</f>
        <v>103.90831210128053</v>
      </c>
      <c r="BH128" s="86">
        <f t="shared" si="49"/>
        <v>-33.273510287938095</v>
      </c>
      <c r="BI128" s="157">
        <f t="shared" si="50"/>
        <v>-103.90831210128053</v>
      </c>
      <c r="BJ128" s="88"/>
      <c r="BK128" s="88"/>
      <c r="BL128" s="88"/>
      <c r="BM128" s="88"/>
      <c r="BN128" s="42"/>
      <c r="BO128" s="42"/>
      <c r="BP128" s="42"/>
    </row>
    <row r="129" spans="1:68" s="86" customFormat="1">
      <c r="A129" s="86">
        <v>65</v>
      </c>
      <c r="B129" s="86">
        <f t="shared" si="52"/>
        <v>1995.2623149688804</v>
      </c>
      <c r="C129" s="86" t="str">
        <f t="shared" si="53"/>
        <v>12536.6028613816j</v>
      </c>
      <c r="D129" s="86">
        <f t="shared" si="54"/>
        <v>0.99999601892829448</v>
      </c>
      <c r="E129" s="86" t="str">
        <f t="shared" si="55"/>
        <v>-0.0031341507153454j</v>
      </c>
      <c r="F129" s="86" t="str">
        <f t="shared" si="56"/>
        <v>0.999996018928294-0.0031341507153454j</v>
      </c>
      <c r="G129" s="86">
        <f t="shared" si="57"/>
        <v>8.0812275649804697E-6</v>
      </c>
      <c r="H129" s="86">
        <f t="shared" si="58"/>
        <v>-0.17957373526399162</v>
      </c>
      <c r="J129" s="86">
        <f t="shared" si="59"/>
        <v>4.8</v>
      </c>
      <c r="K129" s="86" t="str">
        <f t="shared" si="60"/>
        <v>1+0.512559007987587j</v>
      </c>
      <c r="L129" s="86">
        <f t="shared" si="61"/>
        <v>0.97429700509534367</v>
      </c>
      <c r="M129" s="86" t="str">
        <f t="shared" si="62"/>
        <v>0.0716717585585186j</v>
      </c>
      <c r="N129" s="86" t="str">
        <f t="shared" si="63"/>
        <v>0.974297005095344+0.0716717585585186j</v>
      </c>
      <c r="O129" s="86" t="str">
        <f t="shared" si="64"/>
        <v>1.05934830280891+0.448152513982696j</v>
      </c>
      <c r="P129" s="86" t="str">
        <f t="shared" si="65"/>
        <v>5.08487185348277+2.15113206711694j</v>
      </c>
      <c r="R129" s="86">
        <f t="shared" si="66"/>
        <v>11.52</v>
      </c>
      <c r="S129" s="86" t="str">
        <f t="shared" si="67"/>
        <v>1+0.00106561124321744j</v>
      </c>
      <c r="T129" s="86" t="str">
        <f t="shared" si="68"/>
        <v>0.974297005095344+0.0716717585585186j</v>
      </c>
      <c r="U129" s="86" t="str">
        <f t="shared" si="69"/>
        <v>1.02093677942101-0.0740089754334205j</v>
      </c>
      <c r="V129" s="86" t="str">
        <f t="shared" si="70"/>
        <v>11.76119169893-0.852583396993004j</v>
      </c>
      <c r="X129" s="86" t="str">
        <f t="shared" si="71"/>
        <v>3.14086299678159+1.31713754078542j</v>
      </c>
      <c r="Y129" s="86">
        <f t="shared" si="72"/>
        <v>10.644531844768663</v>
      </c>
      <c r="Z129" s="86">
        <f t="shared" si="73"/>
        <v>-157.249001234156</v>
      </c>
      <c r="AB129" s="86" t="str">
        <f t="shared" si="74"/>
        <v>9.80426116949817-0.710723071851454j</v>
      </c>
      <c r="AC129" s="86">
        <f t="shared" si="75"/>
        <v>19.851059766096572</v>
      </c>
      <c r="AD129" s="86">
        <f t="shared" si="76"/>
        <v>175.8538103308361</v>
      </c>
      <c r="AF129" s="86" t="str">
        <f t="shared" si="77"/>
        <v>2.10056283180283-0.839789492456109j</v>
      </c>
      <c r="AG129" s="86">
        <f t="shared" si="78"/>
        <v>7.0906723742451163</v>
      </c>
      <c r="AH129" s="86">
        <f t="shared" si="79"/>
        <v>158.20883494920815</v>
      </c>
      <c r="AJ129" s="86" t="str">
        <f t="shared" si="80"/>
        <v>15.0499999946424-0.000283957188859924j</v>
      </c>
      <c r="AK129" s="86" t="str">
        <f t="shared" si="81"/>
        <v>30.1-1.13582875584403E-11j</v>
      </c>
      <c r="AL129" s="86" t="str">
        <f t="shared" ref="AL129:AL192" si="95">IMDIV(IMSUM(1,IMPRODUCT(C129,10000,0.000000000045)),IMPRODUCT(C129,0.000000000045))</f>
        <v>10000-1772587.23658518j</v>
      </c>
      <c r="AM129" s="86" t="str">
        <f t="shared" ref="AM129:AM192" si="96">IMDIV(AL129,IMSUM(1,IMPRODUCT(C129,AL129,0.0000000001)))</f>
        <v>963.124540978539-550117.027519154j</v>
      </c>
      <c r="AN129" s="86" t="str">
        <f t="shared" ref="AN129:AN192" si="97">IMSUM(10000,AM129)</f>
        <v>10963.1245409785-550117.027519154j</v>
      </c>
      <c r="AO129" s="86" t="str">
        <f t="shared" ref="AO129:AO192" si="98">IMDIV(IMPRODUCT(AN129,AK129),IMSUM(AN129,AK129))</f>
        <v>30.0999671016196-0.00164628306643966j</v>
      </c>
      <c r="AP129" s="86" t="str">
        <f t="shared" ref="AP129:AP192" si="99">IMDIV(AK129,IMSUM(AJ129,AK129))</f>
        <v>0.666666666719406+0.0000041927970946761j</v>
      </c>
      <c r="AQ129" s="86" t="str">
        <f t="shared" si="82"/>
        <v>1+0.700445075071113j</v>
      </c>
      <c r="AR129" s="86">
        <f t="shared" si="83"/>
        <v>9.1218798267622852E-8</v>
      </c>
      <c r="AS129" s="86" t="str">
        <f t="shared" si="84"/>
        <v>3.69312273444639E-06j</v>
      </c>
      <c r="AT129" s="86" t="str">
        <f t="shared" si="85"/>
        <v>9.12187982676229E-08+3.69312273444639E-06j</v>
      </c>
      <c r="AU129" s="86" t="str">
        <f t="shared" si="86"/>
        <v>19.6230302994222-26.5926744978432j</v>
      </c>
      <c r="AW129" s="86" t="str">
        <f t="shared" ref="AW129:AW192" si="100">IMDIV(IMPRODUCT(AP129,AU129),IMPRODUCT(IMSUM(1,IMPRODUCT(C129,1/1500000)),IMSUM(1,IMPRODUCT(C129,1/35000000))))</f>
        <v>12.9266688252344-17.8410886628343j</v>
      </c>
      <c r="AX129" s="86">
        <f t="shared" si="87"/>
        <v>26.861026454451206</v>
      </c>
      <c r="AY129" s="86">
        <f t="shared" si="88"/>
        <v>125.92501456088087</v>
      </c>
      <c r="AZ129" s="86" t="str">
        <f t="shared" si="89"/>
        <v>114.056363874584-184.105974574877j</v>
      </c>
      <c r="BA129" s="86">
        <f t="shared" si="90"/>
        <v>46.712086220547747</v>
      </c>
      <c r="BB129" s="86">
        <f t="shared" si="91"/>
        <v>121.77882489171694</v>
      </c>
      <c r="BD129" s="86" t="str">
        <f t="shared" si="92"/>
        <v>12.1705212802856-48.3320083759403j</v>
      </c>
      <c r="BE129" s="86">
        <f t="shared" si="93"/>
        <v>33.951698828696301</v>
      </c>
      <c r="BF129" s="86">
        <f t="shared" si="94"/>
        <v>104.13384951008895</v>
      </c>
      <c r="BH129" s="86">
        <f t="shared" ref="BH129:BH192" si="101">1-BE129</f>
        <v>-32.951698828696301</v>
      </c>
      <c r="BI129" s="157">
        <f t="shared" ref="BI129:BI192" si="102">+-1*BF129</f>
        <v>-104.13384951008895</v>
      </c>
      <c r="BJ129" s="88"/>
      <c r="BK129" s="88"/>
      <c r="BL129" s="88"/>
      <c r="BM129" s="88"/>
      <c r="BN129" s="42"/>
      <c r="BO129" s="42"/>
      <c r="BP129" s="42"/>
    </row>
    <row r="130" spans="1:68" s="86" customFormat="1">
      <c r="A130" s="86">
        <v>66</v>
      </c>
      <c r="B130" s="86">
        <f t="shared" si="52"/>
        <v>2089.2961308540398</v>
      </c>
      <c r="C130" s="86" t="str">
        <f t="shared" si="53"/>
        <v>13127.4347517293j</v>
      </c>
      <c r="D130" s="86">
        <f t="shared" si="54"/>
        <v>0.99999563484167764</v>
      </c>
      <c r="E130" s="86" t="str">
        <f t="shared" si="55"/>
        <v>-0.00328185868793233j</v>
      </c>
      <c r="F130" s="86" t="str">
        <f t="shared" si="56"/>
        <v>0.999995634841678-0.00328185868793233j</v>
      </c>
      <c r="G130" s="86">
        <f t="shared" si="57"/>
        <v>8.8608963154830972E-6</v>
      </c>
      <c r="H130" s="86">
        <f t="shared" si="58"/>
        <v>-0.18803679749676025</v>
      </c>
      <c r="J130" s="86">
        <f t="shared" si="59"/>
        <v>4.8</v>
      </c>
      <c r="K130" s="86" t="str">
        <f t="shared" si="60"/>
        <v>1+0.536715169824452j</v>
      </c>
      <c r="L130" s="86">
        <f t="shared" si="61"/>
        <v>0.97181722651146474</v>
      </c>
      <c r="M130" s="86" t="str">
        <f t="shared" si="62"/>
        <v>0.0750495444756364j</v>
      </c>
      <c r="N130" s="86" t="str">
        <f t="shared" si="63"/>
        <v>0.971817226511465+0.0750495444756364j</v>
      </c>
      <c r="O130" s="86" t="str">
        <f t="shared" si="64"/>
        <v>1.06529716457324+0.47001132561901j</v>
      </c>
      <c r="P130" s="86" t="str">
        <f t="shared" si="65"/>
        <v>5.11342638995155+2.25605436297125j</v>
      </c>
      <c r="R130" s="86">
        <f t="shared" si="66"/>
        <v>11.52</v>
      </c>
      <c r="S130" s="86" t="str">
        <f t="shared" si="67"/>
        <v>1+0.00111583195389699j</v>
      </c>
      <c r="T130" s="86" t="str">
        <f t="shared" si="68"/>
        <v>0.971817226511465+0.0750495444756364j</v>
      </c>
      <c r="U130" s="86" t="str">
        <f t="shared" si="69"/>
        <v>1.0229877973496-0.0778530511471982j</v>
      </c>
      <c r="V130" s="86" t="str">
        <f t="shared" si="70"/>
        <v>11.7848194254674-0.896867149215723j</v>
      </c>
      <c r="X130" s="86" t="str">
        <f t="shared" si="71"/>
        <v>3.15888463594452+1.38133927922992j</v>
      </c>
      <c r="Y130" s="86">
        <f t="shared" si="72"/>
        <v>10.75059487879577</v>
      </c>
      <c r="Z130" s="86">
        <f t="shared" si="73"/>
        <v>-156.38086500611547</v>
      </c>
      <c r="AB130" s="86" t="str">
        <f t="shared" si="74"/>
        <v>9.82395750705852-0.747638503847718j</v>
      </c>
      <c r="AC130" s="86">
        <f t="shared" si="75"/>
        <v>19.870810228080909</v>
      </c>
      <c r="AD130" s="86">
        <f t="shared" si="76"/>
        <v>175.64797410373731</v>
      </c>
      <c r="AF130" s="86" t="str">
        <f t="shared" si="77"/>
        <v>2.07368742703049-0.868527193188138j</v>
      </c>
      <c r="AG130" s="86">
        <f t="shared" si="78"/>
        <v>7.0367983600795316</v>
      </c>
      <c r="AH130" s="86">
        <f t="shared" si="79"/>
        <v>157.27449193450707</v>
      </c>
      <c r="AJ130" s="86" t="str">
        <f t="shared" si="80"/>
        <v>15.0499999941255-0.000297339678869296j</v>
      </c>
      <c r="AK130" s="86" t="str">
        <f t="shared" si="81"/>
        <v>30.1-1.18935871594143E-11j</v>
      </c>
      <c r="AL130" s="86" t="str">
        <f t="shared" si="95"/>
        <v>10000-1692807.66901506j</v>
      </c>
      <c r="AM130" s="86" t="str">
        <f t="shared" si="96"/>
        <v>963.123134435021-525358.027971052j</v>
      </c>
      <c r="AN130" s="86" t="str">
        <f t="shared" si="97"/>
        <v>10963.123134435-525358.027971052j</v>
      </c>
      <c r="AO130" s="86" t="str">
        <f t="shared" si="98"/>
        <v>30.0999639290843-0.00172380247832295j</v>
      </c>
      <c r="AP130" s="86" t="str">
        <f t="shared" si="99"/>
        <v>0.666666666724494+0.0000043903975339532j</v>
      </c>
      <c r="AQ130" s="86" t="str">
        <f t="shared" si="82"/>
        <v>1+0.733456034448619j</v>
      </c>
      <c r="AR130" s="86">
        <f t="shared" si="83"/>
        <v>9.0371603764513634E-8</v>
      </c>
      <c r="AS130" s="86" t="str">
        <f t="shared" si="84"/>
        <v>3.86717424669463E-06j</v>
      </c>
      <c r="AT130" s="86" t="str">
        <f t="shared" si="85"/>
        <v>9.03716037645136E-08+3.86717424669463E-06j</v>
      </c>
      <c r="AU130" s="86" t="str">
        <f t="shared" si="86"/>
        <v>19.55980787036-25.4015833078614j</v>
      </c>
      <c r="AW130" s="86" t="str">
        <f t="shared" si="100"/>
        <v>12.884397813927-17.0519509104053j</v>
      </c>
      <c r="AX130" s="86">
        <f t="shared" si="87"/>
        <v>26.597039776751664</v>
      </c>
      <c r="AY130" s="86">
        <f t="shared" si="88"/>
        <v>127.07457394393691</v>
      </c>
      <c r="AZ130" s="86" t="str">
        <f t="shared" si="89"/>
        <v>113.827081561716-177.150513060853j</v>
      </c>
      <c r="BA130" s="86">
        <f t="shared" si="90"/>
        <v>46.46785000483257</v>
      </c>
      <c r="BB130" s="86">
        <f t="shared" si="91"/>
        <v>122.7225480476741</v>
      </c>
      <c r="BD130" s="86" t="str">
        <f t="shared" si="92"/>
        <v>11.9081306890032-46.550866078498j</v>
      </c>
      <c r="BE130" s="86">
        <f t="shared" si="93"/>
        <v>33.633838136831187</v>
      </c>
      <c r="BF130" s="86">
        <f t="shared" si="94"/>
        <v>104.34906587844384</v>
      </c>
      <c r="BH130" s="86">
        <f t="shared" si="101"/>
        <v>-32.633838136831187</v>
      </c>
      <c r="BI130" s="157">
        <f t="shared" si="102"/>
        <v>-104.34906587844384</v>
      </c>
      <c r="BJ130" s="88"/>
      <c r="BK130" s="88"/>
      <c r="BL130" s="88"/>
      <c r="BM130" s="88"/>
      <c r="BN130" s="42"/>
      <c r="BO130" s="42"/>
      <c r="BP130" s="42"/>
    </row>
    <row r="131" spans="1:68" s="86" customFormat="1">
      <c r="A131" s="86">
        <v>67</v>
      </c>
      <c r="B131" s="86">
        <f t="shared" si="52"/>
        <v>2187.7616239495537</v>
      </c>
      <c r="C131" s="86" t="str">
        <f t="shared" si="53"/>
        <v>13746.1116912112j</v>
      </c>
      <c r="D131" s="86">
        <f t="shared" si="54"/>
        <v>0.99999521369907673</v>
      </c>
      <c r="E131" s="86" t="str">
        <f t="shared" si="55"/>
        <v>-0.0034365279228028j</v>
      </c>
      <c r="F131" s="86" t="str">
        <f t="shared" si="56"/>
        <v>0.999995213699077-0.0034365279228028j</v>
      </c>
      <c r="G131" s="86">
        <f t="shared" si="57"/>
        <v>9.7157874054329882E-6</v>
      </c>
      <c r="H131" s="86">
        <f t="shared" si="58"/>
        <v>-0.19689871346418703</v>
      </c>
      <c r="J131" s="86">
        <f t="shared" si="59"/>
        <v>4.8</v>
      </c>
      <c r="K131" s="86" t="str">
        <f t="shared" si="60"/>
        <v>1+0.56200977649517j</v>
      </c>
      <c r="L131" s="86">
        <f t="shared" si="61"/>
        <v>0.96909820336297903</v>
      </c>
      <c r="M131" s="86" t="str">
        <f t="shared" si="62"/>
        <v>0.0785865205386544j</v>
      </c>
      <c r="N131" s="86" t="str">
        <f t="shared" si="63"/>
        <v>0.969098203362979+0.0785865205386544j</v>
      </c>
      <c r="O131" s="86" t="str">
        <f t="shared" si="64"/>
        <v>1.07186657642413+0.4930104194955j</v>
      </c>
      <c r="P131" s="86" t="str">
        <f t="shared" si="65"/>
        <v>5.14495956683582+2.3664500135784j</v>
      </c>
      <c r="R131" s="86">
        <f t="shared" si="66"/>
        <v>11.52</v>
      </c>
      <c r="S131" s="86" t="str">
        <f t="shared" si="67"/>
        <v>1+0.00116841949375295j</v>
      </c>
      <c r="T131" s="86" t="str">
        <f t="shared" si="68"/>
        <v>0.969098203362979+0.0785865205386544j</v>
      </c>
      <c r="U131" s="86" t="str">
        <f t="shared" si="69"/>
        <v>1.02524296052948-0.081933757802322j</v>
      </c>
      <c r="V131" s="86" t="str">
        <f t="shared" si="70"/>
        <v>11.8107989052996-0.943876889882749j</v>
      </c>
      <c r="X131" s="86" t="str">
        <f t="shared" si="71"/>
        <v>3.17878443786671+1.44888365994441j</v>
      </c>
      <c r="Y131" s="86">
        <f t="shared" si="72"/>
        <v>10.864998631714107</v>
      </c>
      <c r="Z131" s="86">
        <f t="shared" si="73"/>
        <v>-155.49659529270784</v>
      </c>
      <c r="AB131" s="86" t="str">
        <f t="shared" si="74"/>
        <v>9.84561429251384-0.786826350352408j</v>
      </c>
      <c r="AC131" s="86">
        <f t="shared" si="75"/>
        <v>19.892504970796459</v>
      </c>
      <c r="AD131" s="86">
        <f t="shared" si="76"/>
        <v>175.43083650178087</v>
      </c>
      <c r="AF131" s="86" t="str">
        <f t="shared" si="77"/>
        <v>2.0449696251572-0.897330188019842j</v>
      </c>
      <c r="AG131" s="86">
        <f t="shared" si="78"/>
        <v>6.9784827122035651</v>
      </c>
      <c r="AH131" s="86">
        <f t="shared" si="79"/>
        <v>156.3081923235585</v>
      </c>
      <c r="AJ131" s="86" t="str">
        <f t="shared" si="80"/>
        <v>15.0499999935588-0.0003113528662006j</v>
      </c>
      <c r="AK131" s="86" t="str">
        <f t="shared" si="81"/>
        <v>30.1-1.24541146533543E-11j</v>
      </c>
      <c r="AL131" s="86" t="str">
        <f t="shared" si="95"/>
        <v>10000-1616618.77346962j</v>
      </c>
      <c r="AM131" s="86" t="str">
        <f t="shared" si="96"/>
        <v>963.121592195433-501713.38323515j</v>
      </c>
      <c r="AN131" s="86" t="str">
        <f t="shared" si="97"/>
        <v>10963.1215921954-501713.38323515j</v>
      </c>
      <c r="AO131" s="86" t="str">
        <f t="shared" si="98"/>
        <v>30.09996045076-0.00180496527090838j</v>
      </c>
      <c r="AP131" s="86" t="str">
        <f t="shared" si="99"/>
        <v>0.666666666730072+4.59731059501769E-06j</v>
      </c>
      <c r="AQ131" s="86" t="str">
        <f t="shared" si="82"/>
        <v>1+0.768022752411352j</v>
      </c>
      <c r="AR131" s="86">
        <f t="shared" si="83"/>
        <v>8.9442673463962119E-8</v>
      </c>
      <c r="AS131" s="86" t="str">
        <f t="shared" si="84"/>
        <v>4.04942855400117E-06j</v>
      </c>
      <c r="AT131" s="86" t="str">
        <f t="shared" si="85"/>
        <v>8.94426734639621E-08+4.04942855400117E-06j</v>
      </c>
      <c r="AU131" s="86" t="str">
        <f t="shared" si="86"/>
        <v>19.5021393198679-24.2640844777665j</v>
      </c>
      <c r="AW131" s="86" t="str">
        <f t="shared" si="100"/>
        <v>12.8458193826327-16.2987905146478j</v>
      </c>
      <c r="AX131" s="86">
        <f t="shared" si="87"/>
        <v>26.341402315409027</v>
      </c>
      <c r="AY131" s="86">
        <f t="shared" si="88"/>
        <v>128.24325471592945</v>
      </c>
      <c r="AZ131" s="86" t="str">
        <f t="shared" si="89"/>
        <v>113.650665056901-170.579034023828j</v>
      </c>
      <c r="BA131" s="86">
        <f t="shared" si="90"/>
        <v>46.233907286205465</v>
      </c>
      <c r="BB131" s="86">
        <f t="shared" si="91"/>
        <v>123.6740912177104</v>
      </c>
      <c r="BD131" s="86" t="str">
        <f t="shared" si="92"/>
        <v>11.6439136907346-44.8574730511417j</v>
      </c>
      <c r="BE131" s="86">
        <f t="shared" si="93"/>
        <v>33.319885027612585</v>
      </c>
      <c r="BF131" s="86">
        <f t="shared" si="94"/>
        <v>104.55144703948802</v>
      </c>
      <c r="BH131" s="86">
        <f t="shared" si="101"/>
        <v>-32.319885027612585</v>
      </c>
      <c r="BI131" s="157">
        <f t="shared" si="102"/>
        <v>-104.55144703948802</v>
      </c>
      <c r="BJ131" s="88"/>
      <c r="BK131" s="88"/>
      <c r="BL131" s="88"/>
      <c r="BM131" s="88"/>
      <c r="BN131" s="42"/>
      <c r="BO131" s="42"/>
      <c r="BP131" s="42"/>
    </row>
    <row r="132" spans="1:68" s="86" customFormat="1">
      <c r="A132" s="86">
        <v>68</v>
      </c>
      <c r="B132" s="86">
        <f t="shared" si="52"/>
        <v>2290.867652767774</v>
      </c>
      <c r="C132" s="86" t="str">
        <f t="shared" si="53"/>
        <v>14393.9459765635j</v>
      </c>
      <c r="D132" s="86">
        <f t="shared" si="54"/>
        <v>0.99999475192539755</v>
      </c>
      <c r="E132" s="86" t="str">
        <f t="shared" si="55"/>
        <v>-0.00359848649414088j</v>
      </c>
      <c r="F132" s="86" t="str">
        <f t="shared" si="56"/>
        <v>0.999994751925398-0.00359848649414088j</v>
      </c>
      <c r="G132" s="86">
        <f t="shared" si="57"/>
        <v>1.0653158424809669E-5</v>
      </c>
      <c r="H132" s="86">
        <f t="shared" si="58"/>
        <v>-0.2061782808450964</v>
      </c>
      <c r="J132" s="86">
        <f t="shared" si="59"/>
        <v>4.8</v>
      </c>
      <c r="K132" s="86" t="str">
        <f t="shared" si="60"/>
        <v>1+0.588496481251799j</v>
      </c>
      <c r="L132" s="86">
        <f t="shared" si="61"/>
        <v>0.96611685376585554</v>
      </c>
      <c r="M132" s="86" t="str">
        <f t="shared" si="62"/>
        <v>0.0822901891480135j</v>
      </c>
      <c r="N132" s="86" t="str">
        <f t="shared" si="63"/>
        <v>0.966116853765856+0.0822901891480135j</v>
      </c>
      <c r="O132" s="86" t="str">
        <f t="shared" si="64"/>
        <v>1.07912632786917+0.517220012950884j</v>
      </c>
      <c r="P132" s="86" t="str">
        <f t="shared" si="65"/>
        <v>5.17980637377202+2.48265606216424j</v>
      </c>
      <c r="R132" s="86">
        <f t="shared" si="66"/>
        <v>11.52</v>
      </c>
      <c r="S132" s="86" t="str">
        <f t="shared" si="67"/>
        <v>1+0.0012234854080079j</v>
      </c>
      <c r="T132" s="86" t="str">
        <f t="shared" si="68"/>
        <v>0.966116853765856+0.0822901891480135j</v>
      </c>
      <c r="U132" s="86" t="str">
        <f t="shared" si="69"/>
        <v>1.02772322352384-0.0862711924781043j</v>
      </c>
      <c r="V132" s="86" t="str">
        <f t="shared" si="70"/>
        <v>11.8393715349946-0.993844137347762j</v>
      </c>
      <c r="X132" s="86" t="str">
        <f t="shared" si="71"/>
        <v>3.2007732707674+1.5199755265039j</v>
      </c>
      <c r="Y132" s="86">
        <f t="shared" si="72"/>
        <v>10.988262341348143</v>
      </c>
      <c r="Z132" s="86">
        <f t="shared" si="73"/>
        <v>-154.59800417981131</v>
      </c>
      <c r="AB132" s="86" t="str">
        <f t="shared" si="74"/>
        <v>9.86943275674775-0.828479607659021j</v>
      </c>
      <c r="AC132" s="86">
        <f t="shared" si="75"/>
        <v>19.916339498573063</v>
      </c>
      <c r="AD132" s="86">
        <f t="shared" si="76"/>
        <v>175.20161306860248</v>
      </c>
      <c r="AF132" s="86" t="str">
        <f t="shared" si="77"/>
        <v>2.01434783814213-0.926076884599492j</v>
      </c>
      <c r="AG132" s="86">
        <f t="shared" si="78"/>
        <v>6.9154257320367378</v>
      </c>
      <c r="AH132" s="86">
        <f t="shared" si="79"/>
        <v>155.30985190609127</v>
      </c>
      <c r="AJ132" s="86" t="str">
        <f t="shared" si="80"/>
        <v>15.0499999929373-0.00032602647470266j</v>
      </c>
      <c r="AK132" s="86" t="str">
        <f t="shared" si="81"/>
        <v>30.1-1.30410589942263E-11j</v>
      </c>
      <c r="AL132" s="86" t="str">
        <f t="shared" si="95"/>
        <v>10000-1543858.94308655j</v>
      </c>
      <c r="AM132" s="86" t="str">
        <f t="shared" si="96"/>
        <v>963.119901169031-479132.939849703j</v>
      </c>
      <c r="AN132" s="86" t="str">
        <f t="shared" si="97"/>
        <v>10963.119901169-479132.939849703j</v>
      </c>
      <c r="AO132" s="86" t="str">
        <f t="shared" si="98"/>
        <v>30.0999566372033-0.00188994167208231j</v>
      </c>
      <c r="AP132" s="86" t="str">
        <f t="shared" si="99"/>
        <v>0.66666666673619+4.81397516821159E-06j</v>
      </c>
      <c r="AQ132" s="86" t="str">
        <f t="shared" si="82"/>
        <v>1+0.804218549602556j</v>
      </c>
      <c r="AR132" s="86">
        <f t="shared" si="83"/>
        <v>8.8424121643670528E-8</v>
      </c>
      <c r="AS132" s="86" t="str">
        <f t="shared" si="84"/>
        <v>4.24027224218711E-06j</v>
      </c>
      <c r="AT132" s="86" t="str">
        <f t="shared" si="85"/>
        <v>8.84241216436705E-08+4.24027224218711E-06j</v>
      </c>
      <c r="AU132" s="86" t="str">
        <f t="shared" si="86"/>
        <v>19.4495369780177-23.1778023114974j</v>
      </c>
      <c r="AW132" s="86" t="str">
        <f t="shared" si="100"/>
        <v>12.8106072921526-15.5800346248154j</v>
      </c>
      <c r="AX132" s="86">
        <f t="shared" si="87"/>
        <v>26.094334002947974</v>
      </c>
      <c r="AY132" s="86">
        <f t="shared" si="88"/>
        <v>129.42858462450249</v>
      </c>
      <c r="AZ132" s="86" t="str">
        <f t="shared" si="89"/>
        <v>113.525686269721-164.379430980694j</v>
      </c>
      <c r="BA132" s="86">
        <f t="shared" si="90"/>
        <v>46.010673501521033</v>
      </c>
      <c r="BB132" s="86">
        <f t="shared" si="91"/>
        <v>124.6301976931048</v>
      </c>
      <c r="BD132" s="86" t="str">
        <f t="shared" si="92"/>
        <v>11.376709176934-43.2472163556206j</v>
      </c>
      <c r="BE132" s="86">
        <f t="shared" si="93"/>
        <v>33.009759734984698</v>
      </c>
      <c r="BF132" s="86">
        <f t="shared" si="94"/>
        <v>104.73843653059362</v>
      </c>
      <c r="BH132" s="86">
        <f t="shared" si="101"/>
        <v>-32.009759734984698</v>
      </c>
      <c r="BI132" s="157">
        <f t="shared" si="102"/>
        <v>-104.73843653059362</v>
      </c>
      <c r="BJ132" s="88"/>
      <c r="BK132" s="88"/>
      <c r="BL132" s="88"/>
      <c r="BM132" s="88"/>
      <c r="BN132" s="42"/>
      <c r="BO132" s="42"/>
      <c r="BP132" s="42"/>
    </row>
    <row r="133" spans="1:68" s="86" customFormat="1">
      <c r="A133" s="86">
        <v>69</v>
      </c>
      <c r="B133" s="86">
        <f t="shared" si="52"/>
        <v>2398.8329190194918</v>
      </c>
      <c r="C133" s="86" t="str">
        <f t="shared" si="53"/>
        <v>15072.311751162j</v>
      </c>
      <c r="D133" s="86">
        <f t="shared" si="54"/>
        <v>0.99999424560062666</v>
      </c>
      <c r="E133" s="86" t="str">
        <f t="shared" si="55"/>
        <v>-0.0037680779377905j</v>
      </c>
      <c r="F133" s="86" t="str">
        <f t="shared" si="56"/>
        <v>0.999994245600627-0.0037680779377905j</v>
      </c>
      <c r="G133" s="86">
        <f t="shared" si="57"/>
        <v>1.1680967201761373E-5</v>
      </c>
      <c r="H133" s="86">
        <f t="shared" si="58"/>
        <v>-0.21589518326731078</v>
      </c>
      <c r="J133" s="86">
        <f t="shared" si="59"/>
        <v>4.8</v>
      </c>
      <c r="K133" s="86" t="str">
        <f t="shared" si="60"/>
        <v>1+0.616231465946258j</v>
      </c>
      <c r="L133" s="86">
        <f t="shared" si="61"/>
        <v>0.96284786893752972</v>
      </c>
      <c r="M133" s="86" t="str">
        <f t="shared" si="62"/>
        <v>0.0861684062813931j</v>
      </c>
      <c r="N133" s="86" t="str">
        <f t="shared" si="63"/>
        <v>0.96284786893753+0.0861684062813931j</v>
      </c>
      <c r="O133" s="86" t="str">
        <f t="shared" si="64"/>
        <v>1.08715511077092+0.542716102437944j</v>
      </c>
      <c r="P133" s="86" t="str">
        <f t="shared" si="65"/>
        <v>5.21834453170042+2.60503729170213j</v>
      </c>
      <c r="R133" s="86">
        <f t="shared" si="66"/>
        <v>11.52</v>
      </c>
      <c r="S133" s="86" t="str">
        <f t="shared" si="67"/>
        <v>1+0.00128114649884877j</v>
      </c>
      <c r="T133" s="86" t="str">
        <f t="shared" si="68"/>
        <v>0.96284786893753+0.0861684062813931j</v>
      </c>
      <c r="U133" s="86" t="str">
        <f t="shared" si="69"/>
        <v>1.03045181325255-0.0908879240657826j</v>
      </c>
      <c r="V133" s="86" t="str">
        <f t="shared" si="70"/>
        <v>11.8708048886694-1.04702888523782j</v>
      </c>
      <c r="X133" s="86" t="str">
        <f t="shared" si="71"/>
        <v>3.22508882980814+1.59483643510992j</v>
      </c>
      <c r="Y133" s="86">
        <f t="shared" si="72"/>
        <v>11.120920306523473</v>
      </c>
      <c r="Z133" s="86">
        <f t="shared" si="73"/>
        <v>-153.68717608813532</v>
      </c>
      <c r="AB133" s="86" t="str">
        <f t="shared" si="74"/>
        <v>9.89563595254202-0.872815009367973j</v>
      </c>
      <c r="AC133" s="86">
        <f t="shared" si="75"/>
        <v>19.942529803506368</v>
      </c>
      <c r="AD133" s="86">
        <f t="shared" si="76"/>
        <v>174.95944108172546</v>
      </c>
      <c r="AF133" s="86" t="str">
        <f t="shared" si="77"/>
        <v>1.98176924695398-0.95463384862696j</v>
      </c>
      <c r="AG133" s="86">
        <f t="shared" si="78"/>
        <v>6.8473184997098411</v>
      </c>
      <c r="AH133" s="86">
        <f t="shared" si="79"/>
        <v>154.27951701746719</v>
      </c>
      <c r="AJ133" s="86" t="str">
        <f t="shared" si="80"/>
        <v>15.0499999922559-0.000341391629066092j</v>
      </c>
      <c r="AK133" s="86" t="str">
        <f t="shared" si="81"/>
        <v>30.1-1.36556651696703E-11j</v>
      </c>
      <c r="AL133" s="86" t="str">
        <f t="shared" si="95"/>
        <v>10000-1474373.84451055j</v>
      </c>
      <c r="AM133" s="86" t="str">
        <f t="shared" si="96"/>
        <v>963.11804700228-457568.801666691j</v>
      </c>
      <c r="AN133" s="86" t="str">
        <f t="shared" si="97"/>
        <v>10963.1180470023-457568.801666691j</v>
      </c>
      <c r="AO133" s="86" t="str">
        <f t="shared" si="98"/>
        <v>30.0999524561428-0.00197890971360106j</v>
      </c>
      <c r="AP133" s="86" t="str">
        <f t="shared" si="99"/>
        <v>0.666666666742898+5.04085082814103E-06j</v>
      </c>
      <c r="AQ133" s="86" t="str">
        <f t="shared" si="82"/>
        <v>1+0.842120202160923j</v>
      </c>
      <c r="AR133" s="86">
        <f t="shared" si="83"/>
        <v>8.7307301781079E-8</v>
      </c>
      <c r="AS133" s="86" t="str">
        <f t="shared" si="84"/>
        <v>4.44011011630191E-06j</v>
      </c>
      <c r="AT133" s="86" t="str">
        <f t="shared" si="85"/>
        <v>8.7307301781079E-08+4.44011011630191E-06j</v>
      </c>
      <c r="AU133" s="86" t="str">
        <f t="shared" si="86"/>
        <v>19.4015558661024-22.1404649731645j</v>
      </c>
      <c r="AW133" s="86" t="str">
        <f t="shared" si="100"/>
        <v>12.7784636696664-14.8941801767037j</v>
      </c>
      <c r="AX133" s="86">
        <f t="shared" si="87"/>
        <v>25.856025422975378</v>
      </c>
      <c r="AY133" s="86">
        <f t="shared" si="88"/>
        <v>130.62794736393477</v>
      </c>
      <c r="AZ133" s="86" t="str">
        <f t="shared" si="89"/>
        <v>113.451160497345-158.540619727776j</v>
      </c>
      <c r="BA133" s="86">
        <f t="shared" si="90"/>
        <v>45.798555226481746</v>
      </c>
      <c r="BB133" s="86">
        <f t="shared" si="91"/>
        <v>125.58738844566022</v>
      </c>
      <c r="BD133" s="86" t="str">
        <f t="shared" si="92"/>
        <v>11.1054777796335-41.7155821852964j</v>
      </c>
      <c r="BE133" s="86">
        <f t="shared" si="93"/>
        <v>32.703343922685214</v>
      </c>
      <c r="BF133" s="86">
        <f t="shared" si="94"/>
        <v>104.90746438140189</v>
      </c>
      <c r="BH133" s="86">
        <f t="shared" si="101"/>
        <v>-31.703343922685214</v>
      </c>
      <c r="BI133" s="157">
        <f t="shared" si="102"/>
        <v>-104.90746438140189</v>
      </c>
      <c r="BJ133" s="88"/>
      <c r="BK133" s="88"/>
      <c r="BL133" s="88"/>
      <c r="BM133" s="88"/>
      <c r="BN133" s="42"/>
      <c r="BO133" s="42"/>
      <c r="BP133" s="42"/>
    </row>
    <row r="134" spans="1:68" s="86" customFormat="1">
      <c r="A134" s="86">
        <v>70</v>
      </c>
      <c r="B134" s="86">
        <f t="shared" si="52"/>
        <v>2511.8864315095811</v>
      </c>
      <c r="C134" s="86" t="str">
        <f t="shared" si="53"/>
        <v>15782.6479197648j</v>
      </c>
      <c r="D134" s="86">
        <f t="shared" si="54"/>
        <v>0.99999369042655517</v>
      </c>
      <c r="E134" s="86" t="str">
        <f t="shared" si="55"/>
        <v>-0.0039456619799412j</v>
      </c>
      <c r="F134" s="86" t="str">
        <f t="shared" si="56"/>
        <v>0.999993690426555-0.0039456619799412j</v>
      </c>
      <c r="G134" s="86">
        <f t="shared" si="57"/>
        <v>1.2807939392972974E-5</v>
      </c>
      <c r="H134" s="86">
        <f t="shared" si="58"/>
        <v>-0.22607003206732595</v>
      </c>
      <c r="J134" s="86">
        <f t="shared" si="59"/>
        <v>4.8</v>
      </c>
      <c r="K134" s="86" t="str">
        <f t="shared" si="60"/>
        <v>1+0.645273560199584j</v>
      </c>
      <c r="L134" s="86">
        <f t="shared" si="61"/>
        <v>0.95926349834974722</v>
      </c>
      <c r="M134" s="86" t="str">
        <f t="shared" si="62"/>
        <v>0.0902293981572953j</v>
      </c>
      <c r="N134" s="86" t="str">
        <f t="shared" si="63"/>
        <v>0.959263498349747+0.0902293981572953j</v>
      </c>
      <c r="O134" s="86" t="str">
        <f t="shared" si="64"/>
        <v>1.09604187166821+0.569581103319077j</v>
      </c>
      <c r="P134" s="86" t="str">
        <f t="shared" si="65"/>
        <v>5.26100098400741+2.73398929593157j</v>
      </c>
      <c r="R134" s="86">
        <f t="shared" si="66"/>
        <v>11.52</v>
      </c>
      <c r="S134" s="86" t="str">
        <f t="shared" si="67"/>
        <v>1+0.00134152507318001j</v>
      </c>
      <c r="T134" s="86" t="str">
        <f t="shared" si="68"/>
        <v>0.959263498349747+0.0902293981572953j</v>
      </c>
      <c r="U134" s="86" t="str">
        <f t="shared" si="69"/>
        <v>1.03345449707814-0.0958093916627087j</v>
      </c>
      <c r="V134" s="86" t="str">
        <f t="shared" si="70"/>
        <v>11.9053958063402-1.1037241919544j</v>
      </c>
      <c r="X134" s="86" t="str">
        <f t="shared" si="71"/>
        <v>3.25199969852104+1.67370648250171j</v>
      </c>
      <c r="Y134" s="86">
        <f t="shared" si="72"/>
        <v>11.263520854571944</v>
      </c>
      <c r="Z134" s="86">
        <f t="shared" si="73"/>
        <v>-152.76648146603335</v>
      </c>
      <c r="AB134" s="86" t="str">
        <f t="shared" si="74"/>
        <v>9.92447132905985-0.920076852246082j</v>
      </c>
      <c r="AC134" s="86">
        <f t="shared" si="75"/>
        <v>19.971314677604603</v>
      </c>
      <c r="AD134" s="86">
        <f t="shared" si="76"/>
        <v>174.70336864365495</v>
      </c>
      <c r="AF134" s="86" t="str">
        <f t="shared" si="77"/>
        <v>1.94719170636736-0.982856192421721j</v>
      </c>
      <c r="AG134" s="86">
        <f t="shared" si="78"/>
        <v>6.7738444173074752</v>
      </c>
      <c r="AH134" s="86">
        <f t="shared" si="79"/>
        <v>153.21737665183369</v>
      </c>
      <c r="AJ134" s="86" t="str">
        <f t="shared" si="80"/>
        <v>15.0499999915088-0.000357480920842962j</v>
      </c>
      <c r="AK134" s="86" t="str">
        <f t="shared" si="81"/>
        <v>30.1-1.42992368417861E-11j</v>
      </c>
      <c r="AL134" s="86" t="str">
        <f t="shared" si="95"/>
        <v>10000-1408016.09053149j</v>
      </c>
      <c r="AM134" s="86" t="str">
        <f t="shared" si="96"/>
        <v>963.116013957073-436975.228257655j</v>
      </c>
      <c r="AN134" s="86" t="str">
        <f t="shared" si="97"/>
        <v>10963.1160139571-436975.228257655j</v>
      </c>
      <c r="AO134" s="86" t="str">
        <f t="shared" si="98"/>
        <v>30.099947872207-0.00207205556655927j</v>
      </c>
      <c r="AP134" s="86" t="str">
        <f t="shared" si="99"/>
        <v>0.666666666750252+5.27841880849604E-06j</v>
      </c>
      <c r="AQ134" s="86" t="str">
        <f t="shared" si="82"/>
        <v>1+0.881808104573099j</v>
      </c>
      <c r="AR134" s="86">
        <f t="shared" si="83"/>
        <v>8.6082733152727639E-8</v>
      </c>
      <c r="AS134" s="86" t="str">
        <f t="shared" si="84"/>
        <v>4.64936605926934E-06j</v>
      </c>
      <c r="AT134" s="86" t="str">
        <f t="shared" si="85"/>
        <v>8.60827331527276E-08+4.64936605926934E-06j</v>
      </c>
      <c r="AU134" s="86" t="str">
        <f t="shared" si="86"/>
        <v>19.3577899722737-21.1499002827159j</v>
      </c>
      <c r="AW134" s="86" t="str">
        <f t="shared" si="100"/>
        <v>12.7491165154956-14.2397911135776j</v>
      </c>
      <c r="AX134" s="86">
        <f t="shared" si="87"/>
        <v>25.626634900988211</v>
      </c>
      <c r="AY134" s="86">
        <f t="shared" si="88"/>
        <v>131.83860232508232</v>
      </c>
      <c r="AZ134" s="86" t="str">
        <f t="shared" si="89"/>
        <v>113.426539144457-153.052565630998j</v>
      </c>
      <c r="BA134" s="86">
        <f t="shared" si="90"/>
        <v>45.597949578592811</v>
      </c>
      <c r="BB134" s="86">
        <f t="shared" si="91"/>
        <v>126.54197096873719</v>
      </c>
      <c r="BD134" s="86" t="str">
        <f t="shared" si="92"/>
        <v>10.8293070677125-40.2581512719228j</v>
      </c>
      <c r="BE134" s="86">
        <f t="shared" si="93"/>
        <v>32.400479318295673</v>
      </c>
      <c r="BF134" s="86">
        <f t="shared" si="94"/>
        <v>105.05597897691587</v>
      </c>
      <c r="BH134" s="86">
        <f t="shared" si="101"/>
        <v>-31.400479318295673</v>
      </c>
      <c r="BI134" s="157">
        <f t="shared" si="102"/>
        <v>-105.05597897691587</v>
      </c>
      <c r="BJ134" s="88"/>
      <c r="BK134" s="88"/>
      <c r="BL134" s="88"/>
      <c r="BM134" s="88"/>
      <c r="BN134" s="42"/>
      <c r="BO134" s="42"/>
      <c r="BP134" s="42"/>
    </row>
    <row r="135" spans="1:68" s="86" customFormat="1">
      <c r="A135" s="86">
        <v>71</v>
      </c>
      <c r="B135" s="86">
        <f t="shared" si="52"/>
        <v>2630.2679918953822</v>
      </c>
      <c r="C135" s="86" t="str">
        <f t="shared" si="53"/>
        <v>16526.4612006218j</v>
      </c>
      <c r="D135" s="86">
        <f t="shared" si="54"/>
        <v>0.99999308169029077</v>
      </c>
      <c r="E135" s="86" t="str">
        <f t="shared" si="55"/>
        <v>-0.00413161530015545j</v>
      </c>
      <c r="F135" s="86" t="str">
        <f t="shared" si="56"/>
        <v>0.999993081690291-0.00413161530015545j</v>
      </c>
      <c r="G135" s="86">
        <f t="shared" si="57"/>
        <v>1.4043642579129564E-5</v>
      </c>
      <c r="H135" s="86">
        <f t="shared" si="58"/>
        <v>-0.23672441001895644</v>
      </c>
      <c r="J135" s="86">
        <f t="shared" si="59"/>
        <v>4.8</v>
      </c>
      <c r="K135" s="86" t="str">
        <f t="shared" si="60"/>
        <v>1+0.675684366187422j</v>
      </c>
      <c r="L135" s="86">
        <f t="shared" si="61"/>
        <v>0.95533331415334732</v>
      </c>
      <c r="M135" s="86" t="str">
        <f t="shared" si="62"/>
        <v>0.0944817786839548j</v>
      </c>
      <c r="N135" s="86" t="str">
        <f t="shared" si="63"/>
        <v>0.955333314153347+0.0944817786839548j</v>
      </c>
      <c r="O135" s="86" t="str">
        <f t="shared" si="64"/>
        <v>1.10588741311472+0.597904572058563j</v>
      </c>
      <c r="P135" s="86" t="str">
        <f t="shared" si="65"/>
        <v>5.30825958295066+2.8699419458811j</v>
      </c>
      <c r="R135" s="86">
        <f t="shared" si="66"/>
        <v>11.52</v>
      </c>
      <c r="S135" s="86" t="str">
        <f t="shared" si="67"/>
        <v>1+0.00140474920205285j</v>
      </c>
      <c r="T135" s="86" t="str">
        <f t="shared" si="68"/>
        <v>0.955333314153347+0.0944817786839548j</v>
      </c>
      <c r="U135" s="86" t="str">
        <f t="shared" si="69"/>
        <v>1.03675988575272-0.101064379773676j</v>
      </c>
      <c r="V135" s="86" t="str">
        <f t="shared" si="70"/>
        <v>11.9434738838713-1.16426165499275j</v>
      </c>
      <c r="X135" s="86" t="str">
        <f t="shared" si="71"/>
        <v>3.2818101555248+1.75684636472622j</v>
      </c>
      <c r="Y135" s="86">
        <f t="shared" si="72"/>
        <v>11.416625426940447</v>
      </c>
      <c r="Z135" s="86">
        <f t="shared" si="73"/>
        <v>-151.83858946842642</v>
      </c>
      <c r="AB135" s="86" t="str">
        <f t="shared" si="74"/>
        <v>9.95621364110645-0.970541559680519j</v>
      </c>
      <c r="AC135" s="86">
        <f t="shared" si="75"/>
        <v>20.002958317640434</v>
      </c>
      <c r="AD135" s="86">
        <f t="shared" si="76"/>
        <v>174.4323418755622</v>
      </c>
      <c r="AF135" s="86" t="str">
        <f t="shared" si="77"/>
        <v>1.91058571322426-1.01058827161525j</v>
      </c>
      <c r="AG135" s="86">
        <f t="shared" si="78"/>
        <v>6.6946810610364107</v>
      </c>
      <c r="AH135" s="86">
        <f t="shared" si="79"/>
        <v>152.12377399961125</v>
      </c>
      <c r="AJ135" s="86" t="str">
        <f t="shared" si="80"/>
        <v>15.0499999906896-0.000374328477577812j</v>
      </c>
      <c r="AK135" s="86" t="str">
        <f t="shared" si="81"/>
        <v>30.1-1.49731391123754E-11j</v>
      </c>
      <c r="AL135" s="86" t="str">
        <f t="shared" si="95"/>
        <v>10000-1344644.92745647j</v>
      </c>
      <c r="AM135" s="86" t="str">
        <f t="shared" si="96"/>
        <v>963.11378477719-417308.537892123j</v>
      </c>
      <c r="AN135" s="86" t="str">
        <f t="shared" si="97"/>
        <v>10963.1137847772-417308.537892123j</v>
      </c>
      <c r="AO135" s="86" t="str">
        <f t="shared" si="98"/>
        <v>30.0999428466298-0.00216957388795387j</v>
      </c>
      <c r="AP135" s="86" t="str">
        <f t="shared" si="99"/>
        <v>0.666666666758316+5.52718302281127E-06j</v>
      </c>
      <c r="AQ135" s="86" t="str">
        <f t="shared" si="82"/>
        <v>1+0.923366440201141j</v>
      </c>
      <c r="AR135" s="86">
        <f t="shared" si="83"/>
        <v>8.4740020352059553E-8</v>
      </c>
      <c r="AS135" s="86" t="str">
        <f t="shared" si="84"/>
        <v>4.86848393099981E-06j</v>
      </c>
      <c r="AT135" s="86" t="str">
        <f t="shared" si="85"/>
        <v>8.47400203520596E-08+4.86848393099981E-06j</v>
      </c>
      <c r="AU135" s="86" t="str">
        <f t="shared" si="86"/>
        <v>19.3178688490633-20.2040316440711j</v>
      </c>
      <c r="AW135" s="86" t="str">
        <f t="shared" si="100"/>
        <v>12.722317423569-13.6154956965094j</v>
      </c>
      <c r="AX135" s="86">
        <f t="shared" si="87"/>
        <v>25.406286015120031</v>
      </c>
      <c r="AY135" s="86">
        <f t="shared" si="88"/>
        <v>133.0577073499089</v>
      </c>
      <c r="AZ135" s="86" t="str">
        <f t="shared" si="89"/>
        <v>113.45170584991-147.906321779034j</v>
      </c>
      <c r="BA135" s="86">
        <f t="shared" si="90"/>
        <v>45.409244332760451</v>
      </c>
      <c r="BB135" s="86">
        <f t="shared" si="91"/>
        <v>127.4900492254711</v>
      </c>
      <c r="BD135" s="86" t="str">
        <f t="shared" si="92"/>
        <v>10.5474176454548-38.8705963322424j</v>
      </c>
      <c r="BE135" s="86">
        <f t="shared" si="93"/>
        <v>32.100967076156444</v>
      </c>
      <c r="BF135" s="86">
        <f t="shared" si="94"/>
        <v>105.18148134952028</v>
      </c>
      <c r="BH135" s="86">
        <f t="shared" si="101"/>
        <v>-31.100967076156444</v>
      </c>
      <c r="BI135" s="157">
        <f t="shared" si="102"/>
        <v>-105.18148134952028</v>
      </c>
      <c r="BJ135" s="88"/>
      <c r="BK135" s="88"/>
      <c r="BL135" s="88"/>
      <c r="BM135" s="88"/>
      <c r="BN135" s="42"/>
      <c r="BO135" s="42"/>
      <c r="BP135" s="42"/>
    </row>
    <row r="136" spans="1:68" s="86" customFormat="1">
      <c r="A136" s="86">
        <v>72</v>
      </c>
      <c r="B136" s="86">
        <f t="shared" si="52"/>
        <v>2754.2287033381667</v>
      </c>
      <c r="C136" s="86" t="str">
        <f t="shared" si="53"/>
        <v>17305.3293214267j</v>
      </c>
      <c r="D136" s="86">
        <f t="shared" si="54"/>
        <v>0.99999241422424967</v>
      </c>
      <c r="E136" s="86" t="str">
        <f t="shared" si="55"/>
        <v>-0.00432633233035667j</v>
      </c>
      <c r="F136" s="86" t="str">
        <f t="shared" si="56"/>
        <v>0.99999241422425-0.00432633233035667j</v>
      </c>
      <c r="G136" s="86">
        <f t="shared" si="57"/>
        <v>1.5398567469092648E-5</v>
      </c>
      <c r="H136" s="86">
        <f t="shared" si="58"/>
        <v>-0.24788091712391858</v>
      </c>
      <c r="J136" s="86">
        <f t="shared" si="59"/>
        <v>4.8</v>
      </c>
      <c r="K136" s="86" t="str">
        <f t="shared" si="60"/>
        <v>1+0.707528389306531j</v>
      </c>
      <c r="L136" s="86">
        <f t="shared" si="61"/>
        <v>0.9510239528751675</v>
      </c>
      <c r="M136" s="86" t="str">
        <f t="shared" si="62"/>
        <v>0.0989345677305964j</v>
      </c>
      <c r="N136" s="86" t="str">
        <f t="shared" si="63"/>
        <v>0.951023952875167+0.0989345677305964j</v>
      </c>
      <c r="O136" s="86" t="str">
        <f t="shared" si="64"/>
        <v>1.11680629862646+0.627784020694884j</v>
      </c>
      <c r="P136" s="86" t="str">
        <f t="shared" si="65"/>
        <v>5.36067023340701+3.01336329933544j</v>
      </c>
      <c r="R136" s="86">
        <f t="shared" si="66"/>
        <v>11.52</v>
      </c>
      <c r="S136" s="86" t="str">
        <f t="shared" si="67"/>
        <v>1+0.00147095299232127j</v>
      </c>
      <c r="T136" s="86" t="str">
        <f t="shared" si="68"/>
        <v>0.951023952875167+0.0989345677305964j</v>
      </c>
      <c r="U136" s="86" t="str">
        <f t="shared" si="69"/>
        <v>1.04039977597746-0.106685587470514j</v>
      </c>
      <c r="V136" s="86" t="str">
        <f t="shared" si="70"/>
        <v>11.9854054192603-1.22901796766032j</v>
      </c>
      <c r="X136" s="86" t="str">
        <f t="shared" si="71"/>
        <v>3.31486588940149+1.84453969304233j</v>
      </c>
      <c r="Y136" s="86">
        <f t="shared" si="72"/>
        <v>11.580807892491375</v>
      </c>
      <c r="Z136" s="86">
        <f t="shared" si="73"/>
        <v>-150.90647970191782</v>
      </c>
      <c r="AB136" s="86" t="str">
        <f t="shared" si="74"/>
        <v>9.99116823879652-1.02452314743274j</v>
      </c>
      <c r="AC136" s="86">
        <f t="shared" si="75"/>
        <v>20.03775326540914</v>
      </c>
      <c r="AD136" s="86">
        <f t="shared" si="76"/>
        <v>174.14518982653982</v>
      </c>
      <c r="AF136" s="86" t="str">
        <f t="shared" si="77"/>
        <v>1.87193638827924-1.03766472312889j</v>
      </c>
      <c r="AG136" s="86">
        <f t="shared" si="78"/>
        <v>6.6095023485467994</v>
      </c>
      <c r="AH136" s="86">
        <f t="shared" si="79"/>
        <v>150.99921706671756</v>
      </c>
      <c r="AJ136" s="86" t="str">
        <f t="shared" si="80"/>
        <v>15.0499999897913-0.000391970035196765j</v>
      </c>
      <c r="AK136" s="86" t="str">
        <f t="shared" si="81"/>
        <v>30.1-1.56788014185058E-11j</v>
      </c>
      <c r="AL136" s="86" t="str">
        <f t="shared" si="95"/>
        <v>10000-1284125.93655225j</v>
      </c>
      <c r="AM136" s="86" t="str">
        <f t="shared" si="96"/>
        <v>963.111340541923-398527.014882778j</v>
      </c>
      <c r="AN136" s="86" t="str">
        <f t="shared" si="97"/>
        <v>10963.1113405419-398527.014882778j</v>
      </c>
      <c r="AO136" s="86" t="str">
        <f t="shared" si="98"/>
        <v>30.0999373369251-0.00227166817809957j</v>
      </c>
      <c r="AP136" s="86" t="str">
        <f t="shared" si="99"/>
        <v>0.666666666767159+5.78767113333445E-06j</v>
      </c>
      <c r="AQ136" s="86" t="str">
        <f t="shared" si="82"/>
        <v>1+0.966883359846752j</v>
      </c>
      <c r="AR136" s="86">
        <f t="shared" si="83"/>
        <v>8.3267765042444407E-8</v>
      </c>
      <c r="AS136" s="86" t="str">
        <f t="shared" si="84"/>
        <v>5.09792850987699E-06j</v>
      </c>
      <c r="AT136" s="86" t="str">
        <f t="shared" si="85"/>
        <v>8.32677650424444E-08+5.09792850987699E-06j</v>
      </c>
      <c r="AU136" s="86" t="str">
        <f t="shared" si="86"/>
        <v>19.2814545053944-19.3008741071856j</v>
      </c>
      <c r="AW136" s="86" t="str">
        <f t="shared" si="100"/>
        <v>12.6978394972356-13.0199839051434j</v>
      </c>
      <c r="AX136" s="86">
        <f t="shared" si="87"/>
        <v>25.195065609508273</v>
      </c>
      <c r="AY136" s="86">
        <f t="shared" si="88"/>
        <v>134.28234402192308</v>
      </c>
      <c r="AZ136" s="86" t="str">
        <f t="shared" si="89"/>
        <v>113.526975796095-143.094080150014j</v>
      </c>
      <c r="BA136" s="86">
        <f t="shared" si="90"/>
        <v>45.232818874917399</v>
      </c>
      <c r="BB136" s="86">
        <f t="shared" si="91"/>
        <v>128.42753384846287</v>
      </c>
      <c r="BD136" s="86" t="str">
        <f t="shared" si="92"/>
        <v>10.2591698133314-37.548681753082j</v>
      </c>
      <c r="BE136" s="86">
        <f t="shared" si="93"/>
        <v>31.804567958055063</v>
      </c>
      <c r="BF136" s="86">
        <f t="shared" si="94"/>
        <v>105.28156108864057</v>
      </c>
      <c r="BH136" s="86">
        <f t="shared" si="101"/>
        <v>-30.804567958055063</v>
      </c>
      <c r="BI136" s="157">
        <f t="shared" si="102"/>
        <v>-105.28156108864057</v>
      </c>
      <c r="BJ136" s="88"/>
      <c r="BK136" s="88"/>
      <c r="BL136" s="88"/>
      <c r="BM136" s="88"/>
      <c r="BN136" s="42"/>
      <c r="BO136" s="42"/>
      <c r="BP136" s="42"/>
    </row>
    <row r="137" spans="1:68" s="86" customFormat="1">
      <c r="A137" s="86">
        <v>73</v>
      </c>
      <c r="B137" s="86">
        <f t="shared" si="52"/>
        <v>2884.0315031266064</v>
      </c>
      <c r="C137" s="86" t="str">
        <f t="shared" si="53"/>
        <v>18120.904365888j</v>
      </c>
      <c r="D137" s="86">
        <f t="shared" si="54"/>
        <v>0.99999168236228897</v>
      </c>
      <c r="E137" s="86" t="str">
        <f t="shared" si="55"/>
        <v>-0.004530226091472j</v>
      </c>
      <c r="F137" s="86" t="str">
        <f t="shared" si="56"/>
        <v>0.999991682362289-0.004530226091472j</v>
      </c>
      <c r="G137" s="86">
        <f t="shared" si="57"/>
        <v>1.6884217028547135E-5</v>
      </c>
      <c r="H137" s="86">
        <f t="shared" si="58"/>
        <v>-0.25956321856163889</v>
      </c>
      <c r="J137" s="86">
        <f t="shared" si="59"/>
        <v>4.8</v>
      </c>
      <c r="K137" s="86" t="str">
        <f t="shared" si="60"/>
        <v>1+0.740873174999331j</v>
      </c>
      <c r="L137" s="86">
        <f t="shared" si="61"/>
        <v>0.9462988321943413</v>
      </c>
      <c r="M137" s="86" t="str">
        <f t="shared" si="62"/>
        <v>0.103597210259782j</v>
      </c>
      <c r="N137" s="86" t="str">
        <f t="shared" si="63"/>
        <v>0.946298832194341+0.103597210259782j</v>
      </c>
      <c r="O137" s="86" t="str">
        <f t="shared" si="64"/>
        <v>1.1289291296696+0.659325833825422j</v>
      </c>
      <c r="P137" s="86" t="str">
        <f t="shared" si="65"/>
        <v>5.41885982241408+3.16476400236203j</v>
      </c>
      <c r="R137" s="86">
        <f t="shared" si="66"/>
        <v>11.52</v>
      </c>
      <c r="S137" s="86" t="str">
        <f t="shared" si="67"/>
        <v>1+0.00154027687110048j</v>
      </c>
      <c r="T137" s="86" t="str">
        <f t="shared" si="68"/>
        <v>0.946298832194341+0.103597210259782j</v>
      </c>
      <c r="U137" s="86" t="str">
        <f t="shared" si="69"/>
        <v>1.04440953785006-0.112710313053593j</v>
      </c>
      <c r="V137" s="86" t="str">
        <f t="shared" si="70"/>
        <v>12.0315978760327-1.29842280637739j</v>
      </c>
      <c r="X137" s="86" t="str">
        <f t="shared" si="71"/>
        <v>3.3515608257761+1.93709559348748j</v>
      </c>
      <c r="Y137" s="86">
        <f t="shared" si="72"/>
        <v>11.756654217001445</v>
      </c>
      <c r="Z137" s="86">
        <f t="shared" si="73"/>
        <v>-149.97345328163522</v>
      </c>
      <c r="AB137" s="86" t="str">
        <f t="shared" si="74"/>
        <v>10.02967478829-1.08237979858069j</v>
      </c>
      <c r="AC137" s="86">
        <f t="shared" si="75"/>
        <v>20.07602373316648</v>
      </c>
      <c r="AD137" s="86">
        <f t="shared" si="76"/>
        <v>173.84060662032513</v>
      </c>
      <c r="AF137" s="86" t="str">
        <f t="shared" si="77"/>
        <v>1.83124541109528-1.0639118698707j</v>
      </c>
      <c r="AG137" s="86">
        <f t="shared" si="78"/>
        <v>6.5179810188169203</v>
      </c>
      <c r="AH137" s="86">
        <f t="shared" si="79"/>
        <v>149.84438800181209</v>
      </c>
      <c r="AJ137" s="86" t="str">
        <f t="shared" si="80"/>
        <v>15.0499999888064-0.000410443013808183j</v>
      </c>
      <c r="AK137" s="86" t="str">
        <f t="shared" si="81"/>
        <v>30.1-1.64177205645382E-11j</v>
      </c>
      <c r="AL137" s="86" t="str">
        <f t="shared" si="95"/>
        <v>10000-1226330.74892525j</v>
      </c>
      <c r="AM137" s="86" t="str">
        <f t="shared" si="96"/>
        <v>963.108660505494-380590.821100917j</v>
      </c>
      <c r="AN137" s="86" t="str">
        <f t="shared" si="97"/>
        <v>10963.1086605055-380590.821100917j</v>
      </c>
      <c r="AO137" s="86" t="str">
        <f t="shared" si="98"/>
        <v>30.0999312965331-0.00237855114866499j</v>
      </c>
      <c r="AP137" s="86" t="str">
        <f t="shared" si="99"/>
        <v>0.666666666776854+6.06043567026827E-06j</v>
      </c>
      <c r="AQ137" s="86" t="str">
        <f t="shared" si="82"/>
        <v>1+1.01245116873089j</v>
      </c>
      <c r="AR137" s="86">
        <f t="shared" si="83"/>
        <v>8.1653469196295919E-8</v>
      </c>
      <c r="AS137" s="86" t="str">
        <f t="shared" si="84"/>
        <v>5.33818647861472E-06j</v>
      </c>
      <c r="AT137" s="86" t="str">
        <f t="shared" si="85"/>
        <v>8.16534691962959E-08+5.33818647861472E-06j</v>
      </c>
      <c r="AU137" s="86" t="str">
        <f t="shared" si="86"/>
        <v>19.2482385679467-18.4385305645133j</v>
      </c>
      <c r="AW137" s="86" t="str">
        <f t="shared" si="100"/>
        <v>12.6754754435626-12.4520049292397j</v>
      </c>
      <c r="AX137" s="86">
        <f t="shared" si="87"/>
        <v>24.993022378501799</v>
      </c>
      <c r="AY137" s="86">
        <f t="shared" si="88"/>
        <v>135.50954491147218</v>
      </c>
      <c r="AZ137" s="86" t="str">
        <f t="shared" si="89"/>
        <v>113.653097898653-138.609238459976j</v>
      </c>
      <c r="BA137" s="86">
        <f t="shared" si="90"/>
        <v>45.069046111668285</v>
      </c>
      <c r="BB137" s="86">
        <f t="shared" si="91"/>
        <v>129.35015153179742</v>
      </c>
      <c r="BD137" s="86" t="str">
        <f t="shared" si="92"/>
        <v>9.96407039156842-36.2882656662668j</v>
      </c>
      <c r="BE137" s="86">
        <f t="shared" si="93"/>
        <v>31.511003397318717</v>
      </c>
      <c r="BF137" s="86">
        <f t="shared" si="94"/>
        <v>105.35393291328442</v>
      </c>
      <c r="BH137" s="86">
        <f t="shared" si="101"/>
        <v>-30.511003397318717</v>
      </c>
      <c r="BI137" s="157">
        <f t="shared" si="102"/>
        <v>-105.35393291328442</v>
      </c>
      <c r="BJ137" s="88"/>
      <c r="BK137" s="88"/>
      <c r="BL137" s="88"/>
      <c r="BM137" s="88"/>
      <c r="BN137" s="42"/>
      <c r="BO137" s="42"/>
      <c r="BP137" s="42"/>
    </row>
    <row r="138" spans="1:68" s="86" customFormat="1">
      <c r="A138" s="86">
        <v>74</v>
      </c>
      <c r="B138" s="86">
        <f t="shared" si="52"/>
        <v>3019.9517204020162</v>
      </c>
      <c r="C138" s="86" t="str">
        <f t="shared" si="53"/>
        <v>18974.9162780217j</v>
      </c>
      <c r="D138" s="86">
        <f t="shared" si="54"/>
        <v>0.9999908798916064</v>
      </c>
      <c r="E138" s="86" t="str">
        <f t="shared" si="55"/>
        <v>-0.00474372906950543j</v>
      </c>
      <c r="F138" s="86" t="str">
        <f t="shared" si="56"/>
        <v>0.999990879891606-0.00474372906950543j</v>
      </c>
      <c r="G138" s="86">
        <f t="shared" si="57"/>
        <v>1.8513204138641752E-5</v>
      </c>
      <c r="H138" s="86">
        <f t="shared" si="58"/>
        <v>-0.27179609490028861</v>
      </c>
      <c r="J138" s="86">
        <f t="shared" si="59"/>
        <v>4.8</v>
      </c>
      <c r="K138" s="86" t="str">
        <f t="shared" si="60"/>
        <v>1+0.775789452026917j</v>
      </c>
      <c r="L138" s="86">
        <f t="shared" si="61"/>
        <v>0.94111784039366764</v>
      </c>
      <c r="M138" s="86" t="str">
        <f t="shared" si="62"/>
        <v>0.10847959636145j</v>
      </c>
      <c r="N138" s="86" t="str">
        <f t="shared" si="63"/>
        <v>0.941117840393668+0.10847959636145j</v>
      </c>
      <c r="O138" s="86" t="str">
        <f t="shared" si="64"/>
        <v>1.14240528093133+0.692646298148619j</v>
      </c>
      <c r="P138" s="86" t="str">
        <f t="shared" si="65"/>
        <v>5.48354534847038+3.32470223111337j</v>
      </c>
      <c r="R138" s="86">
        <f t="shared" si="66"/>
        <v>11.52</v>
      </c>
      <c r="S138" s="86" t="str">
        <f t="shared" si="67"/>
        <v>1+0.00161286788363184j</v>
      </c>
      <c r="T138" s="86" t="str">
        <f t="shared" si="68"/>
        <v>0.941117840393668+0.10847959636145j</v>
      </c>
      <c r="U138" s="86" t="str">
        <f t="shared" si="69"/>
        <v>1.04882855295141-0.119181281428033j</v>
      </c>
      <c r="V138" s="86" t="str">
        <f t="shared" si="70"/>
        <v>12.0825049300002-1.37296836205094j</v>
      </c>
      <c r="X138" s="86" t="str">
        <f t="shared" si="71"/>
        <v>3.39234532358875+2.0348516150687j</v>
      </c>
      <c r="Y138" s="86">
        <f t="shared" si="72"/>
        <v>11.944762635436161</v>
      </c>
      <c r="Z138" s="86">
        <f t="shared" si="73"/>
        <v>-149.04314365611404</v>
      </c>
      <c r="AB138" s="86" t="str">
        <f t="shared" si="74"/>
        <v>10.0721114788264-1.14452180897878j</v>
      </c>
      <c r="AC138" s="86">
        <f t="shared" si="75"/>
        <v>20.118129372319402</v>
      </c>
      <c r="AD138" s="86">
        <f t="shared" si="76"/>
        <v>173.51713024574792</v>
      </c>
      <c r="AF138" s="86" t="str">
        <f t="shared" si="77"/>
        <v>1.78853283776392-1.08914950671443j</v>
      </c>
      <c r="AG138" s="86">
        <f t="shared" si="78"/>
        <v>6.4197914115516896</v>
      </c>
      <c r="AH138" s="86">
        <f t="shared" si="79"/>
        <v>148.66015073651803</v>
      </c>
      <c r="AJ138" s="86" t="str">
        <f t="shared" si="80"/>
        <v>15.0499999877265-0.000429786597075763j</v>
      </c>
      <c r="AK138" s="86" t="str">
        <f t="shared" si="81"/>
        <v>30.1-1.71914638970504E-11j</v>
      </c>
      <c r="AL138" s="86" t="str">
        <f t="shared" si="95"/>
        <v>10000-1171136.77323371j</v>
      </c>
      <c r="AM138" s="86" t="str">
        <f t="shared" si="96"/>
        <v>963.105721921139-363461.911474393j</v>
      </c>
      <c r="AN138" s="86" t="str">
        <f t="shared" si="97"/>
        <v>10963.1057219211-363461.911474393j</v>
      </c>
      <c r="AO138" s="86" t="str">
        <f t="shared" si="98"/>
        <v>30.0999246744314-0.00249044510084713j</v>
      </c>
      <c r="AP138" s="86" t="str">
        <f t="shared" si="99"/>
        <v>0.666666666787484+6.34605520376156E-06j</v>
      </c>
      <c r="AQ138" s="86" t="str">
        <f t="shared" si="82"/>
        <v>1+1.06016652228563j</v>
      </c>
      <c r="AR138" s="86">
        <f t="shared" si="83"/>
        <v>7.9883428998868757E-8</v>
      </c>
      <c r="AS138" s="86" t="str">
        <f t="shared" si="84"/>
        <v>5.58976745657683E-06j</v>
      </c>
      <c r="AT138" s="86" t="str">
        <f t="shared" si="85"/>
        <v>7.98834289988688E-08+5.58976745657683E-06j</v>
      </c>
      <c r="AU138" s="86" t="str">
        <f t="shared" si="86"/>
        <v>19.217939688811-17.6151880814849j</v>
      </c>
      <c r="AW138" s="86" t="str">
        <f t="shared" si="100"/>
        <v>12.6550358306344-11.9103647507808j</v>
      </c>
      <c r="AX138" s="86">
        <f t="shared" si="87"/>
        <v>24.800166071548023</v>
      </c>
      <c r="AY138" s="86">
        <f t="shared" si="88"/>
        <v>136.73632210542689</v>
      </c>
      <c r="AZ138" s="86" t="str">
        <f t="shared" si="89"/>
        <v>113.831259444532-134.446486024918j</v>
      </c>
      <c r="BA138" s="86">
        <f t="shared" si="90"/>
        <v>44.918295443867457</v>
      </c>
      <c r="BB138" s="86">
        <f t="shared" si="91"/>
        <v>130.2534523511749</v>
      </c>
      <c r="BD138" s="86" t="str">
        <f t="shared" si="92"/>
        <v>9.66177925306693-35.0853044989063j</v>
      </c>
      <c r="BE138" s="86">
        <f t="shared" si="93"/>
        <v>31.219957483099734</v>
      </c>
      <c r="BF138" s="86">
        <f t="shared" si="94"/>
        <v>105.39647284194511</v>
      </c>
      <c r="BH138" s="86">
        <f t="shared" si="101"/>
        <v>-30.219957483099734</v>
      </c>
      <c r="BI138" s="157">
        <f t="shared" si="102"/>
        <v>-105.39647284194511</v>
      </c>
      <c r="BJ138" s="88"/>
      <c r="BK138" s="88"/>
      <c r="BL138" s="88"/>
      <c r="BM138" s="88"/>
      <c r="BN138" s="42"/>
      <c r="BO138" s="42"/>
      <c r="BP138" s="42"/>
    </row>
    <row r="139" spans="1:68" s="86" customFormat="1">
      <c r="A139" s="86">
        <v>75</v>
      </c>
      <c r="B139" s="86">
        <f t="shared" si="52"/>
        <v>3162.2776601683804</v>
      </c>
      <c r="C139" s="86" t="str">
        <f t="shared" si="53"/>
        <v>19869.1765315922j</v>
      </c>
      <c r="D139" s="86">
        <f t="shared" si="54"/>
        <v>0.99999000000000005</v>
      </c>
      <c r="E139" s="86" t="str">
        <f t="shared" si="55"/>
        <v>-0.00496729413289805j</v>
      </c>
      <c r="F139" s="86" t="str">
        <f t="shared" si="56"/>
        <v>0.99999-0.00496729413289805j</v>
      </c>
      <c r="G139" s="86">
        <f t="shared" si="57"/>
        <v>2.0299358721858458E-5</v>
      </c>
      <c r="H139" s="86">
        <f t="shared" si="58"/>
        <v>-0.28460549467572577</v>
      </c>
      <c r="J139" s="86">
        <f t="shared" si="59"/>
        <v>4.8</v>
      </c>
      <c r="K139" s="86" t="str">
        <f t="shared" si="60"/>
        <v>1+0.812351282494147j</v>
      </c>
      <c r="L139" s="86">
        <f t="shared" si="61"/>
        <v>0.93543699584983386</v>
      </c>
      <c r="M139" s="86" t="str">
        <f t="shared" si="62"/>
        <v>0.113592082231113j</v>
      </c>
      <c r="N139" s="86" t="str">
        <f t="shared" si="63"/>
        <v>0.935436995849834+0.113592082231113j</v>
      </c>
      <c r="O139" s="86" t="str">
        <f t="shared" si="64"/>
        <v>1.15740620316716+0.727872753493795j</v>
      </c>
      <c r="P139" s="86" t="str">
        <f t="shared" si="65"/>
        <v>5.55554977520237+3.49378921677022j</v>
      </c>
      <c r="R139" s="86">
        <f t="shared" si="66"/>
        <v>11.52</v>
      </c>
      <c r="S139" s="86" t="str">
        <f t="shared" si="67"/>
        <v>1+0.00168888000518534j</v>
      </c>
      <c r="T139" s="86" t="str">
        <f t="shared" si="68"/>
        <v>0.935436995849834+0.113592082231113j</v>
      </c>
      <c r="U139" s="86" t="str">
        <f t="shared" si="69"/>
        <v>1.0537007091668-0.126147648768443j</v>
      </c>
      <c r="V139" s="86" t="str">
        <f t="shared" si="70"/>
        <v>12.1386321696015-1.45322091381246j</v>
      </c>
      <c r="X139" s="86" t="str">
        <f t="shared" si="71"/>
        <v>3.43773606602465+2.13817696691835j</v>
      </c>
      <c r="Y139" s="86">
        <f t="shared" si="72"/>
        <v>12.145744490073252</v>
      </c>
      <c r="Z139" s="86">
        <f t="shared" si="73"/>
        <v>-148.11952791738082</v>
      </c>
      <c r="AB139" s="86" t="str">
        <f t="shared" si="74"/>
        <v>10.1188997745928-1.21142123525547j</v>
      </c>
      <c r="AC139" s="86">
        <f t="shared" si="75"/>
        <v>20.164469553160458</v>
      </c>
      <c r="AD139" s="86">
        <f t="shared" si="76"/>
        <v>173.17311724944543</v>
      </c>
      <c r="AF139" s="86" t="str">
        <f t="shared" si="77"/>
        <v>1.74383872341007-1.11319306830623j</v>
      </c>
      <c r="AG139" s="86">
        <f t="shared" si="78"/>
        <v>6.3146125211809849</v>
      </c>
      <c r="AH139" s="86">
        <f t="shared" si="79"/>
        <v>147.44755653534867</v>
      </c>
      <c r="AJ139" s="86" t="str">
        <f t="shared" si="80"/>
        <v>15.0499999865423-0.00045004181533227j</v>
      </c>
      <c r="AK139" s="86" t="str">
        <f t="shared" si="81"/>
        <v>30.1-1.80016726293878E-11j</v>
      </c>
      <c r="AL139" s="86" t="str">
        <f t="shared" si="95"/>
        <v>10000-1118426.93565527j</v>
      </c>
      <c r="AM139" s="86" t="str">
        <f t="shared" si="96"/>
        <v>963.102499848066-347103.953288955j</v>
      </c>
      <c r="AN139" s="86" t="str">
        <f t="shared" si="97"/>
        <v>10963.1024998481-347103.953288955j</v>
      </c>
      <c r="AO139" s="86" t="str">
        <f t="shared" si="98"/>
        <v>30.0999174147111-0.00260758231321934j</v>
      </c>
      <c r="AP139" s="86" t="str">
        <f t="shared" si="99"/>
        <v>0.666666666799141+6.64513557113333E-06j</v>
      </c>
      <c r="AQ139" s="86" t="str">
        <f t="shared" si="82"/>
        <v>1+1.11013063117312j</v>
      </c>
      <c r="AR139" s="86">
        <f t="shared" si="83"/>
        <v>7.7942618516093432E-8</v>
      </c>
      <c r="AS139" s="86" t="str">
        <f t="shared" si="84"/>
        <v>5.85320508074746E-06j</v>
      </c>
      <c r="AT139" s="86" t="str">
        <f t="shared" si="85"/>
        <v>7.79426185160934E-08+5.85320508074746E-06j</v>
      </c>
      <c r="AU139" s="86" t="str">
        <f t="shared" si="86"/>
        <v>19.1903011782885-16.829114359935j</v>
      </c>
      <c r="AW139" s="86" t="str">
        <f t="shared" si="100"/>
        <v>12.6363474936326-11.3939238159705j</v>
      </c>
      <c r="AX139" s="86">
        <f t="shared" si="87"/>
        <v>24.616467347277712</v>
      </c>
      <c r="AY139" s="86">
        <f t="shared" si="88"/>
        <v>137.95969629071703</v>
      </c>
      <c r="AZ139" s="86" t="str">
        <f t="shared" si="89"/>
        <v>114.063092541445-130.601912823005j</v>
      </c>
      <c r="BA139" s="86">
        <f t="shared" si="90"/>
        <v>44.780936900438149</v>
      </c>
      <c r="BB139" s="86">
        <f t="shared" si="91"/>
        <v>131.13281354016237</v>
      </c>
      <c r="BD139" s="86" t="str">
        <f t="shared" si="92"/>
        <v>9.35211506911467-33.9358600004941j</v>
      </c>
      <c r="BE139" s="86">
        <f t="shared" si="93"/>
        <v>30.931079868458671</v>
      </c>
      <c r="BF139" s="86">
        <f t="shared" si="94"/>
        <v>105.40725282606573</v>
      </c>
      <c r="BH139" s="86">
        <f t="shared" si="101"/>
        <v>-29.931079868458671</v>
      </c>
      <c r="BI139" s="157">
        <f t="shared" si="102"/>
        <v>-105.40725282606573</v>
      </c>
      <c r="BJ139" s="88"/>
      <c r="BK139" s="88"/>
      <c r="BL139" s="88"/>
      <c r="BM139" s="88"/>
      <c r="BN139" s="42"/>
      <c r="BO139" s="42"/>
      <c r="BP139" s="42"/>
    </row>
    <row r="140" spans="1:68" s="86" customFormat="1">
      <c r="A140" s="86">
        <v>76</v>
      </c>
      <c r="B140" s="86">
        <f t="shared" si="52"/>
        <v>3311.3112148259129</v>
      </c>
      <c r="C140" s="86" t="str">
        <f t="shared" si="53"/>
        <v>20805.5819724932j</v>
      </c>
      <c r="D140" s="86">
        <f t="shared" si="54"/>
        <v>0.99998903521803861</v>
      </c>
      <c r="E140" s="86" t="str">
        <f t="shared" si="55"/>
        <v>-0.0052013954931233j</v>
      </c>
      <c r="F140" s="86" t="str">
        <f t="shared" si="56"/>
        <v>0.999989035218039-0.0052013954931233j</v>
      </c>
      <c r="G140" s="86">
        <f t="shared" si="57"/>
        <v>2.2257845162395215E-5</v>
      </c>
      <c r="H140" s="86">
        <f t="shared" si="58"/>
        <v>-0.2980185894503003</v>
      </c>
      <c r="J140" s="86">
        <f t="shared" si="59"/>
        <v>4.8</v>
      </c>
      <c r="K140" s="86" t="str">
        <f t="shared" si="60"/>
        <v>1+0.850636218945384j</v>
      </c>
      <c r="L140" s="86">
        <f t="shared" si="61"/>
        <v>0.92920807367184055</v>
      </c>
      <c r="M140" s="86" t="str">
        <f t="shared" si="62"/>
        <v>0.118945512136744j</v>
      </c>
      <c r="N140" s="86" t="str">
        <f t="shared" si="63"/>
        <v>0.929208073671841+0.118945512136744j</v>
      </c>
      <c r="O140" s="86" t="str">
        <f t="shared" si="64"/>
        <v>1.17412943292833+0.765144871612456j</v>
      </c>
      <c r="P140" s="86" t="str">
        <f t="shared" si="65"/>
        <v>5.63582127805598+3.67269538373979j</v>
      </c>
      <c r="R140" s="86">
        <f t="shared" si="66"/>
        <v>11.52</v>
      </c>
      <c r="S140" s="86" t="str">
        <f t="shared" si="67"/>
        <v>1+0.00176847446766192j</v>
      </c>
      <c r="T140" s="86" t="str">
        <f t="shared" si="68"/>
        <v>0.929208073671841+0.118945512136744j</v>
      </c>
      <c r="U140" s="86" t="str">
        <f t="shared" si="69"/>
        <v>1.05907495840784-0.133666228663467j</v>
      </c>
      <c r="V140" s="86" t="str">
        <f t="shared" si="70"/>
        <v>12.2005435208583-1.53983495420314j</v>
      </c>
      <c r="X140" s="86" t="str">
        <f t="shared" si="71"/>
        <v>3.48832806064822+2.24747609515637j</v>
      </c>
      <c r="Y140" s="86">
        <f t="shared" si="72"/>
        <v>12.36022591187195</v>
      </c>
      <c r="Z140" s="86">
        <f t="shared" si="73"/>
        <v>-147.20693962977339</v>
      </c>
      <c r="AB140" s="86" t="str">
        <f t="shared" si="74"/>
        <v>10.1705097706388-1.28362366972586j</v>
      </c>
      <c r="AC140" s="86">
        <f t="shared" si="75"/>
        <v>20.215488234754211</v>
      </c>
      <c r="AD140" s="86">
        <f t="shared" si="76"/>
        <v>172.80671239954196</v>
      </c>
      <c r="AF140" s="86" t="str">
        <f t="shared" si="77"/>
        <v>1.69722446650513-1.13585616234442j</v>
      </c>
      <c r="AG140" s="86">
        <f t="shared" si="78"/>
        <v>6.2021312876429153</v>
      </c>
      <c r="AH140" s="86">
        <f t="shared" si="79"/>
        <v>146.20784706014467</v>
      </c>
      <c r="AJ140" s="86" t="str">
        <f t="shared" si="80"/>
        <v>15.049999985244-0.000471251632610418j</v>
      </c>
      <c r="AK140" s="86" t="str">
        <f t="shared" si="81"/>
        <v>30.1-1.88500653228986E-11j</v>
      </c>
      <c r="AL140" s="86" t="str">
        <f t="shared" si="95"/>
        <v>10000-1068089.43155745j</v>
      </c>
      <c r="AM140" s="86" t="str">
        <f t="shared" si="96"/>
        <v>963.098966939985-331482.249121641j</v>
      </c>
      <c r="AN140" s="86" t="str">
        <f t="shared" si="97"/>
        <v>10963.09896694-331482.249121641j</v>
      </c>
      <c r="AO140" s="86" t="str">
        <f t="shared" si="98"/>
        <v>30.0999094561127-0.00273020543838495j</v>
      </c>
      <c r="AP140" s="86" t="str">
        <f t="shared" si="99"/>
        <v>0.666666666811921+6.95831116193543E-06j</v>
      </c>
      <c r="AQ140" s="86" t="str">
        <f t="shared" si="82"/>
        <v>1+1.16244947596714j</v>
      </c>
      <c r="AR140" s="86">
        <f t="shared" si="83"/>
        <v>7.581456213888391E-8</v>
      </c>
      <c r="AS140" s="86" t="str">
        <f t="shared" si="84"/>
        <v>6.12905813764725E-06j</v>
      </c>
      <c r="AT140" s="86" t="str">
        <f t="shared" si="85"/>
        <v>7.58145621388839E-08+6.12905813764725E-06j</v>
      </c>
      <c r="AU140" s="86" t="str">
        <f t="shared" si="86"/>
        <v>19.1650888434597-16.0786543328188j</v>
      </c>
      <c r="AW140" s="86" t="str">
        <f t="shared" si="100"/>
        <v>12.6192520766479-10.9015947960577j</v>
      </c>
      <c r="AX140" s="86">
        <f t="shared" si="87"/>
        <v>24.44185828226242</v>
      </c>
      <c r="AY140" s="86">
        <f t="shared" si="88"/>
        <v>139.17672563503828</v>
      </c>
      <c r="AZ140" s="86" t="str">
        <f t="shared" si="89"/>
        <v>114.350681425722-127.073147048672j</v>
      </c>
      <c r="BA140" s="86">
        <f t="shared" si="90"/>
        <v>44.657346517016627</v>
      </c>
      <c r="BB140" s="86">
        <f t="shared" si="91"/>
        <v>131.98343803458044</v>
      </c>
      <c r="BD140" s="86" t="str">
        <f t="shared" si="92"/>
        <v>9.03505974499858-32.8361086472322j</v>
      </c>
      <c r="BE140" s="86">
        <f t="shared" si="93"/>
        <v>30.643989569905319</v>
      </c>
      <c r="BF140" s="86">
        <f t="shared" si="94"/>
        <v>105.38457269518314</v>
      </c>
      <c r="BH140" s="86">
        <f t="shared" si="101"/>
        <v>-29.643989569905319</v>
      </c>
      <c r="BI140" s="157">
        <f t="shared" si="102"/>
        <v>-105.38457269518314</v>
      </c>
      <c r="BJ140" s="88"/>
      <c r="BK140" s="88"/>
      <c r="BL140" s="88"/>
      <c r="BM140" s="88"/>
      <c r="BN140" s="42"/>
      <c r="BO140" s="42"/>
      <c r="BP140" s="42"/>
    </row>
    <row r="141" spans="1:68" s="86" customFormat="1">
      <c r="A141" s="86">
        <v>77</v>
      </c>
      <c r="B141" s="86">
        <f t="shared" si="52"/>
        <v>3467.3685045253178</v>
      </c>
      <c r="C141" s="86" t="str">
        <f t="shared" si="53"/>
        <v>21786.1188422107j</v>
      </c>
      <c r="D141" s="86">
        <f t="shared" si="54"/>
        <v>0.99998797735565381</v>
      </c>
      <c r="E141" s="86" t="str">
        <f t="shared" si="55"/>
        <v>-0.00544652971055268j</v>
      </c>
      <c r="F141" s="86" t="str">
        <f t="shared" si="56"/>
        <v>0.999987977355654-0.00544652971055268j</v>
      </c>
      <c r="G141" s="86">
        <f t="shared" si="57"/>
        <v>2.4405291110621002E-5</v>
      </c>
      <c r="H141" s="86">
        <f t="shared" si="58"/>
        <v>-0.31206383146853622</v>
      </c>
      <c r="J141" s="86">
        <f t="shared" si="59"/>
        <v>4.8</v>
      </c>
      <c r="K141" s="86" t="str">
        <f t="shared" si="60"/>
        <v>1+0.890725468863784j</v>
      </c>
      <c r="L141" s="86">
        <f t="shared" si="61"/>
        <v>0.92237819631819895</v>
      </c>
      <c r="M141" s="86" t="str">
        <f t="shared" si="62"/>
        <v>0.124551241420919j</v>
      </c>
      <c r="N141" s="86" t="str">
        <f t="shared" si="63"/>
        <v>0.922378196318199+0.124551241420919j</v>
      </c>
      <c r="O141" s="86" t="str">
        <f t="shared" si="64"/>
        <v>1.19280348777723+0.804616063836249j</v>
      </c>
      <c r="P141" s="86" t="str">
        <f t="shared" si="65"/>
        <v>5.7254567413307+3.86215710641399j</v>
      </c>
      <c r="R141" s="86">
        <f t="shared" si="66"/>
        <v>11.52</v>
      </c>
      <c r="S141" s="86" t="str">
        <f t="shared" si="67"/>
        <v>1+0.00185182010158791j</v>
      </c>
      <c r="T141" s="86" t="str">
        <f t="shared" si="68"/>
        <v>0.922378196318199+0.124551241420919j</v>
      </c>
      <c r="U141" s="86" t="str">
        <f t="shared" si="69"/>
        <v>1.06500594296382-0.141802996577003j</v>
      </c>
      <c r="V141" s="86" t="str">
        <f t="shared" si="70"/>
        <v>12.2688684629432-1.63357052056707j</v>
      </c>
      <c r="X141" s="86" t="str">
        <f t="shared" si="71"/>
        <v>3.54480927986357+2.36319259260601j</v>
      </c>
      <c r="Y141" s="86">
        <f t="shared" si="72"/>
        <v>12.588850534154648</v>
      </c>
      <c r="Z141" s="86">
        <f t="shared" si="73"/>
        <v>-146.31008459040029</v>
      </c>
      <c r="AB141" s="86" t="str">
        <f t="shared" si="74"/>
        <v>10.2274662078553-1.36176268803524j</v>
      </c>
      <c r="AC141" s="86">
        <f t="shared" si="75"/>
        <v>20.271679517157875</v>
      </c>
      <c r="AD141" s="86">
        <f t="shared" si="76"/>
        <v>172.4158121433961</v>
      </c>
      <c r="AF141" s="86" t="str">
        <f t="shared" si="77"/>
        <v>1.6487737909504-1.15695343278519j</v>
      </c>
      <c r="AG141" s="86">
        <f t="shared" si="78"/>
        <v>6.0820460727525063</v>
      </c>
      <c r="AH141" s="86">
        <f t="shared" si="79"/>
        <v>144.9424545809828</v>
      </c>
      <c r="AJ141" s="86" t="str">
        <f t="shared" si="80"/>
        <v>15.0499999838203-0.000493461037775282j</v>
      </c>
      <c r="AK141" s="86" t="str">
        <f t="shared" si="81"/>
        <v>30.1-1.97384415322313E-11j</v>
      </c>
      <c r="AL141" s="86" t="str">
        <f t="shared" si="95"/>
        <v>10000-1020017.48834522j</v>
      </c>
      <c r="AM141" s="86" t="str">
        <f t="shared" si="96"/>
        <v>963.095093213087-316563.66324291j</v>
      </c>
      <c r="AN141" s="86" t="str">
        <f t="shared" si="97"/>
        <v>10963.0950932131-316563.66324291j</v>
      </c>
      <c r="AO141" s="86" t="str">
        <f t="shared" si="98"/>
        <v>30.0999007315175-0.00285856790758334j</v>
      </c>
      <c r="AP141" s="86" t="str">
        <f t="shared" si="99"/>
        <v>0.666666666825936+7.28624626357748E-06j</v>
      </c>
      <c r="AQ141" s="86" t="str">
        <f t="shared" si="82"/>
        <v>1+1.217234031952j</v>
      </c>
      <c r="AR141" s="86">
        <f t="shared" si="83"/>
        <v>7.3481194721110525E-8</v>
      </c>
      <c r="AS141" s="86" t="str">
        <f t="shared" si="84"/>
        <v>6.41791174859409E-06j</v>
      </c>
      <c r="AT141" s="86" t="str">
        <f t="shared" si="85"/>
        <v>7.34811947211105E-08+6.41791174859409E-06j</v>
      </c>
      <c r="AU141" s="86" t="str">
        <f t="shared" si="86"/>
        <v>19.1420890147682-15.362226888105j</v>
      </c>
      <c r="AW141" s="86" t="str">
        <f t="shared" si="100"/>
        <v>12.6036046982462-10.4323404356126j</v>
      </c>
      <c r="AX141" s="86">
        <f t="shared" si="87"/>
        <v>24.276233516553361</v>
      </c>
      <c r="AY141" s="86">
        <f t="shared" si="88"/>
        <v>140.38453371768901</v>
      </c>
      <c r="AZ141" s="86" t="str">
        <f t="shared" si="89"/>
        <v>114.696569194381-123.859527886887j</v>
      </c>
      <c r="BA141" s="86">
        <f t="shared" si="90"/>
        <v>44.547913033711225</v>
      </c>
      <c r="BB141" s="86">
        <f t="shared" si="91"/>
        <v>132.8003458610853</v>
      </c>
      <c r="BD141" s="86" t="str">
        <f t="shared" si="92"/>
        <v>8.71076101900202-31.7823532096136j</v>
      </c>
      <c r="BE141" s="86">
        <f t="shared" si="93"/>
        <v>30.358279589305873</v>
      </c>
      <c r="BF141" s="86">
        <f t="shared" si="94"/>
        <v>105.32698829867198</v>
      </c>
      <c r="BH141" s="86">
        <f t="shared" si="101"/>
        <v>-29.358279589305873</v>
      </c>
      <c r="BI141" s="157">
        <f t="shared" si="102"/>
        <v>-105.32698829867198</v>
      </c>
      <c r="BJ141" s="88"/>
      <c r="BK141" s="88"/>
      <c r="BL141" s="88"/>
      <c r="BM141" s="88"/>
      <c r="BN141" s="42"/>
      <c r="BO141" s="42"/>
      <c r="BP141" s="42"/>
    </row>
    <row r="142" spans="1:68" s="86" customFormat="1">
      <c r="A142" s="86">
        <v>78</v>
      </c>
      <c r="B142" s="86">
        <f t="shared" si="52"/>
        <v>3630.7805477010156</v>
      </c>
      <c r="C142" s="86" t="str">
        <f t="shared" si="53"/>
        <v>22812.8669909085j</v>
      </c>
      <c r="D142" s="86">
        <f t="shared" si="54"/>
        <v>0.99998681743261442</v>
      </c>
      <c r="E142" s="86" t="str">
        <f t="shared" si="55"/>
        <v>-0.00570321674772712j</v>
      </c>
      <c r="F142" s="86" t="str">
        <f t="shared" si="56"/>
        <v>0.999986817432614-0.00570321674772712j</v>
      </c>
      <c r="G142" s="86">
        <f t="shared" si="57"/>
        <v>2.6759928722562849E-5</v>
      </c>
      <c r="H142" s="86">
        <f t="shared" si="58"/>
        <v>-0.32677101403248882</v>
      </c>
      <c r="J142" s="86">
        <f t="shared" si="59"/>
        <v>4.8</v>
      </c>
      <c r="K142" s="86" t="str">
        <f t="shared" si="60"/>
        <v>1+0.932704066923294j</v>
      </c>
      <c r="L142" s="86">
        <f t="shared" si="61"/>
        <v>0.91488938471759784</v>
      </c>
      <c r="M142" s="86" t="str">
        <f t="shared" si="62"/>
        <v>0.130421160587024j</v>
      </c>
      <c r="N142" s="86" t="str">
        <f t="shared" si="63"/>
        <v>0.914889384717598+0.130421160587024j</v>
      </c>
      <c r="O142" s="86" t="str">
        <f t="shared" si="64"/>
        <v>1.21369387739367+0.846455009504003j</v>
      </c>
      <c r="P142" s="86" t="str">
        <f t="shared" si="65"/>
        <v>5.82573061148962+4.06298404561921j</v>
      </c>
      <c r="R142" s="86">
        <f t="shared" si="66"/>
        <v>11.52</v>
      </c>
      <c r="S142" s="86" t="str">
        <f t="shared" si="67"/>
        <v>1+0.00193909369422722j</v>
      </c>
      <c r="T142" s="86" t="str">
        <f t="shared" si="68"/>
        <v>0.914889384717598+0.130421160587024j</v>
      </c>
      <c r="U142" s="86" t="str">
        <f t="shared" si="69"/>
        <v>1.07155469488194-0.150634946198758j</v>
      </c>
      <c r="V142" s="86" t="str">
        <f t="shared" si="70"/>
        <v>12.34431008504-1.73531458020969j</v>
      </c>
      <c r="X142" s="86" t="str">
        <f t="shared" si="71"/>
        <v>3.60797862631119+2.48581340421275j</v>
      </c>
      <c r="Y142" s="86">
        <f t="shared" si="72"/>
        <v>12.832283436418564</v>
      </c>
      <c r="Z142" s="86">
        <f t="shared" si="73"/>
        <v>-145.43406138743796</v>
      </c>
      <c r="AB142" s="86" t="str">
        <f t="shared" si="74"/>
        <v>10.2903551892631-1.44657767606676j</v>
      </c>
      <c r="AC142" s="86">
        <f t="shared" si="75"/>
        <v>20.333593983058318</v>
      </c>
      <c r="AD142" s="86">
        <f t="shared" si="76"/>
        <v>171.99802036264941</v>
      </c>
      <c r="AF142" s="86" t="str">
        <f t="shared" si="77"/>
        <v>1.59859328558531-1.17630369687682j</v>
      </c>
      <c r="AG142" s="86">
        <f t="shared" si="78"/>
        <v>5.9540702577592235</v>
      </c>
      <c r="AH142" s="86">
        <f t="shared" si="79"/>
        <v>143.65299901366163</v>
      </c>
      <c r="AJ142" s="86" t="str">
        <f t="shared" si="80"/>
        <v>15.0499999822594-0.000516717139951729j</v>
      </c>
      <c r="AK142" s="86" t="str">
        <f t="shared" si="81"/>
        <v>30.1-2.0668685622433E-11j</v>
      </c>
      <c r="AL142" s="86" t="str">
        <f t="shared" si="95"/>
        <v>10000-974109.138981891j</v>
      </c>
      <c r="AM142" s="86" t="str">
        <f t="shared" si="96"/>
        <v>963.090845791824-302316.551331286j</v>
      </c>
      <c r="AN142" s="86" t="str">
        <f t="shared" si="97"/>
        <v>10963.0908457918-302316.551331286j</v>
      </c>
      <c r="AO142" s="86" t="str">
        <f t="shared" si="98"/>
        <v>30.0998911673938-0.00299293434201168j</v>
      </c>
      <c r="AP142" s="86" t="str">
        <f t="shared" si="99"/>
        <v>0.6666666668413+7.62963647036947E-06j</v>
      </c>
      <c r="AQ142" s="86" t="str">
        <f t="shared" si="82"/>
        <v>1+1.27460050451604j</v>
      </c>
      <c r="AR142" s="86">
        <f t="shared" si="83"/>
        <v>7.0922708223930688E-8</v>
      </c>
      <c r="AS142" s="86" t="str">
        <f t="shared" si="84"/>
        <v>6.72037861082416E-06j</v>
      </c>
      <c r="AT142" s="86" t="str">
        <f t="shared" si="85"/>
        <v>7.09227082239307E-08+6.72037861082416E-06j</v>
      </c>
      <c r="AU142" s="86" t="str">
        <f t="shared" si="86"/>
        <v>19.1211067443658-14.6783217193404j</v>
      </c>
      <c r="AW142" s="86" t="str">
        <f t="shared" si="100"/>
        <v>12.5892727297937-9.98517148662429j</v>
      </c>
      <c r="AX142" s="86">
        <f t="shared" si="87"/>
        <v>24.119451995826427</v>
      </c>
      <c r="AY142" s="86">
        <f t="shared" si="88"/>
        <v>141.58033580827038</v>
      </c>
      <c r="AZ142" s="86" t="str">
        <f t="shared" si="89"/>
        <v>115.103761799832-120.962322111902j</v>
      </c>
      <c r="BA142" s="86">
        <f t="shared" si="90"/>
        <v>44.453045978884745</v>
      </c>
      <c r="BB142" s="86">
        <f t="shared" si="91"/>
        <v>133.57835617091973</v>
      </c>
      <c r="BD142" s="86" t="str">
        <f t="shared" si="92"/>
        <v>8.37953272258527-30.7710361469824j</v>
      </c>
      <c r="BE142" s="86">
        <f t="shared" si="93"/>
        <v>30.073522253585665</v>
      </c>
      <c r="BF142" s="86">
        <f t="shared" si="94"/>
        <v>105.23333482193192</v>
      </c>
      <c r="BH142" s="86">
        <f t="shared" si="101"/>
        <v>-29.073522253585665</v>
      </c>
      <c r="BI142" s="157">
        <f t="shared" si="102"/>
        <v>-105.23333482193192</v>
      </c>
      <c r="BJ142" s="88"/>
      <c r="BK142" s="88"/>
      <c r="BL142" s="88"/>
      <c r="BM142" s="88"/>
      <c r="BN142" s="42"/>
      <c r="BO142" s="42"/>
      <c r="BP142" s="42"/>
    </row>
    <row r="143" spans="1:68" s="86" customFormat="1">
      <c r="A143" s="86">
        <v>79</v>
      </c>
      <c r="B143" s="86">
        <f t="shared" si="52"/>
        <v>3801.893963205614</v>
      </c>
      <c r="C143" s="86" t="str">
        <f t="shared" si="53"/>
        <v>23888.0042890683j</v>
      </c>
      <c r="D143" s="86">
        <f t="shared" si="54"/>
        <v>0.99998554560229258</v>
      </c>
      <c r="E143" s="86" t="str">
        <f t="shared" si="55"/>
        <v>-0.00597200107226708j</v>
      </c>
      <c r="F143" s="86" t="str">
        <f t="shared" si="56"/>
        <v>0.999985545602293-0.00597200107226708j</v>
      </c>
      <c r="G143" s="86">
        <f t="shared" si="57"/>
        <v>2.9341749497214674E-5</v>
      </c>
      <c r="H143" s="86">
        <f t="shared" si="58"/>
        <v>-0.3421713347252428</v>
      </c>
      <c r="J143" s="86">
        <f t="shared" si="59"/>
        <v>4.8</v>
      </c>
      <c r="K143" s="86" t="str">
        <f t="shared" si="60"/>
        <v>1+0.976661055358557j</v>
      </c>
      <c r="L143" s="86">
        <f t="shared" si="61"/>
        <v>0.90667806608251511</v>
      </c>
      <c r="M143" s="86" t="str">
        <f t="shared" si="62"/>
        <v>0.136567720520603j</v>
      </c>
      <c r="N143" s="86" t="str">
        <f t="shared" si="63"/>
        <v>0.906678066082515+0.136567720520603j</v>
      </c>
      <c r="O143" s="86" t="str">
        <f t="shared" si="64"/>
        <v>1.23711052965221+0.890847281419082j</v>
      </c>
      <c r="P143" s="86" t="str">
        <f t="shared" si="65"/>
        <v>5.93813054233061+4.27606695081159j</v>
      </c>
      <c r="R143" s="86">
        <f t="shared" si="66"/>
        <v>11.52</v>
      </c>
      <c r="S143" s="86" t="str">
        <f t="shared" si="67"/>
        <v>1+0.00203048036457081j</v>
      </c>
      <c r="T143" s="86" t="str">
        <f t="shared" si="68"/>
        <v>0.906678066082515+0.136567720520603j</v>
      </c>
      <c r="U143" s="86" t="str">
        <f t="shared" si="69"/>
        <v>1.07878940992884-0.160252393552393j</v>
      </c>
      <c r="V143" s="86" t="str">
        <f t="shared" si="70"/>
        <v>12.4276540023802-1.84610757372357j</v>
      </c>
      <c r="X143" s="86" t="str">
        <f t="shared" si="71"/>
        <v>3.67876811113507+2.61587324061868j</v>
      </c>
      <c r="Y143" s="86">
        <f t="shared" si="72"/>
        <v>13.091216521806469</v>
      </c>
      <c r="Z143" s="86">
        <f t="shared" si="73"/>
        <v>-144.58438916685395</v>
      </c>
      <c r="AB143" s="86" t="str">
        <f t="shared" si="74"/>
        <v>10.359831612521-1.53893595675523j</v>
      </c>
      <c r="AC143" s="86">
        <f t="shared" si="75"/>
        <v>20.401845952559327</v>
      </c>
      <c r="AD143" s="86">
        <f t="shared" si="76"/>
        <v>171.55059450930636</v>
      </c>
      <c r="AF143" s="86" t="str">
        <f t="shared" si="77"/>
        <v>1.54681242987429-1.19373327928508j</v>
      </c>
      <c r="AG143" s="86">
        <f t="shared" si="78"/>
        <v>5.817935885522707</v>
      </c>
      <c r="AH143" s="86">
        <f t="shared" si="79"/>
        <v>142.34128153384145</v>
      </c>
      <c r="AJ143" s="86" t="str">
        <f t="shared" si="80"/>
        <v>15.0499999805478-0.000541069268449134j</v>
      </c>
      <c r="AK143" s="86" t="str">
        <f t="shared" si="81"/>
        <v>30.1-2.16427707659388E-11j</v>
      </c>
      <c r="AL143" s="86" t="str">
        <f t="shared" si="95"/>
        <v>10000-930267.005703431j</v>
      </c>
      <c r="AM143" s="86" t="str">
        <f t="shared" si="96"/>
        <v>963.08618863008-288710.693351514j</v>
      </c>
      <c r="AN143" s="86" t="str">
        <f t="shared" si="97"/>
        <v>10963.0861886301-288710.693351514j</v>
      </c>
      <c r="AO143" s="86" t="str">
        <f t="shared" si="98"/>
        <v>30.0998806831905-0.00313358096939073j</v>
      </c>
      <c r="AP143" s="86" t="str">
        <f t="shared" si="99"/>
        <v>0.666666666858149+7.98921015897037E-06j</v>
      </c>
      <c r="AQ143" s="86" t="str">
        <f t="shared" si="82"/>
        <v>1+1.33467057563882j</v>
      </c>
      <c r="AR143" s="86">
        <f t="shared" si="83"/>
        <v>6.8117383564646483E-8</v>
      </c>
      <c r="AS143" s="86" t="str">
        <f t="shared" si="84"/>
        <v>7.03710029710462E-06j</v>
      </c>
      <c r="AT143" s="86" t="str">
        <f t="shared" si="85"/>
        <v>6.81173835646465E-08+7.03710029710462E-06j</v>
      </c>
      <c r="AU143" s="86" t="str">
        <f t="shared" si="86"/>
        <v>19.1019641613389-14.0254963000873j</v>
      </c>
      <c r="AW143" s="86" t="str">
        <f t="shared" si="100"/>
        <v>12.5761346764499-9.55914472658701j</v>
      </c>
      <c r="AX143" s="86">
        <f t="shared" si="87"/>
        <v>23.97133925008179</v>
      </c>
      <c r="AY143" s="86">
        <f t="shared" si="88"/>
        <v>142.76146286749966</v>
      </c>
      <c r="AZ143" s="86" t="str">
        <f t="shared" si="89"/>
        <v>115.575726048835-118.384995577745j</v>
      </c>
      <c r="BA143" s="86">
        <f t="shared" si="90"/>
        <v>44.373185202641132</v>
      </c>
      <c r="BB143" s="86">
        <f t="shared" si="91"/>
        <v>134.31205737680585</v>
      </c>
      <c r="BD143" s="86" t="str">
        <f t="shared" si="92"/>
        <v>8.04185225567625-29.7987543701014j</v>
      </c>
      <c r="BE143" s="86">
        <f t="shared" si="93"/>
        <v>29.789275135604484</v>
      </c>
      <c r="BF143" s="86">
        <f t="shared" si="94"/>
        <v>105.10274440134086</v>
      </c>
      <c r="BH143" s="86">
        <f t="shared" si="101"/>
        <v>-28.789275135604484</v>
      </c>
      <c r="BI143" s="157">
        <f t="shared" si="102"/>
        <v>-105.10274440134086</v>
      </c>
      <c r="BJ143" s="88"/>
      <c r="BK143" s="88"/>
      <c r="BL143" s="88"/>
      <c r="BM143" s="88"/>
      <c r="BN143" s="42"/>
      <c r="BO143" s="42"/>
      <c r="BP143" s="42"/>
    </row>
    <row r="144" spans="1:68" s="86" customFormat="1">
      <c r="A144" s="86">
        <v>80</v>
      </c>
      <c r="B144" s="86">
        <f t="shared" si="52"/>
        <v>3981.0717055349755</v>
      </c>
      <c r="C144" s="86" t="str">
        <f t="shared" si="53"/>
        <v>25013.8112470457j</v>
      </c>
      <c r="D144" s="86">
        <f t="shared" si="54"/>
        <v>0.99998415106807537</v>
      </c>
      <c r="E144" s="86" t="str">
        <f t="shared" si="55"/>
        <v>-0.00625345281176143j</v>
      </c>
      <c r="F144" s="86" t="str">
        <f t="shared" si="56"/>
        <v>0.999984151068075-0.00625345281176143j</v>
      </c>
      <c r="G144" s="86">
        <f t="shared" si="57"/>
        <v>3.2172674055713057E-5</v>
      </c>
      <c r="H144" s="86">
        <f t="shared" si="58"/>
        <v>-0.35829746161722925</v>
      </c>
      <c r="J144" s="86">
        <f t="shared" si="59"/>
        <v>4.8</v>
      </c>
      <c r="K144" s="86" t="str">
        <f t="shared" si="60"/>
        <v>1+1.02268967283546j</v>
      </c>
      <c r="L144" s="86">
        <f t="shared" si="61"/>
        <v>0.89767453423756316</v>
      </c>
      <c r="M144" s="86" t="str">
        <f t="shared" si="62"/>
        <v>0.14300395889936j</v>
      </c>
      <c r="N144" s="86" t="str">
        <f t="shared" si="63"/>
        <v>0.897674534237563+0.14300395889936j</v>
      </c>
      <c r="O144" s="86" t="str">
        <f t="shared" si="64"/>
        <v>1.26341702237973+0.93799701871846j</v>
      </c>
      <c r="P144" s="86" t="str">
        <f t="shared" si="65"/>
        <v>6.0644017074227+4.50238568984861j</v>
      </c>
      <c r="R144" s="86">
        <f t="shared" si="66"/>
        <v>11.52</v>
      </c>
      <c r="S144" s="86" t="str">
        <f t="shared" si="67"/>
        <v>1+0.00212617395599888j</v>
      </c>
      <c r="T144" s="86" t="str">
        <f t="shared" si="68"/>
        <v>0.897674534237563+0.14300395889936j</v>
      </c>
      <c r="U144" s="86" t="str">
        <f t="shared" si="69"/>
        <v>1.08678629230299-0.170761854630399j</v>
      </c>
      <c r="V144" s="86" t="str">
        <f t="shared" si="70"/>
        <v>12.5197780873304-1.9671765653422j</v>
      </c>
      <c r="X144" s="86" t="str">
        <f t="shared" si="71"/>
        <v>3.75827040404524+2.75395903020355j</v>
      </c>
      <c r="Y144" s="86">
        <f t="shared" si="72"/>
        <v>13.366375534379067</v>
      </c>
      <c r="Z144" s="86">
        <f t="shared" si="73"/>
        <v>-143.7670456803038</v>
      </c>
      <c r="AB144" s="86" t="str">
        <f t="shared" si="74"/>
        <v>10.4366272818693-1.63986042459336j</v>
      </c>
      <c r="AC144" s="86">
        <f t="shared" si="75"/>
        <v>20.47712179283576</v>
      </c>
      <c r="AD144" s="86">
        <f t="shared" si="76"/>
        <v>171.07037965237345</v>
      </c>
      <c r="AF144" s="86" t="str">
        <f t="shared" si="77"/>
        <v>1.49358304931203-1.20907944737948j</v>
      </c>
      <c r="AG144" s="86">
        <f t="shared" si="78"/>
        <v>5.6733972604604164</v>
      </c>
      <c r="AH144" s="86">
        <f t="shared" si="79"/>
        <v>141.00927460896932</v>
      </c>
      <c r="AJ144" s="86" t="str">
        <f t="shared" si="80"/>
        <v>15.0499999786711-0.000566569077395452j</v>
      </c>
      <c r="AK144" s="86" t="str">
        <f t="shared" si="81"/>
        <v>30.1-2.26627631279359E-11j</v>
      </c>
      <c r="AL144" s="86" t="str">
        <f t="shared" si="95"/>
        <v>10000-888398.093467134j</v>
      </c>
      <c r="AM144" s="86" t="str">
        <f t="shared" si="96"/>
        <v>963.08108220555-275717.229453788j</v>
      </c>
      <c r="AN144" s="86" t="str">
        <f t="shared" si="97"/>
        <v>10963.0810822056-275717.229453788j</v>
      </c>
      <c r="AO144" s="86" t="str">
        <f t="shared" si="98"/>
        <v>30.0998691906747-0.00328079604397739j</v>
      </c>
      <c r="AP144" s="86" t="str">
        <f t="shared" si="99"/>
        <v>0.666666666876622+8.36573003337246E-06j</v>
      </c>
      <c r="AQ144" s="86" t="str">
        <f t="shared" si="82"/>
        <v>1+1.39757166199494j</v>
      </c>
      <c r="AR144" s="86">
        <f t="shared" si="83"/>
        <v>6.5041406242638673E-8</v>
      </c>
      <c r="AS144" s="86" t="str">
        <f t="shared" si="84"/>
        <v>0.0000073687486165957j</v>
      </c>
      <c r="AT144" s="86" t="str">
        <f t="shared" si="85"/>
        <v>6.50414062426387E-08+0.0000073687486165957j</v>
      </c>
      <c r="AU144" s="86" t="str">
        <f t="shared" si="86"/>
        <v>19.0844989701954-13.4023729791949j</v>
      </c>
      <c r="AW144" s="86" t="str">
        <f t="shared" si="100"/>
        <v>12.5640791515639-9.15336105857982j</v>
      </c>
      <c r="AX144" s="86">
        <f t="shared" si="87"/>
        <v>23.831690132473771</v>
      </c>
      <c r="AY144" s="86">
        <f t="shared" si="88"/>
        <v>143.9253827470408</v>
      </c>
      <c r="AZ144" s="86" t="str">
        <f t="shared" si="89"/>
        <v>116.116376692798-116.133553916882j</v>
      </c>
      <c r="BA144" s="86">
        <f t="shared" si="90"/>
        <v>44.308811925309527</v>
      </c>
      <c r="BB144" s="86">
        <f t="shared" si="91"/>
        <v>134.99576239941433</v>
      </c>
      <c r="BD144" s="86" t="str">
        <f t="shared" si="92"/>
        <v>7.69835492061792-28.8622747987325j</v>
      </c>
      <c r="BE144" s="86">
        <f t="shared" si="93"/>
        <v>29.505087392934168</v>
      </c>
      <c r="BF144" s="86">
        <f t="shared" si="94"/>
        <v>104.93465735601006</v>
      </c>
      <c r="BH144" s="86">
        <f t="shared" si="101"/>
        <v>-28.505087392934168</v>
      </c>
      <c r="BI144" s="157">
        <f t="shared" si="102"/>
        <v>-104.93465735601006</v>
      </c>
      <c r="BJ144" s="88"/>
      <c r="BK144" s="88"/>
      <c r="BL144" s="88"/>
      <c r="BM144" s="88"/>
      <c r="BN144" s="42"/>
      <c r="BO144" s="42"/>
      <c r="BP144" s="42"/>
    </row>
    <row r="145" spans="1:68" s="86" customFormat="1">
      <c r="A145" s="86">
        <v>81</v>
      </c>
      <c r="B145" s="86">
        <f t="shared" si="52"/>
        <v>4168.6938347033556</v>
      </c>
      <c r="C145" s="86" t="str">
        <f t="shared" si="53"/>
        <v>26192.6758523383j</v>
      </c>
      <c r="D145" s="86">
        <f t="shared" si="54"/>
        <v>0.99998262199171251</v>
      </c>
      <c r="E145" s="86" t="str">
        <f t="shared" si="55"/>
        <v>-0.00654816896308457j</v>
      </c>
      <c r="F145" s="86" t="str">
        <f t="shared" si="56"/>
        <v>0.999982621991713-0.00654816896308457j</v>
      </c>
      <c r="G145" s="86">
        <f t="shared" si="57"/>
        <v>3.5276738414673156E-5</v>
      </c>
      <c r="H145" s="86">
        <f t="shared" si="58"/>
        <v>-0.37518360259638628</v>
      </c>
      <c r="J145" s="86">
        <f t="shared" si="59"/>
        <v>4.8</v>
      </c>
      <c r="K145" s="86" t="str">
        <f t="shared" si="60"/>
        <v>1+1.07088755222285j</v>
      </c>
      <c r="L145" s="86">
        <f t="shared" si="61"/>
        <v>0.88780235788129136</v>
      </c>
      <c r="M145" s="86" t="str">
        <f t="shared" si="62"/>
        <v>0.149743527847818j</v>
      </c>
      <c r="N145" s="86" t="str">
        <f t="shared" si="63"/>
        <v>0.887802357881291+0.149743527847818j</v>
      </c>
      <c r="O145" s="86" t="str">
        <f t="shared" si="64"/>
        <v>1.29304213449918+0.988128555369719j</v>
      </c>
      <c r="P145" s="86" t="str">
        <f t="shared" si="65"/>
        <v>6.20660224559606+4.74301706577465j</v>
      </c>
      <c r="R145" s="86">
        <f t="shared" si="66"/>
        <v>11.52</v>
      </c>
      <c r="S145" s="86" t="str">
        <f t="shared" si="67"/>
        <v>1+0.00222637744744876j</v>
      </c>
      <c r="T145" s="86" t="str">
        <f t="shared" si="68"/>
        <v>0.887802357881291+0.149743527847818j</v>
      </c>
      <c r="U145" s="86" t="str">
        <f t="shared" si="69"/>
        <v>1.09563045669269-0.182289662691874j</v>
      </c>
      <c r="V145" s="86" t="str">
        <f t="shared" si="70"/>
        <v>12.6216628610998-2.09997691421039j</v>
      </c>
      <c r="X145" s="86" t="str">
        <f t="shared" si="71"/>
        <v>3.84777327744306+2.90071410756212j</v>
      </c>
      <c r="Y145" s="86">
        <f t="shared" si="72"/>
        <v>13.658528921561068</v>
      </c>
      <c r="Z145" s="86">
        <f t="shared" si="73"/>
        <v>-142.98851950806312</v>
      </c>
      <c r="AB145" s="86" t="str">
        <f t="shared" si="74"/>
        <v>10.5215595707734-1.75056428326975j</v>
      </c>
      <c r="AC145" s="86">
        <f t="shared" si="75"/>
        <v>20.560189442703884</v>
      </c>
      <c r="AD145" s="86">
        <f t="shared" si="76"/>
        <v>170.55372722699133</v>
      </c>
      <c r="AF145" s="86" t="str">
        <f t="shared" si="77"/>
        <v>1.43907816437152-1.22219383569685j</v>
      </c>
      <c r="AG145" s="86">
        <f t="shared" si="78"/>
        <v>5.5202344119478592</v>
      </c>
      <c r="AH145" s="86">
        <f t="shared" si="79"/>
        <v>139.65910839890259</v>
      </c>
      <c r="AJ145" s="86" t="str">
        <f t="shared" si="80"/>
        <v>15.0499999766133-0.000593270655302521j</v>
      </c>
      <c r="AK145" s="86" t="str">
        <f t="shared" si="81"/>
        <v>30.1-2.3730826248977E-11j</v>
      </c>
      <c r="AL145" s="86" t="str">
        <f t="shared" si="95"/>
        <v>10000-848413.592696694j</v>
      </c>
      <c r="AM145" s="86" t="str">
        <f t="shared" si="96"/>
        <v>963.075483184612-263308.598758131j</v>
      </c>
      <c r="AN145" s="86" t="str">
        <f t="shared" si="97"/>
        <v>10963.0754831846-263308.598758131j</v>
      </c>
      <c r="AO145" s="86" t="str">
        <f t="shared" si="98"/>
        <v>30.0998565932086-0.00343488026783402j</v>
      </c>
      <c r="AP145" s="86" t="str">
        <f t="shared" si="99"/>
        <v>0.666666666896879+0.0000087599947426988j</v>
      </c>
      <c r="AQ145" s="86" t="str">
        <f t="shared" si="82"/>
        <v>1+1.46343718522185j</v>
      </c>
      <c r="AR145" s="86">
        <f t="shared" si="83"/>
        <v>6.1668664177225835E-8</v>
      </c>
      <c r="AS145" s="86" t="str">
        <f t="shared" si="84"/>
        <v>7.71602703984795E-06j</v>
      </c>
      <c r="AT145" s="86" t="str">
        <f t="shared" si="85"/>
        <v>6.16686641772258E-08+7.71602703984795E-06j</v>
      </c>
      <c r="AU145" s="86" t="str">
        <f t="shared" si="86"/>
        <v>19.0685630801544-12.8076361936926j</v>
      </c>
      <c r="AW145" s="86" t="str">
        <f t="shared" si="100"/>
        <v>12.5530039359604-8.76696369122867j</v>
      </c>
      <c r="AX145" s="86">
        <f t="shared" si="87"/>
        <v>23.700271929771631</v>
      </c>
      <c r="AY145" s="86">
        <f t="shared" si="88"/>
        <v>145.06971818671241</v>
      </c>
      <c r="AZ145" s="86" t="str">
        <f t="shared" si="89"/>
        <v>116.730045193773-114.216971070107j</v>
      </c>
      <c r="BA145" s="86">
        <f t="shared" si="90"/>
        <v>44.26046137247554</v>
      </c>
      <c r="BB145" s="86">
        <f t="shared" si="91"/>
        <v>135.62344541370373</v>
      </c>
      <c r="BD145" s="86" t="str">
        <f t="shared" si="92"/>
        <v>7.34982488031264-27.9585500458943j</v>
      </c>
      <c r="BE145" s="86">
        <f t="shared" si="93"/>
        <v>29.220506341719524</v>
      </c>
      <c r="BF145" s="86">
        <f t="shared" si="94"/>
        <v>104.72882658561508</v>
      </c>
      <c r="BH145" s="86">
        <f t="shared" si="101"/>
        <v>-28.220506341719524</v>
      </c>
      <c r="BI145" s="157">
        <f t="shared" si="102"/>
        <v>-104.72882658561508</v>
      </c>
      <c r="BJ145" s="88"/>
      <c r="BK145" s="88"/>
      <c r="BL145" s="88"/>
      <c r="BM145" s="88"/>
      <c r="BN145" s="42"/>
      <c r="BO145" s="42"/>
      <c r="BP145" s="42"/>
    </row>
    <row r="146" spans="1:68" s="86" customFormat="1">
      <c r="A146" s="86">
        <v>82</v>
      </c>
      <c r="B146" s="86">
        <f t="shared" si="52"/>
        <v>4365.1583224016631</v>
      </c>
      <c r="C146" s="86" t="str">
        <f t="shared" si="53"/>
        <v>27427.0986348268j</v>
      </c>
      <c r="D146" s="86">
        <f t="shared" si="54"/>
        <v>0.99998094539282034</v>
      </c>
      <c r="E146" s="86" t="str">
        <f t="shared" si="55"/>
        <v>-0.0068567746587067j</v>
      </c>
      <c r="F146" s="86" t="str">
        <f t="shared" si="56"/>
        <v>0.99998094539282-0.0068567746587067j</v>
      </c>
      <c r="G146" s="86">
        <f t="shared" si="57"/>
        <v>3.8680298082200208E-5</v>
      </c>
      <c r="H146" s="86">
        <f t="shared" si="58"/>
        <v>-0.39286557796992777</v>
      </c>
      <c r="J146" s="86">
        <f t="shared" si="59"/>
        <v>4.8</v>
      </c>
      <c r="K146" s="86" t="str">
        <f t="shared" si="60"/>
        <v>1+1.12135692768489j</v>
      </c>
      <c r="L146" s="86">
        <f t="shared" si="61"/>
        <v>0.87697773175816029</v>
      </c>
      <c r="M146" s="86" t="str">
        <f t="shared" si="62"/>
        <v>0.156800722895305j</v>
      </c>
      <c r="N146" s="86" t="str">
        <f t="shared" si="63"/>
        <v>0.87697773175816+0.156800722895305j</v>
      </c>
      <c r="O146" s="86" t="str">
        <f t="shared" si="64"/>
        <v>1.32649439633341+1.0414878443859j</v>
      </c>
      <c r="P146" s="86" t="str">
        <f t="shared" si="65"/>
        <v>6.36717310240037+4.99914165305232j</v>
      </c>
      <c r="R146" s="86">
        <f t="shared" si="66"/>
        <v>11.52</v>
      </c>
      <c r="S146" s="86" t="str">
        <f t="shared" si="67"/>
        <v>1+0.00233130338396028j</v>
      </c>
      <c r="T146" s="86" t="str">
        <f t="shared" si="68"/>
        <v>0.87697773175816+0.156800722895305j</v>
      </c>
      <c r="U146" s="86" t="str">
        <f t="shared" si="69"/>
        <v>1.10541685779838-0.194986546211002j</v>
      </c>
      <c r="V146" s="86" t="str">
        <f t="shared" si="70"/>
        <v>12.7344022018373-2.24624501235074j</v>
      </c>
      <c r="X146" s="86" t="str">
        <f t="shared" si="71"/>
        <v>3.94880295682127+3.05684162441218j</v>
      </c>
      <c r="Y146" s="86">
        <f t="shared" si="72"/>
        <v>13.968498741959902</v>
      </c>
      <c r="Z146" s="86">
        <f t="shared" si="73"/>
        <v>-142.25588139302479</v>
      </c>
      <c r="AB146" s="86" t="str">
        <f t="shared" si="74"/>
        <v>10.6155403483139-1.87249500862849j</v>
      </c>
      <c r="AC146" s="86">
        <f t="shared" si="75"/>
        <v>20.651909328786058</v>
      </c>
      <c r="AD146" s="86">
        <f t="shared" si="76"/>
        <v>169.99639428875579</v>
      </c>
      <c r="AF146" s="86" t="str">
        <f t="shared" si="77"/>
        <v>1.38349022186649-1.23294573637994j</v>
      </c>
      <c r="AG146" s="86">
        <f t="shared" si="78"/>
        <v>5.3582563230141975</v>
      </c>
      <c r="AH146" s="86">
        <f t="shared" si="79"/>
        <v>138.29305360040735</v>
      </c>
      <c r="AJ146" s="86" t="str">
        <f t="shared" si="80"/>
        <v>15.049999974357-0.000621230639794998j</v>
      </c>
      <c r="AK146" s="86" t="str">
        <f t="shared" si="81"/>
        <v>30.1-2.48492256341394E-11j</v>
      </c>
      <c r="AL146" s="86" t="str">
        <f t="shared" si="95"/>
        <v>10000-810228.69090515j</v>
      </c>
      <c r="AM146" s="86" t="str">
        <f t="shared" si="96"/>
        <v>963.069344055074-251458.480894048j</v>
      </c>
      <c r="AN146" s="86" t="str">
        <f t="shared" si="97"/>
        <v>10963.0693440551-251458.480894048j</v>
      </c>
      <c r="AO146" s="86" t="str">
        <f t="shared" si="98"/>
        <v>30.0998427849605-0.00359614721078818j</v>
      </c>
      <c r="AP146" s="86" t="str">
        <f t="shared" si="99"/>
        <v>0.666666666919089+9.17284057524449E-06j</v>
      </c>
      <c r="AQ146" s="86" t="str">
        <f t="shared" si="82"/>
        <v>1+1.53240685492504j</v>
      </c>
      <c r="AR146" s="86">
        <f t="shared" si="83"/>
        <v>5.7970526041286131E-8</v>
      </c>
      <c r="AS146" s="86" t="str">
        <f t="shared" si="84"/>
        <v>8.07967219095745E-06j</v>
      </c>
      <c r="AT146" s="86" t="str">
        <f t="shared" si="85"/>
        <v>5.79705260412861E-08+8.07967219095745E-06j</v>
      </c>
      <c r="AU146" s="86" t="str">
        <f t="shared" si="86"/>
        <v>19.0540213538408-12.2400297959609j</v>
      </c>
      <c r="AW146" s="86" t="str">
        <f t="shared" si="100"/>
        <v>12.5428151142978-8.39913639634351j</v>
      </c>
      <c r="AX146" s="86">
        <f t="shared" si="87"/>
        <v>23.576827748609688</v>
      </c>
      <c r="AY146" s="86">
        <f t="shared" si="88"/>
        <v>146.19226133958034</v>
      </c>
      <c r="AZ146" s="86" t="str">
        <f t="shared" si="89"/>
        <v>117.421418948326-112.647730002049j</v>
      </c>
      <c r="BA146" s="86">
        <f t="shared" si="90"/>
        <v>44.228737077395728</v>
      </c>
      <c r="BB146" s="86">
        <f t="shared" si="91"/>
        <v>136.18865562833599</v>
      </c>
      <c r="BD146" s="86" t="str">
        <f t="shared" si="92"/>
        <v>6.99718265616481-27.0847334938394j</v>
      </c>
      <c r="BE146" s="86">
        <f t="shared" si="93"/>
        <v>28.935084071623834</v>
      </c>
      <c r="BF146" s="86">
        <f t="shared" si="94"/>
        <v>104.48531493998753</v>
      </c>
      <c r="BH146" s="86">
        <f t="shared" si="101"/>
        <v>-27.935084071623834</v>
      </c>
      <c r="BI146" s="157">
        <f t="shared" si="102"/>
        <v>-104.48531493998753</v>
      </c>
      <c r="BJ146" s="88"/>
      <c r="BK146" s="88"/>
      <c r="BL146" s="88"/>
      <c r="BM146" s="88"/>
      <c r="BN146" s="42"/>
      <c r="BO146" s="42"/>
      <c r="BP146" s="42"/>
    </row>
    <row r="147" spans="1:68" s="86" customFormat="1">
      <c r="A147" s="86">
        <v>83</v>
      </c>
      <c r="B147" s="86">
        <f t="shared" si="52"/>
        <v>4570.8818961487532</v>
      </c>
      <c r="C147" s="86" t="str">
        <f t="shared" si="53"/>
        <v>28719.697970735j</v>
      </c>
      <c r="D147" s="86">
        <f t="shared" si="54"/>
        <v>0.99997910703869142</v>
      </c>
      <c r="E147" s="86" t="str">
        <f t="shared" si="55"/>
        <v>-0.00717992449268375j</v>
      </c>
      <c r="F147" s="86" t="str">
        <f t="shared" si="56"/>
        <v>0.999979107038691-0.00717992449268375j</v>
      </c>
      <c r="G147" s="86">
        <f t="shared" si="57"/>
        <v>4.2412252049484074E-5</v>
      </c>
      <c r="H147" s="86">
        <f t="shared" si="58"/>
        <v>-0.41138089649253429</v>
      </c>
      <c r="J147" s="86">
        <f t="shared" si="59"/>
        <v>4.8</v>
      </c>
      <c r="K147" s="86" t="str">
        <f t="shared" si="60"/>
        <v>1+1.1742048515335j</v>
      </c>
      <c r="L147" s="86">
        <f t="shared" si="61"/>
        <v>0.86510876523274449</v>
      </c>
      <c r="M147" s="86" t="str">
        <f t="shared" si="62"/>
        <v>0.164190513298692j</v>
      </c>
      <c r="N147" s="86" t="str">
        <f t="shared" si="63"/>
        <v>0.865108765232744+0.164190513298692j</v>
      </c>
      <c r="O147" s="86" t="str">
        <f t="shared" si="64"/>
        <v>1.36438054427343+1.09834340815963j</v>
      </c>
      <c r="P147" s="86" t="str">
        <f t="shared" si="65"/>
        <v>6.54902661251246+5.27204835916622j</v>
      </c>
      <c r="R147" s="86">
        <f t="shared" si="66"/>
        <v>11.52</v>
      </c>
      <c r="S147" s="86" t="str">
        <f t="shared" si="67"/>
        <v>1+0.00244117432751248j</v>
      </c>
      <c r="T147" s="86" t="str">
        <f t="shared" si="68"/>
        <v>0.865108765232744+0.164190513298692j</v>
      </c>
      <c r="U147" s="86" t="str">
        <f t="shared" si="69"/>
        <v>1.11625118961566-0.209033463459484j</v>
      </c>
      <c r="V147" s="86" t="str">
        <f t="shared" si="70"/>
        <v>12.8592137043724-2.40806549905326j</v>
      </c>
      <c r="X147" s="86" t="str">
        <f t="shared" si="71"/>
        <v>4.06317905375886+3.22310633000601j</v>
      </c>
      <c r="Y147" s="86">
        <f t="shared" si="72"/>
        <v>14.297173806560995</v>
      </c>
      <c r="Z147" s="86">
        <f t="shared" si="73"/>
        <v>-141.57688097735308</v>
      </c>
      <c r="AB147" s="86" t="str">
        <f t="shared" si="74"/>
        <v>10.7195846151821-2.0073903793375j</v>
      </c>
      <c r="AC147" s="86">
        <f t="shared" si="75"/>
        <v>20.75324686096879</v>
      </c>
      <c r="AD147" s="86">
        <f t="shared" si="76"/>
        <v>169.39341773878436</v>
      </c>
      <c r="AF147" s="86" t="str">
        <f t="shared" si="77"/>
        <v>1.32702872610923-1.24122512750055j</v>
      </c>
      <c r="AG147" s="86">
        <f t="shared" si="78"/>
        <v>5.1873038266184492</v>
      </c>
      <c r="AH147" s="86">
        <f t="shared" si="79"/>
        <v>136.91350094356562</v>
      </c>
      <c r="AJ147" s="86" t="str">
        <f t="shared" si="80"/>
        <v>15.049999971883-0.000650508337746335j</v>
      </c>
      <c r="AK147" s="86" t="str">
        <f t="shared" si="81"/>
        <v>30.1-2.60203335584656E-11j</v>
      </c>
      <c r="AL147" s="86" t="str">
        <f t="shared" si="95"/>
        <v>10000-773762.392796272j</v>
      </c>
      <c r="AM147" s="86" t="str">
        <f t="shared" si="96"/>
        <v>963.062612723344-240141.740171474j</v>
      </c>
      <c r="AN147" s="86" t="str">
        <f t="shared" si="97"/>
        <v>10963.0626127233-240141.740171474j</v>
      </c>
      <c r="AO147" s="86" t="str">
        <f t="shared" si="98"/>
        <v>30.0998276500436-0.00376492372590122j</v>
      </c>
      <c r="AP147" s="86" t="str">
        <f t="shared" si="99"/>
        <v>0.666666666943443+9.60514323235641E-06j</v>
      </c>
      <c r="AQ147" s="86" t="str">
        <f t="shared" si="82"/>
        <v>1+1.60462696502091j</v>
      </c>
      <c r="AR147" s="86">
        <f t="shared" si="83"/>
        <v>5.3915598208902428E-8</v>
      </c>
      <c r="AS147" s="86" t="str">
        <f t="shared" si="84"/>
        <v>8.46045541004451E-06j</v>
      </c>
      <c r="AT147" s="86" t="str">
        <f t="shared" si="85"/>
        <v>5.39155982089024E-08+8.46045541004451E-06j</v>
      </c>
      <c r="AU147" s="86" t="str">
        <f t="shared" si="86"/>
        <v>19.0407504649594-11.6983544917489j</v>
      </c>
      <c r="AW147" s="86" t="str">
        <f t="shared" si="100"/>
        <v>12.5334262813049-8.04910184196288j</v>
      </c>
      <c r="AX147" s="86">
        <f t="shared" si="87"/>
        <v>23.461080079134909</v>
      </c>
      <c r="AY147" s="86">
        <f t="shared" si="88"/>
        <v>147.29098468981977</v>
      </c>
      <c r="AZ147" s="86" t="str">
        <f t="shared" si="89"/>
        <v>118.195433940731-111.442507608366j</v>
      </c>
      <c r="BA147" s="86">
        <f t="shared" si="90"/>
        <v>44.214326940103689</v>
      </c>
      <c r="BB147" s="86">
        <f t="shared" si="91"/>
        <v>136.68440242860424</v>
      </c>
      <c r="BD147" s="86" t="str">
        <f t="shared" si="92"/>
        <v>6.64146925180871-26.2381929976948j</v>
      </c>
      <c r="BE147" s="86">
        <f t="shared" si="93"/>
        <v>28.648383905753331</v>
      </c>
      <c r="BF147" s="86">
        <f t="shared" si="94"/>
        <v>104.20448563338545</v>
      </c>
      <c r="BH147" s="86">
        <f t="shared" si="101"/>
        <v>-27.648383905753331</v>
      </c>
      <c r="BI147" s="157">
        <f t="shared" si="102"/>
        <v>-104.20448563338545</v>
      </c>
      <c r="BJ147" s="88"/>
      <c r="BK147" s="88"/>
      <c r="BL147" s="88"/>
      <c r="BM147" s="88"/>
      <c r="BN147" s="42"/>
      <c r="BO147" s="42"/>
      <c r="BP147" s="42"/>
    </row>
    <row r="148" spans="1:68" s="86" customFormat="1">
      <c r="A148" s="86">
        <v>84</v>
      </c>
      <c r="B148" s="86">
        <f t="shared" si="52"/>
        <v>4786.3009232263857</v>
      </c>
      <c r="C148" s="86" t="str">
        <f t="shared" si="53"/>
        <v>30073.2156365561j</v>
      </c>
      <c r="D148" s="86">
        <f t="shared" si="54"/>
        <v>0.99997709132347234</v>
      </c>
      <c r="E148" s="86" t="str">
        <f t="shared" si="55"/>
        <v>-0.00751830390913902j</v>
      </c>
      <c r="F148" s="86" t="str">
        <f t="shared" si="56"/>
        <v>0.999977091323472-0.00751830390913902j</v>
      </c>
      <c r="G148" s="86">
        <f t="shared" si="57"/>
        <v>4.6504288258999706E-5</v>
      </c>
      <c r="H148" s="86">
        <f t="shared" si="58"/>
        <v>-0.4307688349831475</v>
      </c>
      <c r="J148" s="86">
        <f t="shared" si="59"/>
        <v>4.8</v>
      </c>
      <c r="K148" s="86" t="str">
        <f t="shared" si="60"/>
        <v>1+1.2295434213006j</v>
      </c>
      <c r="L148" s="86">
        <f t="shared" si="61"/>
        <v>0.852094702226873</v>
      </c>
      <c r="M148" s="86" t="str">
        <f t="shared" si="62"/>
        <v>0.171928573794191j</v>
      </c>
      <c r="N148" s="86" t="str">
        <f t="shared" si="63"/>
        <v>0.852094702226873+0.171928573794191j</v>
      </c>
      <c r="O148" s="86" t="str">
        <f t="shared" si="64"/>
        <v>1.40742909242771+1.15898636870073j</v>
      </c>
      <c r="P148" s="86" t="str">
        <f t="shared" si="65"/>
        <v>6.75565964365301+5.5631345697635j</v>
      </c>
      <c r="R148" s="86">
        <f t="shared" si="66"/>
        <v>11.52</v>
      </c>
      <c r="S148" s="86" t="str">
        <f t="shared" si="67"/>
        <v>1+0.00255622332910727j</v>
      </c>
      <c r="T148" s="86" t="str">
        <f t="shared" si="68"/>
        <v>0.852094702226873+0.171928573794191j</v>
      </c>
      <c r="U148" s="86" t="str">
        <f t="shared" si="69"/>
        <v>1.1282506502562-0.224649092819783j</v>
      </c>
      <c r="V148" s="86" t="str">
        <f t="shared" si="70"/>
        <v>12.9974474909514-2.5879575492839j</v>
      </c>
      <c r="X148" s="86" t="str">
        <f t="shared" si="71"/>
        <v>4.19308466192287+3.40033332554189j</v>
      </c>
      <c r="Y148" s="86">
        <f t="shared" si="72"/>
        <v>14.645525216313729</v>
      </c>
      <c r="Z148" s="86">
        <f t="shared" si="73"/>
        <v>-140.96007703758093</v>
      </c>
      <c r="AB148" s="86" t="str">
        <f t="shared" si="74"/>
        <v>10.834817848409-2.15735040787254j</v>
      </c>
      <c r="AC148" s="86">
        <f t="shared" si="75"/>
        <v>20.865286693110686</v>
      </c>
      <c r="AD148" s="86">
        <f t="shared" si="76"/>
        <v>168.73895616340843</v>
      </c>
      <c r="AF148" s="86" t="str">
        <f t="shared" si="77"/>
        <v>1.2699173174209-1.24694531372879j</v>
      </c>
      <c r="AG148" s="86">
        <f t="shared" si="78"/>
        <v>5.007252076957041</v>
      </c>
      <c r="AH148" s="86">
        <f t="shared" si="79"/>
        <v>135.52293768231959</v>
      </c>
      <c r="AJ148" s="86" t="str">
        <f t="shared" si="80"/>
        <v>15.0499999691703-0.000681165851076546j</v>
      </c>
      <c r="AK148" s="86" t="str">
        <f t="shared" si="81"/>
        <v>30.1-2.72466340988762E-11j</v>
      </c>
      <c r="AL148" s="86" t="str">
        <f t="shared" si="95"/>
        <v>10000-738937.348462651j</v>
      </c>
      <c r="AM148" s="86" t="str">
        <f t="shared" si="96"/>
        <v>963.055232073015-229334.37226458j</v>
      </c>
      <c r="AN148" s="86" t="str">
        <f t="shared" si="97"/>
        <v>10963.055232073-229334.37226458j</v>
      </c>
      <c r="AO148" s="86" t="str">
        <f t="shared" si="98"/>
        <v>30.099811061577-0.00394155035684161j</v>
      </c>
      <c r="AP148" s="86" t="str">
        <f t="shared" si="99"/>
        <v>0.666666666970146+0.0000100578196859126j</v>
      </c>
      <c r="AQ148" s="86" t="str">
        <f t="shared" si="82"/>
        <v>1+1.68025070404566j</v>
      </c>
      <c r="AR148" s="86">
        <f t="shared" si="83"/>
        <v>4.9469458253759601E-8</v>
      </c>
      <c r="AS148" s="86" t="str">
        <f t="shared" si="84"/>
        <v>8.85918438936928E-06j</v>
      </c>
      <c r="AT148" s="86" t="str">
        <f t="shared" si="85"/>
        <v>4.94694582537596E-08+8.85918438936928E-06j</v>
      </c>
      <c r="AU148" s="86" t="str">
        <f t="shared" si="86"/>
        <v>19.0286378554171-11.1814653855554j</v>
      </c>
      <c r="AW148" s="86" t="str">
        <f t="shared" si="100"/>
        <v>12.5247578112733-7.71611999849562j</v>
      </c>
      <c r="AX148" s="86">
        <f t="shared" si="87"/>
        <v>23.352734439624211</v>
      </c>
      <c r="AY148" s="86">
        <f t="shared" si="88"/>
        <v>148.36404835715643</v>
      </c>
      <c r="AZ148" s="86" t="str">
        <f t="shared" si="89"/>
        <v>119.057094854636-110.623046052821j</v>
      </c>
      <c r="BA148" s="86">
        <f t="shared" si="90"/>
        <v>44.21802113273489</v>
      </c>
      <c r="BB148" s="86">
        <f t="shared" si="91"/>
        <v>137.10300452056492</v>
      </c>
      <c r="BD148" s="86" t="str">
        <f t="shared" si="92"/>
        <v>6.28382716874554-25.4165224677426j</v>
      </c>
      <c r="BE148" s="86">
        <f t="shared" si="93"/>
        <v>28.359986516581245</v>
      </c>
      <c r="BF148" s="86">
        <f t="shared" si="94"/>
        <v>103.88698603947606</v>
      </c>
      <c r="BH148" s="86">
        <f t="shared" si="101"/>
        <v>-27.359986516581245</v>
      </c>
      <c r="BI148" s="157">
        <f t="shared" si="102"/>
        <v>-103.88698603947606</v>
      </c>
      <c r="BJ148" s="88"/>
      <c r="BK148" s="88"/>
      <c r="BL148" s="88"/>
      <c r="BM148" s="88"/>
      <c r="BN148" s="42"/>
      <c r="BO148" s="42"/>
      <c r="BP148" s="42"/>
    </row>
    <row r="149" spans="1:68" s="86" customFormat="1">
      <c r="A149" s="86">
        <v>85</v>
      </c>
      <c r="B149" s="86">
        <f t="shared" si="52"/>
        <v>5011.8723362727242</v>
      </c>
      <c r="C149" s="86" t="str">
        <f t="shared" si="53"/>
        <v>31490.5226247286j</v>
      </c>
      <c r="D149" s="86">
        <f t="shared" si="54"/>
        <v>0.99997488113568489</v>
      </c>
      <c r="E149" s="86" t="str">
        <f t="shared" si="55"/>
        <v>-0.00787263065618215j</v>
      </c>
      <c r="F149" s="86" t="str">
        <f t="shared" si="56"/>
        <v>0.999974881135685-0.00787263065618215j</v>
      </c>
      <c r="G149" s="86">
        <f t="shared" si="57"/>
        <v>5.0991152874699018E-5</v>
      </c>
      <c r="H149" s="86">
        <f t="shared" si="58"/>
        <v>-0.45107052170032186</v>
      </c>
      <c r="J149" s="86">
        <f t="shared" si="59"/>
        <v>4.8</v>
      </c>
      <c r="K149" s="86" t="str">
        <f t="shared" si="60"/>
        <v>1+1.28749001751203j</v>
      </c>
      <c r="L149" s="86">
        <f t="shared" si="61"/>
        <v>0.83782506589770089</v>
      </c>
      <c r="M149" s="86" t="str">
        <f t="shared" si="62"/>
        <v>0.180031317845573j</v>
      </c>
      <c r="N149" s="86" t="str">
        <f t="shared" si="63"/>
        <v>0.837825065897701+0.180031317845573j</v>
      </c>
      <c r="O149" s="86" t="str">
        <f t="shared" si="64"/>
        <v>1.45652065445803+1.22372882640138j</v>
      </c>
      <c r="P149" s="86" t="str">
        <f t="shared" si="65"/>
        <v>6.99129914139854+5.87389836672662j</v>
      </c>
      <c r="R149" s="86">
        <f t="shared" si="66"/>
        <v>11.52</v>
      </c>
      <c r="S149" s="86" t="str">
        <f t="shared" si="67"/>
        <v>1+0.00267669442310193j</v>
      </c>
      <c r="T149" s="86" t="str">
        <f t="shared" si="68"/>
        <v>0.837825065897701+0.180031317845573j</v>
      </c>
      <c r="U149" s="86" t="str">
        <f t="shared" si="69"/>
        <v>1.14154439062394-0.242099520360869j</v>
      </c>
      <c r="V149" s="86" t="str">
        <f t="shared" si="70"/>
        <v>13.1505913799878-2.78898647455721j</v>
      </c>
      <c r="X149" s="86" t="str">
        <f t="shared" si="71"/>
        <v>4.34115643096894+3.58940152533456j</v>
      </c>
      <c r="Y149" s="86">
        <f t="shared" si="72"/>
        <v>15.014624409909221</v>
      </c>
      <c r="Z149" s="86">
        <f t="shared" si="73"/>
        <v>-140.41501176325008</v>
      </c>
      <c r="AB149" s="86" t="str">
        <f t="shared" si="74"/>
        <v>10.9624803100932-2.32493037225509j</v>
      </c>
      <c r="AC149" s="86">
        <f t="shared" si="75"/>
        <v>20.989248907591019</v>
      </c>
      <c r="AD149" s="86">
        <f t="shared" si="76"/>
        <v>168.02608943096931</v>
      </c>
      <c r="AF149" s="86" t="str">
        <f t="shared" si="77"/>
        <v>1.21239037521783-1.25004506433295j</v>
      </c>
      <c r="AG149" s="86">
        <f t="shared" si="78"/>
        <v>4.8180125132063454</v>
      </c>
      <c r="AH149" s="86">
        <f t="shared" si="79"/>
        <v>134.12392154867354</v>
      </c>
      <c r="AJ149" s="86" t="str">
        <f t="shared" si="80"/>
        <v>15.0499999661959-0.000713268208478673j</v>
      </c>
      <c r="AK149" s="86" t="str">
        <f t="shared" si="81"/>
        <v>30.1-2.85307284032304E-11j</v>
      </c>
      <c r="AL149" s="86" t="str">
        <f t="shared" si="95"/>
        <v>10000-705679.689316166j</v>
      </c>
      <c r="AM149" s="86" t="str">
        <f t="shared" si="96"/>
        <v>963.047139480896-219013.453295349j</v>
      </c>
      <c r="AN149" s="86" t="str">
        <f t="shared" si="97"/>
        <v>10963.0471394809-219013.453295349j</v>
      </c>
      <c r="AO149" s="86" t="str">
        <f t="shared" si="98"/>
        <v>30.0997928806631-0.0041263817327422j</v>
      </c>
      <c r="AP149" s="86" t="str">
        <f t="shared" si="99"/>
        <v>0.666666666999425+0.0000105318301233423j</v>
      </c>
      <c r="AQ149" s="86" t="str">
        <f t="shared" si="82"/>
        <v>1+1.75943848008884j</v>
      </c>
      <c r="AR149" s="86">
        <f t="shared" si="83"/>
        <v>4.4594362735944389E-8</v>
      </c>
      <c r="AS149" s="86" t="str">
        <f t="shared" si="84"/>
        <v>9.27670488655545E-06j</v>
      </c>
      <c r="AT149" s="86" t="str">
        <f t="shared" si="85"/>
        <v>4.45943627359444E-08+9.27670488655545E-06j</v>
      </c>
      <c r="AU149" s="86" t="str">
        <f t="shared" si="86"/>
        <v>19.0175807831788-10.6882696298654j</v>
      </c>
      <c r="AW149" s="86" t="str">
        <f t="shared" si="100"/>
        <v>12.5167361847129-7.39948661562563j</v>
      </c>
      <c r="AX149" s="86">
        <f t="shared" si="87"/>
        <v>23.251483011565934</v>
      </c>
      <c r="AY149" s="86">
        <f t="shared" si="88"/>
        <v>149.40980389859936</v>
      </c>
      <c r="AZ149" s="86" t="str">
        <f t="shared" si="89"/>
        <v>120.011182799783-110.217266445937j</v>
      </c>
      <c r="BA149" s="86">
        <f t="shared" si="90"/>
        <v>44.240731919156929</v>
      </c>
      <c r="BB149" s="86">
        <f t="shared" si="91"/>
        <v>137.43589332956876</v>
      </c>
      <c r="BD149" s="86" t="str">
        <f t="shared" si="92"/>
        <v>5.92547875702617-24.6175506435956j</v>
      </c>
      <c r="BE149" s="86">
        <f t="shared" si="93"/>
        <v>28.069495524772261</v>
      </c>
      <c r="BF149" s="86">
        <f t="shared" si="94"/>
        <v>103.53372544727306</v>
      </c>
      <c r="BH149" s="86">
        <f t="shared" si="101"/>
        <v>-27.069495524772261</v>
      </c>
      <c r="BI149" s="157">
        <f t="shared" si="102"/>
        <v>-103.53372544727306</v>
      </c>
      <c r="BJ149" s="88"/>
      <c r="BK149" s="88"/>
      <c r="BL149" s="88"/>
      <c r="BM149" s="88"/>
      <c r="BN149" s="42"/>
      <c r="BO149" s="42"/>
      <c r="BP149" s="42"/>
    </row>
    <row r="150" spans="1:68" s="86" customFormat="1">
      <c r="A150" s="86">
        <v>86</v>
      </c>
      <c r="B150" s="86">
        <f t="shared" si="52"/>
        <v>5248.0746024977288</v>
      </c>
      <c r="C150" s="86" t="str">
        <f t="shared" si="53"/>
        <v>32974.6252333961j</v>
      </c>
      <c r="D150" s="86">
        <f t="shared" si="54"/>
        <v>0.99997245771296661</v>
      </c>
      <c r="E150" s="86" t="str">
        <f t="shared" si="55"/>
        <v>-0.00824365630834903j</v>
      </c>
      <c r="F150" s="86" t="str">
        <f t="shared" si="56"/>
        <v>0.999972457712967-0.00824365630834903j</v>
      </c>
      <c r="G150" s="86">
        <f t="shared" si="57"/>
        <v>5.5910945532887214E-5</v>
      </c>
      <c r="H150" s="86">
        <f t="shared" si="58"/>
        <v>-0.47232902365419271</v>
      </c>
      <c r="J150" s="86">
        <f t="shared" si="59"/>
        <v>4.8</v>
      </c>
      <c r="K150" s="86" t="str">
        <f t="shared" si="60"/>
        <v>1+1.3481675526674j</v>
      </c>
      <c r="L150" s="86">
        <f t="shared" si="61"/>
        <v>0.82217872079587129</v>
      </c>
      <c r="M150" s="86" t="str">
        <f t="shared" si="62"/>
        <v>0.188515932459325j</v>
      </c>
      <c r="N150" s="86" t="str">
        <f t="shared" si="63"/>
        <v>0.822178720795871+0.188515932459325j</v>
      </c>
      <c r="O150" s="86" t="str">
        <f t="shared" si="64"/>
        <v>1.51272722492822+1.29289939330279j</v>
      </c>
      <c r="P150" s="86" t="str">
        <f t="shared" si="65"/>
        <v>7.26109067965546+6.20591708785339j</v>
      </c>
      <c r="R150" s="86">
        <f t="shared" si="66"/>
        <v>11.52</v>
      </c>
      <c r="S150" s="86" t="str">
        <f t="shared" si="67"/>
        <v>1+0.00280284314483867j</v>
      </c>
      <c r="T150" s="86" t="str">
        <f t="shared" si="68"/>
        <v>0.822178720795871+0.188515932459325j</v>
      </c>
      <c r="U150" s="86" t="str">
        <f t="shared" si="69"/>
        <v>1.15627333628901-0.26171086356413j</v>
      </c>
      <c r="V150" s="86" t="str">
        <f t="shared" si="70"/>
        <v>13.3202688340494-3.01490914825878j</v>
      </c>
      <c r="X150" s="86" t="str">
        <f t="shared" si="71"/>
        <v>4.51060112014005+3.79122814919177j</v>
      </c>
      <c r="Y150" s="86">
        <f t="shared" si="72"/>
        <v>15.405663740554402</v>
      </c>
      <c r="Z150" s="86">
        <f t="shared" si="73"/>
        <v>-139.95244300248584</v>
      </c>
      <c r="AB150" s="86" t="str">
        <f t="shared" si="74"/>
        <v>11.1039253368201-2.51326204423039j</v>
      </c>
      <c r="AC150" s="86">
        <f t="shared" si="75"/>
        <v>21.126507206479182</v>
      </c>
      <c r="AD150" s="86">
        <f t="shared" si="76"/>
        <v>167.24656272715006</v>
      </c>
      <c r="AF150" s="86" t="str">
        <f t="shared" si="77"/>
        <v>1.15468924972444-1.25049015182207j</v>
      </c>
      <c r="AG150" s="86">
        <f t="shared" si="78"/>
        <v>4.619534247604288</v>
      </c>
      <c r="AH150" s="86">
        <f t="shared" si="79"/>
        <v>132.71905275218765</v>
      </c>
      <c r="AJ150" s="86" t="str">
        <f t="shared" si="80"/>
        <v>15.0499999629345-0.000746883503353289j</v>
      </c>
      <c r="AK150" s="86" t="str">
        <f t="shared" si="81"/>
        <v>30.1-2.98753402077092E-11j</v>
      </c>
      <c r="AL150" s="86" t="str">
        <f t="shared" si="95"/>
        <v>10000-673918.871402852j</v>
      </c>
      <c r="AM150" s="86" t="str">
        <f t="shared" si="96"/>
        <v>963.038266286388-209157.091208928j</v>
      </c>
      <c r="AN150" s="86" t="str">
        <f t="shared" si="97"/>
        <v>10963.0382662864-209157.091208928j</v>
      </c>
      <c r="AO150" s="86" t="str">
        <f t="shared" si="98"/>
        <v>30.0997729552722-0.00431978694549988j</v>
      </c>
      <c r="AP150" s="86" t="str">
        <f t="shared" si="99"/>
        <v>0.66666666703153+0.000011028179984312j</v>
      </c>
      <c r="AQ150" s="86" t="str">
        <f t="shared" si="82"/>
        <v>1+1.84235826104031j</v>
      </c>
      <c r="AR150" s="86">
        <f t="shared" si="83"/>
        <v>3.9248926796544694E-8</v>
      </c>
      <c r="AS150" s="86" t="str">
        <f t="shared" si="84"/>
        <v>0.0000097139025185555j</v>
      </c>
      <c r="AT150" s="86" t="str">
        <f t="shared" si="85"/>
        <v>3.92489267965447E-08+0.0000097139025185555j</v>
      </c>
      <c r="AU150" s="86" t="str">
        <f t="shared" si="86"/>
        <v>19.0074854528856-10.217724174736j</v>
      </c>
      <c r="AW150" s="86" t="str">
        <f t="shared" si="100"/>
        <v>12.5092933665332-7.09853176763697j</v>
      </c>
      <c r="AX150" s="86">
        <f t="shared" si="87"/>
        <v>23.157008183797622</v>
      </c>
      <c r="AY150" s="86">
        <f t="shared" si="88"/>
        <v>150.42679481798379</v>
      </c>
      <c r="AZ150" s="86" t="str">
        <f t="shared" si="89"/>
        <v>121.061789096998-110.260698967138j</v>
      </c>
      <c r="BA150" s="86">
        <f t="shared" si="90"/>
        <v>44.283515390276833</v>
      </c>
      <c r="BB150" s="86">
        <f t="shared" si="91"/>
        <v>137.67335754513368</v>
      </c>
      <c r="BD150" s="86" t="str">
        <f t="shared" si="92"/>
        <v>5.56770250415893-23.8393464820208j</v>
      </c>
      <c r="BE150" s="86">
        <f t="shared" si="93"/>
        <v>27.776542431401925</v>
      </c>
      <c r="BF150" s="86">
        <f t="shared" si="94"/>
        <v>103.14584757017127</v>
      </c>
      <c r="BH150" s="86">
        <f t="shared" si="101"/>
        <v>-26.776542431401925</v>
      </c>
      <c r="BI150" s="157">
        <f t="shared" si="102"/>
        <v>-103.14584757017127</v>
      </c>
      <c r="BJ150" s="88"/>
      <c r="BK150" s="88"/>
      <c r="BL150" s="88"/>
      <c r="BM150" s="88"/>
      <c r="BN150" s="42"/>
      <c r="BO150" s="42"/>
      <c r="BP150" s="42"/>
    </row>
    <row r="151" spans="1:68" s="86" customFormat="1">
      <c r="A151" s="86">
        <v>87</v>
      </c>
      <c r="B151" s="86">
        <f t="shared" si="52"/>
        <v>5495.4087385762468</v>
      </c>
      <c r="C151" s="86" t="str">
        <f t="shared" si="53"/>
        <v>34528.6714431686j</v>
      </c>
      <c r="D151" s="86">
        <f t="shared" si="54"/>
        <v>0.99996980048279593</v>
      </c>
      <c r="E151" s="86" t="str">
        <f t="shared" si="55"/>
        <v>-0.00863216786079215j</v>
      </c>
      <c r="F151" s="86" t="str">
        <f t="shared" si="56"/>
        <v>0.999969800482796-0.00863216786079215j</v>
      </c>
      <c r="G151" s="86">
        <f t="shared" si="57"/>
        <v>6.1305443128425145E-5</v>
      </c>
      <c r="H151" s="86">
        <f t="shared" si="58"/>
        <v>-0.49458943804167405</v>
      </c>
      <c r="J151" s="86">
        <f t="shared" si="59"/>
        <v>4.8</v>
      </c>
      <c r="K151" s="86" t="str">
        <f t="shared" si="60"/>
        <v>1+1.41170473195395j</v>
      </c>
      <c r="L151" s="86">
        <f t="shared" si="61"/>
        <v>0.80502284454238238</v>
      </c>
      <c r="M151" s="86" t="str">
        <f t="shared" si="62"/>
        <v>0.197400414640595j</v>
      </c>
      <c r="N151" s="86" t="str">
        <f t="shared" si="63"/>
        <v>0.805022844542382+0.197400414640595j</v>
      </c>
      <c r="O151" s="86" t="str">
        <f t="shared" si="64"/>
        <v>1.57736341694699+1.36683393132178j</v>
      </c>
      <c r="P151" s="86" t="str">
        <f t="shared" si="65"/>
        <v>7.57134440134555+6.56080287034454j</v>
      </c>
      <c r="R151" s="86">
        <f t="shared" si="66"/>
        <v>11.52</v>
      </c>
      <c r="S151" s="86" t="str">
        <f t="shared" si="67"/>
        <v>1+0.00293493707266933j</v>
      </c>
      <c r="T151" s="86" t="str">
        <f t="shared" si="68"/>
        <v>0.805022844542382+0.197400414640595j</v>
      </c>
      <c r="U151" s="86" t="str">
        <f t="shared" si="69"/>
        <v>1.17258885651048-0.283885843681059j</v>
      </c>
      <c r="V151" s="86" t="str">
        <f t="shared" si="70"/>
        <v>13.5082236270007-3.2703649192058j</v>
      </c>
      <c r="X151" s="86" t="str">
        <f t="shared" si="71"/>
        <v>4.70534743209239+4.00673827932745j</v>
      </c>
      <c r="Y151" s="86">
        <f t="shared" si="72"/>
        <v>15.819979420454031</v>
      </c>
      <c r="Z151" s="86">
        <f t="shared" si="73"/>
        <v>-139.58465311370571</v>
      </c>
      <c r="AB151" s="86" t="str">
        <f t="shared" si="74"/>
        <v>11.2606065580199-2.72621283695048j</v>
      </c>
      <c r="AC151" s="86">
        <f t="shared" si="75"/>
        <v>21.278609027494987</v>
      </c>
      <c r="AD151" s="86">
        <f t="shared" si="76"/>
        <v>166.39045688703987</v>
      </c>
      <c r="AF151" s="86" t="str">
        <f t="shared" si="77"/>
        <v>1.09705824809412-1.24827421975759j</v>
      </c>
      <c r="AG151" s="86">
        <f t="shared" si="78"/>
        <v>4.4118048281738655</v>
      </c>
      <c r="AH151" s="86">
        <f t="shared" si="79"/>
        <v>131.31094469546613</v>
      </c>
      <c r="AJ151" s="86" t="str">
        <f t="shared" si="80"/>
        <v>15.0499999593585-0.000782083038243669j</v>
      </c>
      <c r="AK151" s="86" t="str">
        <f t="shared" si="81"/>
        <v>30.1-3.12833216142253E-11j</v>
      </c>
      <c r="AL151" s="86" t="str">
        <f t="shared" si="95"/>
        <v>10000-643587.525769654j</v>
      </c>
      <c r="AM151" s="86" t="str">
        <f t="shared" si="96"/>
        <v>963.028537210028-199744.379337602j</v>
      </c>
      <c r="AN151" s="86" t="str">
        <f t="shared" si="97"/>
        <v>10963.02853721-199744.379337602j</v>
      </c>
      <c r="AO151" s="86" t="str">
        <f t="shared" si="98"/>
        <v>30.0997511190303-0.00452214990356379j</v>
      </c>
      <c r="AP151" s="86" t="str">
        <f t="shared" si="99"/>
        <v>0.666666667066731+0.0000115479220933971j</v>
      </c>
      <c r="AQ151" s="86" t="str">
        <f t="shared" si="82"/>
        <v>1+1.92918593087272j</v>
      </c>
      <c r="AR151" s="86">
        <f t="shared" si="83"/>
        <v>3.3387772840112424E-8</v>
      </c>
      <c r="AS151" s="86" t="str">
        <f t="shared" si="84"/>
        <v>0.000010171704640163j</v>
      </c>
      <c r="AT151" s="86" t="str">
        <f t="shared" si="85"/>
        <v>3.33877728401124E-08+0.000010171704640163j</v>
      </c>
      <c r="AU151" s="86" t="str">
        <f t="shared" si="86"/>
        <v>18.9982662219536-9.76883361424788j</v>
      </c>
      <c r="AW151" s="86" t="str">
        <f t="shared" si="100"/>
        <v>12.502366230559-6.81261846482067j</v>
      </c>
      <c r="AX151" s="86">
        <f t="shared" si="87"/>
        <v>23.068985935717507</v>
      </c>
      <c r="AY151" s="86">
        <f t="shared" si="88"/>
        <v>151.41375407347678</v>
      </c>
      <c r="AZ151" s="86" t="str">
        <f t="shared" si="89"/>
        <v>122.211579254559-110.798327472253j</v>
      </c>
      <c r="BA151" s="86">
        <f t="shared" si="90"/>
        <v>44.347594963212472</v>
      </c>
      <c r="BB151" s="86">
        <f t="shared" si="91"/>
        <v>137.80421096051663</v>
      </c>
      <c r="BD151" s="86" t="str">
        <f t="shared" si="92"/>
        <v>5.21180799524795-23.0802207295244j</v>
      </c>
      <c r="BE151" s="86">
        <f t="shared" si="93"/>
        <v>27.480790763891338</v>
      </c>
      <c r="BF151" s="86">
        <f t="shared" si="94"/>
        <v>102.72469876894291</v>
      </c>
      <c r="BH151" s="86">
        <f t="shared" si="101"/>
        <v>-26.480790763891338</v>
      </c>
      <c r="BI151" s="157">
        <f t="shared" si="102"/>
        <v>-102.72469876894291</v>
      </c>
      <c r="BJ151" s="88"/>
      <c r="BK151" s="88"/>
      <c r="BL151" s="88"/>
      <c r="BM151" s="88"/>
      <c r="BN151" s="42"/>
      <c r="BO151" s="42"/>
      <c r="BP151" s="42"/>
    </row>
    <row r="152" spans="1:68" s="86" customFormat="1">
      <c r="A152" s="86">
        <v>88</v>
      </c>
      <c r="B152" s="86">
        <f t="shared" si="52"/>
        <v>5754.3993733715697</v>
      </c>
      <c r="C152" s="86" t="str">
        <f t="shared" si="53"/>
        <v>36155.9575944117j</v>
      </c>
      <c r="D152" s="86">
        <f t="shared" si="54"/>
        <v>0.99996688688785174</v>
      </c>
      <c r="E152" s="86" t="str">
        <f t="shared" si="55"/>
        <v>-0.00903898939860293j</v>
      </c>
      <c r="F152" s="86" t="str">
        <f t="shared" si="56"/>
        <v>0.999966886887852-0.00903898939860293j</v>
      </c>
      <c r="G152" s="86">
        <f t="shared" si="57"/>
        <v>6.7220454918312517E-5</v>
      </c>
      <c r="H152" s="86">
        <f t="shared" si="58"/>
        <v>-0.51789898800044287</v>
      </c>
      <c r="J152" s="86">
        <f t="shared" si="59"/>
        <v>4.8</v>
      </c>
      <c r="K152" s="86" t="str">
        <f t="shared" si="60"/>
        <v>1+1.47823632624752j</v>
      </c>
      <c r="L152" s="86">
        <f t="shared" si="61"/>
        <v>0.78621180029470206</v>
      </c>
      <c r="M152" s="86" t="str">
        <f t="shared" si="62"/>
        <v>0.206703609567252j</v>
      </c>
      <c r="N152" s="86" t="str">
        <f t="shared" si="63"/>
        <v>0.786211800294702+0.206703609567252j</v>
      </c>
      <c r="O152" s="86" t="str">
        <f t="shared" si="64"/>
        <v>1.65205372083621+1.44585830246451j</v>
      </c>
      <c r="P152" s="86" t="str">
        <f t="shared" si="65"/>
        <v>7.92985786001381+6.94011985182965j</v>
      </c>
      <c r="R152" s="86">
        <f t="shared" si="66"/>
        <v>11.52</v>
      </c>
      <c r="S152" s="86" t="str">
        <f t="shared" si="67"/>
        <v>1+0.003073256395525j</v>
      </c>
      <c r="T152" s="86" t="str">
        <f t="shared" si="68"/>
        <v>0.786211800294702+0.206703609567252j</v>
      </c>
      <c r="U152" s="86" t="str">
        <f t="shared" si="69"/>
        <v>1.19064939276281-0.309125697078705j</v>
      </c>
      <c r="V152" s="86" t="str">
        <f t="shared" si="70"/>
        <v>13.7162810046276-3.56112803034668j</v>
      </c>
      <c r="X152" s="86" t="str">
        <f t="shared" si="71"/>
        <v>4.93024503264013+4.23680975732148j</v>
      </c>
      <c r="Y152" s="86">
        <f t="shared" si="72"/>
        <v>16.259076335844348</v>
      </c>
      <c r="Z152" s="86">
        <f t="shared" si="73"/>
        <v>-139.32585970162745</v>
      </c>
      <c r="AB152" s="86" t="str">
        <f t="shared" si="74"/>
        <v>11.4340455190293-2.96859622403024j</v>
      </c>
      <c r="AC152" s="86">
        <f t="shared" si="75"/>
        <v>21.447297178110254</v>
      </c>
      <c r="AD152" s="86">
        <f t="shared" si="76"/>
        <v>165.44576011863839</v>
      </c>
      <c r="AF152" s="86" t="str">
        <f t="shared" si="77"/>
        <v>1.0397405154436-1.24341893873841j</v>
      </c>
      <c r="AG152" s="86">
        <f t="shared" si="78"/>
        <v>4.1948503477131895</v>
      </c>
      <c r="AH152" s="86">
        <f t="shared" si="79"/>
        <v>129.90219413594556</v>
      </c>
      <c r="AJ152" s="86" t="str">
        <f t="shared" si="80"/>
        <v>15.0499999554375-0.000818941476077969j</v>
      </c>
      <c r="AK152" s="86" t="str">
        <f t="shared" si="81"/>
        <v>30.1-3.27576591401129E-11j</v>
      </c>
      <c r="AL152" s="86" t="str">
        <f t="shared" si="95"/>
        <v>10000-614621.315565899j</v>
      </c>
      <c r="AM152" s="86" t="str">
        <f t="shared" si="96"/>
        <v>963.017869715858-190755.352054912j</v>
      </c>
      <c r="AN152" s="86" t="str">
        <f t="shared" si="97"/>
        <v>10963.0178697159-190755.352054912j</v>
      </c>
      <c r="AO152" s="86" t="str">
        <f t="shared" si="98"/>
        <v>30.0997271898996-0.00473386965519688j</v>
      </c>
      <c r="AP152" s="86" t="str">
        <f t="shared" si="99"/>
        <v>0.666666667105328+0.0000120921588932637j</v>
      </c>
      <c r="AQ152" s="86" t="str">
        <f t="shared" si="82"/>
        <v>1+2.02010566271497j</v>
      </c>
      <c r="AR152" s="86">
        <f t="shared" si="83"/>
        <v>2.6961145322646413E-8</v>
      </c>
      <c r="AS152" s="86" t="str">
        <f t="shared" si="84"/>
        <v>0.0000106510823110565j</v>
      </c>
      <c r="AT152" s="86" t="str">
        <f t="shared" si="85"/>
        <v>2.69611453226464E-08+0.0000106510823110565j</v>
      </c>
      <c r="AU152" s="86" t="str">
        <f t="shared" si="86"/>
        <v>18.9898448754901-9.34064812637703j</v>
      </c>
      <c r="AW152" s="86" t="str">
        <f t="shared" si="100"/>
        <v>12.4958960255589-6.54114132863657j</v>
      </c>
      <c r="AX152" s="86">
        <f t="shared" si="87"/>
        <v>22.987089002401934</v>
      </c>
      <c r="AY152" s="86">
        <f t="shared" si="88"/>
        <v>152.36959893107445</v>
      </c>
      <c r="AZ152" s="86" t="str">
        <f t="shared" si="89"/>
        <v>123.46063650826-111.886977455383j</v>
      </c>
      <c r="BA152" s="86">
        <f t="shared" si="90"/>
        <v>44.434386180512234</v>
      </c>
      <c r="BB152" s="86">
        <f t="shared" si="91"/>
        <v>137.81535904971304</v>
      </c>
      <c r="BD152" s="86" t="str">
        <f t="shared" si="92"/>
        <v>4.85911036555304-22.3387234313121j</v>
      </c>
      <c r="BE152" s="86">
        <f t="shared" si="93"/>
        <v>27.181939350115169</v>
      </c>
      <c r="BF152" s="86">
        <f t="shared" si="94"/>
        <v>102.27179306702004</v>
      </c>
      <c r="BH152" s="86">
        <f t="shared" si="101"/>
        <v>-26.181939350115169</v>
      </c>
      <c r="BI152" s="157">
        <f t="shared" si="102"/>
        <v>-102.27179306702004</v>
      </c>
      <c r="BJ152" s="88"/>
      <c r="BK152" s="88"/>
      <c r="BL152" s="88"/>
      <c r="BM152" s="88"/>
      <c r="BN152" s="42"/>
      <c r="BO152" s="42"/>
      <c r="BP152" s="42"/>
    </row>
    <row r="153" spans="1:68" s="86" customFormat="1">
      <c r="A153" s="86">
        <v>89</v>
      </c>
      <c r="B153" s="86">
        <f t="shared" si="52"/>
        <v>6025.5958607435823</v>
      </c>
      <c r="C153" s="86" t="str">
        <f t="shared" si="53"/>
        <v>37859.9353792262j</v>
      </c>
      <c r="D153" s="86">
        <f t="shared" si="54"/>
        <v>0.99996369219452297</v>
      </c>
      <c r="E153" s="86" t="str">
        <f t="shared" si="55"/>
        <v>-0.00946498384480655j</v>
      </c>
      <c r="F153" s="86" t="str">
        <f t="shared" si="56"/>
        <v>0.999963692194523-0.00946498384480655j</v>
      </c>
      <c r="G153" s="86">
        <f t="shared" si="57"/>
        <v>7.3706211859513211E-5</v>
      </c>
      <c r="H153" s="86">
        <f t="shared" si="58"/>
        <v>-0.54230712288665195</v>
      </c>
      <c r="J153" s="86">
        <f t="shared" si="59"/>
        <v>4.8</v>
      </c>
      <c r="K153" s="86" t="str">
        <f t="shared" si="60"/>
        <v>1+1.54790345797966j</v>
      </c>
      <c r="L153" s="86">
        <f t="shared" si="61"/>
        <v>0.76558590043043728</v>
      </c>
      <c r="M153" s="86" t="str">
        <f t="shared" si="62"/>
        <v>0.216445250563036j</v>
      </c>
      <c r="N153" s="86" t="str">
        <f t="shared" si="63"/>
        <v>0.765585900430437+0.216445250563036j</v>
      </c>
      <c r="O153" s="86" t="str">
        <f t="shared" si="64"/>
        <v>1.7388212716047+1.53025787374632j</v>
      </c>
      <c r="P153" s="86" t="str">
        <f t="shared" si="65"/>
        <v>8.34634210370256+7.34523779398234j</v>
      </c>
      <c r="R153" s="86">
        <f t="shared" si="66"/>
        <v>11.52</v>
      </c>
      <c r="S153" s="86" t="str">
        <f t="shared" si="67"/>
        <v>1+0.00321809450723423j</v>
      </c>
      <c r="T153" s="86" t="str">
        <f t="shared" si="68"/>
        <v>0.765585900430437+0.216445250563036j</v>
      </c>
      <c r="U153" s="86" t="str">
        <f t="shared" si="69"/>
        <v>1.21061354790642-0.338059332151838j</v>
      </c>
      <c r="V153" s="86" t="str">
        <f t="shared" si="70"/>
        <v>13.946268071882-3.89444350638917j</v>
      </c>
      <c r="X153" s="86" t="str">
        <f t="shared" si="71"/>
        <v>5.19132677668478+4.48217747782052j</v>
      </c>
      <c r="Y153" s="86">
        <f t="shared" si="72"/>
        <v>16.724653617391308</v>
      </c>
      <c r="Z153" s="86">
        <f t="shared" si="73"/>
        <v>-139.19276291042129</v>
      </c>
      <c r="AB153" s="86" t="str">
        <f t="shared" si="74"/>
        <v>11.6257653150067-3.24645173923739j</v>
      </c>
      <c r="AC153" s="86">
        <f t="shared" si="75"/>
        <v>21.634531969394772</v>
      </c>
      <c r="AD153" s="86">
        <f t="shared" si="76"/>
        <v>164.39780668453091</v>
      </c>
      <c r="AF153" s="86" t="str">
        <f t="shared" si="77"/>
        <v>0.98297395769275-1.23597344312514j</v>
      </c>
      <c r="AG153" s="86">
        <f t="shared" si="78"/>
        <v>3.968734893702579</v>
      </c>
      <c r="AH153" s="86">
        <f t="shared" si="79"/>
        <v>128.49535155000336</v>
      </c>
      <c r="AJ153" s="86" t="str">
        <f t="shared" si="80"/>
        <v>15.0499999511382-0.000857536998539212j</v>
      </c>
      <c r="AK153" s="86" t="str">
        <f t="shared" si="81"/>
        <v>30.1-3.43014800529328E-11j</v>
      </c>
      <c r="AL153" s="86" t="str">
        <f t="shared" si="95"/>
        <v>10000-586958.799576176j</v>
      </c>
      <c r="AM153" s="86" t="str">
        <f t="shared" si="96"/>
        <v>963.006173312716-182170.942425828j</v>
      </c>
      <c r="AN153" s="86" t="str">
        <f t="shared" si="97"/>
        <v>10963.0061733127-182170.942425828j</v>
      </c>
      <c r="AO153" s="86" t="str">
        <f t="shared" si="98"/>
        <v>30.0997009687445-0.0049553606732583j</v>
      </c>
      <c r="AP153" s="86" t="str">
        <f t="shared" si="99"/>
        <v>0.666666667147649+0.0000126620447830963j</v>
      </c>
      <c r="AQ153" s="86" t="str">
        <f t="shared" si="82"/>
        <v>1+2.11531030950813j</v>
      </c>
      <c r="AR153" s="86">
        <f t="shared" si="83"/>
        <v>1.9914488375011581E-8</v>
      </c>
      <c r="AS153" s="86" t="str">
        <f t="shared" si="84"/>
        <v>0.0000111530523555472j</v>
      </c>
      <c r="AT153" s="86" t="str">
        <f t="shared" si="85"/>
        <v>1.99144883750116E-08+0.0000111530523555472j</v>
      </c>
      <c r="AU153" s="86" t="str">
        <f t="shared" si="86"/>
        <v>18.9821499639403-8.93226150289354j</v>
      </c>
      <c r="AW153" s="86" t="str">
        <f t="shared" si="100"/>
        <v>12.4898278783208-6.28352532832214j</v>
      </c>
      <c r="AX153" s="86">
        <f t="shared" si="87"/>
        <v>22.91098977783847</v>
      </c>
      <c r="AY153" s="86">
        <f t="shared" si="88"/>
        <v>153.29342354852037</v>
      </c>
      <c r="AZ153" s="86" t="str">
        <f t="shared" si="89"/>
        <v>124.804646007512-113.598414256324j</v>
      </c>
      <c r="BA153" s="86">
        <f t="shared" si="90"/>
        <v>44.545521747233245</v>
      </c>
      <c r="BB153" s="86">
        <f t="shared" si="91"/>
        <v>137.69123023305121</v>
      </c>
      <c r="BD153" s="86" t="str">
        <f t="shared" si="92"/>
        <v>4.5109051054439-21.6136373270519j</v>
      </c>
      <c r="BE153" s="86">
        <f t="shared" si="93"/>
        <v>26.879724671541023</v>
      </c>
      <c r="BF153" s="86">
        <f t="shared" si="94"/>
        <v>101.78877509852376</v>
      </c>
      <c r="BH153" s="86">
        <f t="shared" si="101"/>
        <v>-25.879724671541023</v>
      </c>
      <c r="BI153" s="157">
        <f t="shared" si="102"/>
        <v>-101.78877509852376</v>
      </c>
      <c r="BJ153" s="88"/>
      <c r="BK153" s="88"/>
      <c r="BL153" s="88"/>
      <c r="BM153" s="88"/>
      <c r="BN153" s="42"/>
      <c r="BO153" s="42"/>
      <c r="BP153" s="42"/>
    </row>
    <row r="154" spans="1:68" s="86" customFormat="1">
      <c r="A154" s="86">
        <v>90</v>
      </c>
      <c r="B154" s="86">
        <f t="shared" si="52"/>
        <v>6309.5734448019366</v>
      </c>
      <c r="C154" s="86" t="str">
        <f t="shared" si="53"/>
        <v>39644.21916295j</v>
      </c>
      <c r="D154" s="86">
        <f t="shared" si="54"/>
        <v>0.99996018928294461</v>
      </c>
      <c r="E154" s="86" t="str">
        <f t="shared" si="55"/>
        <v>-0.0099110547907375j</v>
      </c>
      <c r="F154" s="86" t="str">
        <f t="shared" si="56"/>
        <v>0.999960189282945-0.0099110547907375j</v>
      </c>
      <c r="G154" s="86">
        <f t="shared" si="57"/>
        <v>8.0817793689736352E-5</v>
      </c>
      <c r="H154" s="86">
        <f t="shared" si="58"/>
        <v>-0.56786562329121437</v>
      </c>
      <c r="J154" s="86">
        <f t="shared" si="59"/>
        <v>4.8</v>
      </c>
      <c r="K154" s="86" t="str">
        <f t="shared" si="60"/>
        <v>1+1.62085390047721j</v>
      </c>
      <c r="L154" s="86">
        <f t="shared" si="61"/>
        <v>0.74297005095343671</v>
      </c>
      <c r="M154" s="86" t="str">
        <f t="shared" si="62"/>
        <v>0.226646000954585j</v>
      </c>
      <c r="N154" s="86" t="str">
        <f t="shared" si="63"/>
        <v>0.742970050953437+0.226646000954585j</v>
      </c>
      <c r="O154" s="86" t="str">
        <f t="shared" si="64"/>
        <v>1.84020544164315+1.6202250610898j</v>
      </c>
      <c r="P154" s="86" t="str">
        <f t="shared" si="65"/>
        <v>8.83298611988712+7.77708029323104j</v>
      </c>
      <c r="R154" s="86">
        <f t="shared" si="66"/>
        <v>11.52</v>
      </c>
      <c r="S154" s="86" t="str">
        <f t="shared" si="67"/>
        <v>1+0.00336975862885075j</v>
      </c>
      <c r="T154" s="86" t="str">
        <f t="shared" si="68"/>
        <v>0.742970050953437+0.226646000954585j</v>
      </c>
      <c r="U154" s="86" t="str">
        <f t="shared" si="69"/>
        <v>1.23262709582799-0.37148232685105j</v>
      </c>
      <c r="V154" s="86" t="str">
        <f t="shared" si="70"/>
        <v>14.1998641439384-4.2794764053241j</v>
      </c>
      <c r="X154" s="86" t="str">
        <f t="shared" si="71"/>
        <v>5.49615540225313+4.74327074840703j</v>
      </c>
      <c r="Y154" s="86">
        <f t="shared" si="72"/>
        <v>17.218628724327004</v>
      </c>
      <c r="Z154" s="86">
        <f t="shared" si="73"/>
        <v>-139.20527726001455</v>
      </c>
      <c r="AB154" s="86" t="str">
        <f t="shared" si="74"/>
        <v>11.837165841896-3.56741947759595j</v>
      </c>
      <c r="AC154" s="86">
        <f t="shared" si="75"/>
        <v>21.842511706285741</v>
      </c>
      <c r="AD154" s="86">
        <f t="shared" si="76"/>
        <v>163.22853466146958</v>
      </c>
      <c r="AF154" s="86" t="str">
        <f t="shared" si="77"/>
        <v>0.9269873505606-1.22601307519383j</v>
      </c>
      <c r="AG154" s="86">
        <f t="shared" si="78"/>
        <v>3.7335593571060506</v>
      </c>
      <c r="AH154" s="86">
        <f t="shared" si="79"/>
        <v>127.09289244528078</v>
      </c>
      <c r="AJ154" s="86" t="str">
        <f t="shared" si="80"/>
        <v>15.0499999464241-0.000897951471899027j</v>
      </c>
      <c r="AK154" s="86" t="str">
        <f t="shared" si="81"/>
        <v>30.1-3.59180590038245E-11j</v>
      </c>
      <c r="AL154" s="86" t="str">
        <f t="shared" si="95"/>
        <v>10000-560541.301895291j</v>
      </c>
      <c r="AM154" s="86" t="str">
        <f t="shared" si="96"/>
        <v>962.993348788252-173972.941763171j</v>
      </c>
      <c r="AN154" s="86" t="str">
        <f t="shared" si="97"/>
        <v>10962.9933487883-173972.941763171j</v>
      </c>
      <c r="AO154" s="86" t="str">
        <f t="shared" si="98"/>
        <v>30.0996722377752-0.00518705309210331j</v>
      </c>
      <c r="AP154" s="86" t="str">
        <f t="shared" si="99"/>
        <v>0.666666667194054+0.0000132587885672333j</v>
      </c>
      <c r="AQ154" s="86" t="str">
        <f t="shared" si="82"/>
        <v>1+2.21500181307234j</v>
      </c>
      <c r="AR154" s="86">
        <f t="shared" si="83"/>
        <v>1.2187982676228559E-8</v>
      </c>
      <c r="AS154" s="86" t="str">
        <f t="shared" si="84"/>
        <v>0.0000116786795193998j</v>
      </c>
      <c r="AT154" s="86" t="str">
        <f t="shared" si="85"/>
        <v>1.21879826762286E-08+0.0000116786795193998j</v>
      </c>
      <c r="AU154" s="86" t="str">
        <f t="shared" si="86"/>
        <v>18.9751161978938-8.54280926595955j</v>
      </c>
      <c r="AW154" s="86" t="str">
        <f t="shared" si="100"/>
        <v>12.4841103296182-6.03922457666555j</v>
      </c>
      <c r="AX154" s="86">
        <f t="shared" si="87"/>
        <v>22.840362925657196</v>
      </c>
      <c r="AY154" s="86">
        <f t="shared" si="88"/>
        <v>154.18448969039375</v>
      </c>
      <c r="AZ154" s="86" t="str">
        <f t="shared" si="89"/>
        <v>126.232036975844-116.023361220781j</v>
      </c>
      <c r="BA154" s="86">
        <f t="shared" si="90"/>
        <v>44.682874631942909</v>
      </c>
      <c r="BB154" s="86">
        <f t="shared" si="91"/>
        <v>137.41302435186319</v>
      </c>
      <c r="BD154" s="86" t="str">
        <f t="shared" si="92"/>
        <v>4.16844406353503-20.9039672860379j</v>
      </c>
      <c r="BE154" s="86">
        <f t="shared" si="93"/>
        <v>26.573922282763235</v>
      </c>
      <c r="BF154" s="86">
        <f t="shared" si="94"/>
        <v>101.27738213567434</v>
      </c>
      <c r="BH154" s="86">
        <f t="shared" si="101"/>
        <v>-25.573922282763235</v>
      </c>
      <c r="BI154" s="157">
        <f t="shared" si="102"/>
        <v>-101.27738213567434</v>
      </c>
      <c r="BJ154" s="88"/>
      <c r="BK154" s="88"/>
      <c r="BL154" s="88"/>
      <c r="BM154" s="88"/>
      <c r="BN154" s="42"/>
      <c r="BO154" s="42"/>
      <c r="BP154" s="42"/>
    </row>
    <row r="155" spans="1:68" s="86" customFormat="1">
      <c r="A155" s="86">
        <v>91</v>
      </c>
      <c r="B155" s="86">
        <f t="shared" si="52"/>
        <v>6606.9344800759627</v>
      </c>
      <c r="C155" s="86" t="str">
        <f t="shared" si="53"/>
        <v>41512.5936507115j</v>
      </c>
      <c r="D155" s="86">
        <f t="shared" si="54"/>
        <v>0.99995634841677594</v>
      </c>
      <c r="E155" s="86" t="str">
        <f t="shared" si="55"/>
        <v>-0.0103781484126779j</v>
      </c>
      <c r="F155" s="86" t="str">
        <f t="shared" si="56"/>
        <v>0.999956348416776-0.0103781484126779j</v>
      </c>
      <c r="G155" s="86">
        <f t="shared" si="57"/>
        <v>8.8615597215239818E-5</v>
      </c>
      <c r="H155" s="86">
        <f t="shared" si="58"/>
        <v>-0.59462871101983716</v>
      </c>
      <c r="J155" s="86">
        <f t="shared" si="59"/>
        <v>4.8</v>
      </c>
      <c r="K155" s="86" t="str">
        <f t="shared" si="60"/>
        <v>1+1.69724239140934j</v>
      </c>
      <c r="L155" s="86">
        <f t="shared" si="61"/>
        <v>0.71817226511464938</v>
      </c>
      <c r="M155" s="86" t="str">
        <f t="shared" si="62"/>
        <v>0.237327497901118j</v>
      </c>
      <c r="N155" s="86" t="str">
        <f t="shared" si="63"/>
        <v>0.718172265114649+0.237327497901118j</v>
      </c>
      <c r="O155" s="86" t="str">
        <f t="shared" si="64"/>
        <v>1.95941775072024+1.7157703508519j</v>
      </c>
      <c r="P155" s="86" t="str">
        <f t="shared" si="65"/>
        <v>9.40520520345715+8.23569768408912j</v>
      </c>
      <c r="R155" s="86">
        <f t="shared" si="66"/>
        <v>11.52</v>
      </c>
      <c r="S155" s="86" t="str">
        <f t="shared" si="67"/>
        <v>1+0.00352857046031048j</v>
      </c>
      <c r="T155" s="86" t="str">
        <f t="shared" si="68"/>
        <v>0.718172265114649+0.237327497901118j</v>
      </c>
      <c r="U155" s="86" t="str">
        <f t="shared" si="69"/>
        <v>1.25679958277355-0.410409234942332j</v>
      </c>
      <c r="V155" s="86" t="str">
        <f t="shared" si="70"/>
        <v>14.4783311935513-4.72791438653566j</v>
      </c>
      <c r="X155" s="86" t="str">
        <f t="shared" si="71"/>
        <v>5.85428209295857+5.01993987985235j</v>
      </c>
      <c r="Y155" s="86">
        <f t="shared" si="72"/>
        <v>17.743155758957801</v>
      </c>
      <c r="Z155" s="86">
        <f t="shared" si="73"/>
        <v>-139.38751480715274</v>
      </c>
      <c r="AB155" s="86" t="str">
        <f t="shared" si="74"/>
        <v>12.0692990943242-3.94124240291402j</v>
      </c>
      <c r="AC155" s="86">
        <f t="shared" si="75"/>
        <v>22.073687346323858</v>
      </c>
      <c r="AD155" s="86">
        <f t="shared" si="76"/>
        <v>161.9154959752041</v>
      </c>
      <c r="AF155" s="86" t="str">
        <f t="shared" si="77"/>
        <v>0.871996767835064-1.21363749551793j</v>
      </c>
      <c r="AG155" s="86">
        <f t="shared" si="78"/>
        <v>3.4894596402652174</v>
      </c>
      <c r="AH155" s="86">
        <f t="shared" si="79"/>
        <v>125.69719032191179</v>
      </c>
      <c r="AJ155" s="86" t="str">
        <f t="shared" si="80"/>
        <v>15.0499999412552-0.000940270620666863j</v>
      </c>
      <c r="AK155" s="86" t="str">
        <f t="shared" si="81"/>
        <v>30.1-3.76108249734812E-11j</v>
      </c>
      <c r="AL155" s="86" t="str">
        <f t="shared" si="95"/>
        <v>10000-535312.787468805j</v>
      </c>
      <c r="AM155" s="86" t="str">
        <f t="shared" si="96"/>
        <v>962.979287369397-166143.961004479j</v>
      </c>
      <c r="AN155" s="86" t="str">
        <f t="shared" si="97"/>
        <v>10962.9792873694-166143.961004479j</v>
      </c>
      <c r="AO155" s="86" t="str">
        <f t="shared" si="98"/>
        <v>30.0996407588594-0.00542939288586085j</v>
      </c>
      <c r="AP155" s="86" t="str">
        <f t="shared" si="99"/>
        <v>0.666666667244935+0.0000138836560192017j</v>
      </c>
      <c r="AQ155" s="86" t="str">
        <f t="shared" si="82"/>
        <v>1+2.31939163245255j</v>
      </c>
      <c r="AR155" s="86">
        <f t="shared" si="83"/>
        <v>3.7160376451369204E-9</v>
      </c>
      <c r="AS155" s="86" t="str">
        <f t="shared" si="84"/>
        <v>0.0000122290787283009j</v>
      </c>
      <c r="AT155" s="86" t="str">
        <f t="shared" si="85"/>
        <v>3.71603764513692E-09+0.0000122290787283009j</v>
      </c>
      <c r="AU155" s="86" t="str">
        <f t="shared" si="86"/>
        <v>18.9686838949628-8.17146686817117j</v>
      </c>
      <c r="AW155" s="86" t="str">
        <f t="shared" si="100"/>
        <v>12.478694899187-5.8077211826863j</v>
      </c>
      <c r="AX155" s="86">
        <f t="shared" si="87"/>
        <v>22.774887679105035</v>
      </c>
      <c r="AY155" s="86">
        <f t="shared" si="88"/>
        <v>155.04221597382772</v>
      </c>
      <c r="AZ155" s="86" t="str">
        <f t="shared" si="89"/>
        <v>127.7194640556-119.276685479986j</v>
      </c>
      <c r="BA155" s="86">
        <f t="shared" si="90"/>
        <v>44.848575025428879</v>
      </c>
      <c r="BB155" s="86">
        <f t="shared" si="91"/>
        <v>136.9577119490317</v>
      </c>
      <c r="BD155" s="86" t="str">
        <f t="shared" si="92"/>
        <v>3.83291342806911-20.2089261245713j</v>
      </c>
      <c r="BE155" s="86">
        <f t="shared" si="93"/>
        <v>26.264347319370216</v>
      </c>
      <c r="BF155" s="86">
        <f t="shared" si="94"/>
        <v>100.73940629573947</v>
      </c>
      <c r="BH155" s="86">
        <f t="shared" si="101"/>
        <v>-25.264347319370216</v>
      </c>
      <c r="BI155" s="157">
        <f t="shared" si="102"/>
        <v>-100.73940629573947</v>
      </c>
      <c r="BJ155" s="88"/>
      <c r="BK155" s="88"/>
      <c r="BL155" s="88"/>
      <c r="BM155" s="88"/>
      <c r="BN155" s="42"/>
      <c r="BO155" s="42"/>
      <c r="BP155" s="42"/>
    </row>
    <row r="156" spans="1:68" s="86" customFormat="1">
      <c r="A156" s="86">
        <v>92</v>
      </c>
      <c r="B156" s="86">
        <f t="shared" si="52"/>
        <v>6918.309709189366</v>
      </c>
      <c r="C156" s="86" t="str">
        <f t="shared" si="53"/>
        <v>43469.0219152965j</v>
      </c>
      <c r="D156" s="86">
        <f t="shared" si="54"/>
        <v>0.99995213699076768</v>
      </c>
      <c r="E156" s="86" t="str">
        <f t="shared" si="55"/>
        <v>-0.0108672554788241j</v>
      </c>
      <c r="F156" s="86" t="str">
        <f t="shared" si="56"/>
        <v>0.999952136990768-0.0108672554788241j</v>
      </c>
      <c r="G156" s="86">
        <f t="shared" si="57"/>
        <v>9.7165849942471054E-5</v>
      </c>
      <c r="H156" s="86">
        <f t="shared" si="58"/>
        <v>-0.62265316427287298</v>
      </c>
      <c r="J156" s="86">
        <f t="shared" si="59"/>
        <v>4.8</v>
      </c>
      <c r="K156" s="86" t="str">
        <f t="shared" si="60"/>
        <v>1+1.7772309610069j</v>
      </c>
      <c r="L156" s="86">
        <f t="shared" si="61"/>
        <v>0.69098203362979049</v>
      </c>
      <c r="M156" s="86" t="str">
        <f t="shared" si="62"/>
        <v>0.24851239828975j</v>
      </c>
      <c r="N156" s="86" t="str">
        <f t="shared" si="63"/>
        <v>0.69098203362979+0.24851239828975j</v>
      </c>
      <c r="O156" s="86" t="str">
        <f t="shared" si="64"/>
        <v>2.10054771880754+1.81657228204646j</v>
      </c>
      <c r="P156" s="86" t="str">
        <f t="shared" si="65"/>
        <v>10.0826290502762+8.71954695382301j</v>
      </c>
      <c r="R156" s="86">
        <f t="shared" si="66"/>
        <v>11.52</v>
      </c>
      <c r="S156" s="86" t="str">
        <f t="shared" si="67"/>
        <v>1+0.0036948668628002j</v>
      </c>
      <c r="T156" s="86" t="str">
        <f t="shared" si="68"/>
        <v>0.69098203362979+0.24851239828975j</v>
      </c>
      <c r="U156" s="86" t="str">
        <f t="shared" si="69"/>
        <v>1.28316309646218-0.456143656847649j</v>
      </c>
      <c r="V156" s="86" t="str">
        <f t="shared" si="70"/>
        <v>14.7820388712443-5.25477492688492j</v>
      </c>
      <c r="X156" s="86" t="str">
        <f t="shared" si="71"/>
        <v>6.27785008935446+5.31099844712115j</v>
      </c>
      <c r="Y156" s="86">
        <f t="shared" si="72"/>
        <v>18.300630035074086</v>
      </c>
      <c r="Z156" s="86">
        <f t="shared" si="73"/>
        <v>-139.76911262570539</v>
      </c>
      <c r="AB156" s="86" t="str">
        <f t="shared" si="74"/>
        <v>12.3224732171093-4.38043925215482j</v>
      </c>
      <c r="AC156" s="86">
        <f t="shared" si="75"/>
        <v>22.330763439099663</v>
      </c>
      <c r="AD156" s="86">
        <f t="shared" si="76"/>
        <v>160.43052558151524</v>
      </c>
      <c r="AF156" s="86" t="str">
        <f t="shared" si="77"/>
        <v>0.818202443134839-1.19896824610861j</v>
      </c>
      <c r="AG156" s="86">
        <f t="shared" si="78"/>
        <v>3.2366043238776192</v>
      </c>
      <c r="AH156" s="86">
        <f t="shared" si="79"/>
        <v>124.31049190651945</v>
      </c>
      <c r="AJ156" s="86" t="str">
        <f t="shared" si="80"/>
        <v>15.0499999355876-0.00098458420942303j</v>
      </c>
      <c r="AK156" s="86" t="str">
        <f t="shared" si="81"/>
        <v>30.1-3.93833685454776E-11j</v>
      </c>
      <c r="AL156" s="86" t="str">
        <f t="shared" si="95"/>
        <v>10000-511219.743235179j</v>
      </c>
      <c r="AM156" s="86" t="str">
        <f t="shared" si="96"/>
        <v>962.963869802179-158667.393827402j</v>
      </c>
      <c r="AN156" s="86" t="str">
        <f t="shared" si="97"/>
        <v>10962.9638698022-158667.393827402j</v>
      </c>
      <c r="AO156" s="86" t="str">
        <f t="shared" si="98"/>
        <v>30.0996062716929-0.00568284197572615j</v>
      </c>
      <c r="AP156" s="86" t="str">
        <f t="shared" si="99"/>
        <v>0.666666667300725+0.0000145379725665915j</v>
      </c>
      <c r="AQ156" s="86" t="str">
        <f t="shared" si="82"/>
        <v>1+2.42870119245145j</v>
      </c>
      <c r="AR156" s="86">
        <f t="shared" si="83"/>
        <v>-5.573265360378798E-9</v>
      </c>
      <c r="AS156" s="86" t="str">
        <f t="shared" si="84"/>
        <v>0.0000128054174527658j</v>
      </c>
      <c r="AT156" s="86" t="str">
        <f t="shared" si="85"/>
        <v>-5.5732653603788E-09+0.0000128054174527658j</v>
      </c>
      <c r="AU156" s="86" t="str">
        <f t="shared" si="86"/>
        <v>18.9627984740711-7.81744797286947j</v>
      </c>
      <c r="AW156" s="86" t="str">
        <f t="shared" si="100"/>
        <v>12.4735356760835-5.5885241589948j</v>
      </c>
      <c r="AX156" s="86">
        <f t="shared" si="87"/>
        <v>22.714249823113228</v>
      </c>
      <c r="AY156" s="86">
        <f t="shared" si="88"/>
        <v>155.86616602846385</v>
      </c>
      <c r="AZ156" s="86" t="str">
        <f t="shared" si="89"/>
        <v>129.22461870352-123.504004561051j</v>
      </c>
      <c r="BA156" s="86">
        <f t="shared" si="90"/>
        <v>45.045013262212876</v>
      </c>
      <c r="BB156" s="86">
        <f t="shared" si="91"/>
        <v>136.29669160997921</v>
      </c>
      <c r="BD156" s="86" t="str">
        <f t="shared" si="92"/>
        <v>3.50541435545555-19.5279173127345j</v>
      </c>
      <c r="BE156" s="86">
        <f t="shared" si="93"/>
        <v>25.950854146990793</v>
      </c>
      <c r="BF156" s="86">
        <f t="shared" si="94"/>
        <v>100.1766579349835</v>
      </c>
      <c r="BH156" s="86">
        <f t="shared" si="101"/>
        <v>-24.950854146990793</v>
      </c>
      <c r="BI156" s="157">
        <f t="shared" si="102"/>
        <v>-100.1766579349835</v>
      </c>
      <c r="BJ156" s="88"/>
      <c r="BK156" s="88"/>
      <c r="BL156" s="88"/>
      <c r="BM156" s="88"/>
      <c r="BN156" s="42"/>
      <c r="BO156" s="42"/>
      <c r="BP156" s="42"/>
    </row>
    <row r="157" spans="1:68" s="86" customFormat="1">
      <c r="A157" s="86">
        <v>93</v>
      </c>
      <c r="B157" s="86">
        <f t="shared" si="52"/>
        <v>7244.3596007499063</v>
      </c>
      <c r="C157" s="86" t="str">
        <f t="shared" si="53"/>
        <v>45517.6538033572j</v>
      </c>
      <c r="D157" s="86">
        <f t="shared" si="54"/>
        <v>0.99994751925397507</v>
      </c>
      <c r="E157" s="86" t="str">
        <f t="shared" si="55"/>
        <v>-0.0113794134508393j</v>
      </c>
      <c r="F157" s="86" t="str">
        <f t="shared" si="56"/>
        <v>0.999947519253975-0.0113794134508393j</v>
      </c>
      <c r="G157" s="86">
        <f t="shared" si="57"/>
        <v>1.0654117333651889E-4</v>
      </c>
      <c r="H157" s="86">
        <f t="shared" si="58"/>
        <v>-0.6519984382725651</v>
      </c>
      <c r="J157" s="86">
        <f t="shared" si="59"/>
        <v>4.8</v>
      </c>
      <c r="K157" s="86" t="str">
        <f t="shared" si="60"/>
        <v>1+1.86098927575026j</v>
      </c>
      <c r="L157" s="86">
        <f t="shared" si="61"/>
        <v>0.66116853765855677</v>
      </c>
      <c r="M157" s="86" t="str">
        <f t="shared" si="62"/>
        <v>0.260224426793793j</v>
      </c>
      <c r="N157" s="86" t="str">
        <f t="shared" si="63"/>
        <v>0.661168537658557+0.260224426793793j</v>
      </c>
      <c r="O157" s="86" t="str">
        <f t="shared" si="64"/>
        <v>2.26883110623763+1.92172483908151j</v>
      </c>
      <c r="P157" s="86" t="str">
        <f t="shared" si="65"/>
        <v>10.8903893099406+9.22427922759125j</v>
      </c>
      <c r="R157" s="86">
        <f t="shared" si="66"/>
        <v>11.52</v>
      </c>
      <c r="S157" s="86" t="str">
        <f t="shared" si="67"/>
        <v>1+0.00386900057328536j</v>
      </c>
      <c r="T157" s="86" t="str">
        <f t="shared" si="68"/>
        <v>0.661168537658557+0.260224426793793j</v>
      </c>
      <c r="U157" s="86" t="str">
        <f t="shared" si="69"/>
        <v>1.31160039528437-0.510371321761781j</v>
      </c>
      <c r="V157" s="86" t="str">
        <f t="shared" si="70"/>
        <v>15.1096365536759-5.87947762669572j</v>
      </c>
      <c r="X157" s="86" t="str">
        <f t="shared" si="71"/>
        <v>6.78237800046964+5.61345696655026j</v>
      </c>
      <c r="Y157" s="86">
        <f t="shared" si="72"/>
        <v>18.893664241292431</v>
      </c>
      <c r="Z157" s="86">
        <f t="shared" si="73"/>
        <v>-140.38703314723301</v>
      </c>
      <c r="AB157" s="86" t="str">
        <f t="shared" si="74"/>
        <v>12.5955623155018-4.90119842172034j</v>
      </c>
      <c r="AC157" s="86">
        <f t="shared" si="75"/>
        <v>22.616670766457084</v>
      </c>
      <c r="AD157" s="86">
        <f t="shared" si="76"/>
        <v>158.73794102225361</v>
      </c>
      <c r="AF157" s="86" t="str">
        <f t="shared" si="77"/>
        <v>0.765786154502149-1.18214587431284j</v>
      </c>
      <c r="AG157" s="86">
        <f t="shared" si="78"/>
        <v>2.9751918693293193</v>
      </c>
      <c r="AH157" s="86">
        <f t="shared" si="79"/>
        <v>122.93489517995519</v>
      </c>
      <c r="AJ157" s="86" t="str">
        <f t="shared" si="80"/>
        <v>15.0499999293732-0.00103098623322127j</v>
      </c>
      <c r="AK157" s="86" t="str">
        <f t="shared" si="81"/>
        <v>30.1-4.12394495223796E-11j</v>
      </c>
      <c r="AL157" s="86" t="str">
        <f t="shared" si="95"/>
        <v>10000-488211.064617378j</v>
      </c>
      <c r="AM157" s="86" t="str">
        <f t="shared" si="96"/>
        <v>962.946965343306-151527.381425372j</v>
      </c>
      <c r="AN157" s="86" t="str">
        <f t="shared" si="97"/>
        <v>10962.9469653433-151527.381425372j</v>
      </c>
      <c r="AO157" s="86" t="str">
        <f t="shared" si="98"/>
        <v>30.0995684918204-0.00594787825201145j</v>
      </c>
      <c r="AP157" s="86" t="str">
        <f t="shared" si="99"/>
        <v>0.666666667361898+0.0000152231261024651j</v>
      </c>
      <c r="AQ157" s="86" t="str">
        <f t="shared" si="82"/>
        <v>1+2.54316235330117j</v>
      </c>
      <c r="AR157" s="86">
        <f t="shared" si="83"/>
        <v>-1.5758783563294098E-8</v>
      </c>
      <c r="AS157" s="86" t="str">
        <f t="shared" si="84"/>
        <v>0.0000134089181845003j</v>
      </c>
      <c r="AT157" s="86" t="str">
        <f t="shared" si="85"/>
        <v>-1.57587835632941E-08+0.0000134089181845003j</v>
      </c>
      <c r="AU157" s="86" t="str">
        <f t="shared" si="86"/>
        <v>18.9574099928949-7.48000281163147j</v>
      </c>
      <c r="AW157" s="86" t="str">
        <f t="shared" si="100"/>
        <v>12.4685889310089-5.38116838162877j</v>
      </c>
      <c r="AX157" s="86">
        <f t="shared" si="87"/>
        <v>22.658143360856386</v>
      </c>
      <c r="AY157" s="86">
        <f t="shared" si="88"/>
        <v>156.65603592712338</v>
      </c>
      <c r="AZ157" s="86" t="str">
        <f t="shared" si="89"/>
        <v>130.674714887848-128.889870070753j</v>
      </c>
      <c r="BA157" s="86">
        <f t="shared" si="90"/>
        <v>45.274814127313434</v>
      </c>
      <c r="BB157" s="86">
        <f t="shared" si="91"/>
        <v>135.39397694937711</v>
      </c>
      <c r="BD157" s="86" t="str">
        <f t="shared" si="92"/>
        <v>3.18694676822025-18.8605152049908j</v>
      </c>
      <c r="BE157" s="86">
        <f t="shared" si="93"/>
        <v>25.633335230185633</v>
      </c>
      <c r="BF157" s="86">
        <f t="shared" si="94"/>
        <v>99.59093110707876</v>
      </c>
      <c r="BH157" s="86">
        <f t="shared" si="101"/>
        <v>-24.633335230185633</v>
      </c>
      <c r="BI157" s="157">
        <f t="shared" si="102"/>
        <v>-99.59093110707876</v>
      </c>
      <c r="BJ157" s="88"/>
      <c r="BK157" s="88"/>
      <c r="BL157" s="88"/>
      <c r="BM157" s="88"/>
      <c r="BN157" s="42"/>
      <c r="BO157" s="42"/>
      <c r="BP157" s="42"/>
    </row>
    <row r="158" spans="1:68" s="86" customFormat="1">
      <c r="A158" s="86">
        <v>94</v>
      </c>
      <c r="B158" s="86">
        <f t="shared" si="52"/>
        <v>7585.775750291843</v>
      </c>
      <c r="C158" s="86" t="str">
        <f t="shared" si="53"/>
        <v>47662.8347377929j</v>
      </c>
      <c r="D158" s="86">
        <f t="shared" si="54"/>
        <v>0.9999424560062663</v>
      </c>
      <c r="E158" s="86" t="str">
        <f t="shared" si="55"/>
        <v>-0.0119157086844482j</v>
      </c>
      <c r="F158" s="86" t="str">
        <f t="shared" si="56"/>
        <v>0.999942456006266-0.0119157086844482j</v>
      </c>
      <c r="G158" s="86">
        <f t="shared" si="57"/>
        <v>1.1682120063301331E-4</v>
      </c>
      <c r="H158" s="86">
        <f t="shared" si="58"/>
        <v>-0.68272679159713046</v>
      </c>
      <c r="J158" s="86">
        <f t="shared" si="59"/>
        <v>4.8</v>
      </c>
      <c r="K158" s="86" t="str">
        <f t="shared" si="60"/>
        <v>1+1.94869499825466j</v>
      </c>
      <c r="L158" s="86">
        <f t="shared" si="61"/>
        <v>0.62847868937529716</v>
      </c>
      <c r="M158" s="86" t="str">
        <f t="shared" si="62"/>
        <v>0.272488426195962j</v>
      </c>
      <c r="N158" s="86" t="str">
        <f t="shared" si="63"/>
        <v>0.628478689375297+0.272488426195962j</v>
      </c>
      <c r="O158" s="86" t="str">
        <f t="shared" si="64"/>
        <v>2.47098899447587+2.02931160206896j</v>
      </c>
      <c r="P158" s="86" t="str">
        <f t="shared" si="65"/>
        <v>11.8607471734842+9.74069568993101j</v>
      </c>
      <c r="R158" s="86">
        <f t="shared" si="66"/>
        <v>11.52</v>
      </c>
      <c r="S158" s="86" t="str">
        <f t="shared" si="67"/>
        <v>1+0.0040513409527124j</v>
      </c>
      <c r="T158" s="86" t="str">
        <f t="shared" si="68"/>
        <v>0.628478689375297+0.272488426195962j</v>
      </c>
      <c r="U158" s="86" t="str">
        <f t="shared" si="69"/>
        <v>1.34172022323392-0.575281067097076j</v>
      </c>
      <c r="V158" s="86" t="str">
        <f t="shared" si="70"/>
        <v>15.4566169716548-6.62723789295832j</v>
      </c>
      <c r="X158" s="86" t="str">
        <f t="shared" si="71"/>
        <v>7.38774395106844+5.92123742317614j</v>
      </c>
      <c r="Y158" s="86">
        <f t="shared" si="72"/>
        <v>19.525009433637369</v>
      </c>
      <c r="Z158" s="86">
        <f t="shared" si="73"/>
        <v>-141.28801123142313</v>
      </c>
      <c r="AB158" s="86" t="str">
        <f t="shared" si="74"/>
        <v>12.8848090794055-5.5245397573844j</v>
      </c>
      <c r="AC158" s="86">
        <f t="shared" si="75"/>
        <v>22.934483984963482</v>
      </c>
      <c r="AD158" s="86">
        <f t="shared" si="76"/>
        <v>156.7920981816894</v>
      </c>
      <c r="AF158" s="86" t="str">
        <f t="shared" si="77"/>
        <v>0.7149091924412-1.16332673943831j</v>
      </c>
      <c r="AG158" s="86">
        <f t="shared" si="78"/>
        <v>2.7054474446141352</v>
      </c>
      <c r="AH158" s="86">
        <f t="shared" si="79"/>
        <v>121.57233059820393</v>
      </c>
      <c r="AJ158" s="86" t="str">
        <f t="shared" si="80"/>
        <v>15.0499999225593-0.00107957511696467j</v>
      </c>
      <c r="AK158" s="86" t="str">
        <f t="shared" si="81"/>
        <v>30.1-4.31830049007879E-11j</v>
      </c>
      <c r="AL158" s="86" t="str">
        <f t="shared" si="95"/>
        <v>10000-466237.947123228j</v>
      </c>
      <c r="AM158" s="86" t="str">
        <f t="shared" si="96"/>
        <v>962.928430654872-144708.77886886j</v>
      </c>
      <c r="AN158" s="86" t="str">
        <f t="shared" si="97"/>
        <v>10962.9284306549-144708.77886886j</v>
      </c>
      <c r="AO158" s="86" t="str">
        <f t="shared" si="98"/>
        <v>30.0995271084967-0.00622499549474033j</v>
      </c>
      <c r="AP158" s="86" t="str">
        <f t="shared" si="99"/>
        <v>0.666666667428972+0.0000159405699292624j</v>
      </c>
      <c r="AQ158" s="86" t="str">
        <f t="shared" si="82"/>
        <v>1+2.66301790246996j</v>
      </c>
      <c r="AR158" s="86">
        <f t="shared" si="83"/>
        <v>-2.6926982189209956E-8</v>
      </c>
      <c r="AS158" s="86" t="str">
        <f t="shared" si="84"/>
        <v>0.0000140408610294691j</v>
      </c>
      <c r="AT158" s="86" t="str">
        <f t="shared" si="85"/>
        <v>-2.692698218921E-08+0.0000140408610294691j</v>
      </c>
      <c r="AU158" s="86" t="str">
        <f t="shared" si="86"/>
        <v>18.9524727245547-7.15841661594282j</v>
      </c>
      <c r="AW158" s="86" t="str">
        <f t="shared" si="100"/>
        <v>12.4638127473795-5.18521360019073j</v>
      </c>
      <c r="AX158" s="86">
        <f t="shared" si="87"/>
        <v>22.606271875053462</v>
      </c>
      <c r="AY158" s="86">
        <f t="shared" si="88"/>
        <v>157.41164120857707</v>
      </c>
      <c r="AZ158" s="86" t="str">
        <f t="shared" si="89"/>
        <v>131.947928966661-135.667316325887j</v>
      </c>
      <c r="BA158" s="86">
        <f t="shared" si="90"/>
        <v>45.540755860016937</v>
      </c>
      <c r="BB158" s="86">
        <f t="shared" si="91"/>
        <v>134.20373939026638</v>
      </c>
      <c r="BD158" s="86" t="str">
        <f t="shared" si="92"/>
        <v>2.87839667516631-18.2064435119261j</v>
      </c>
      <c r="BE158" s="86">
        <f t="shared" si="93"/>
        <v>25.311719319667581</v>
      </c>
      <c r="BF158" s="86">
        <f t="shared" si="94"/>
        <v>98.983971806780872</v>
      </c>
      <c r="BH158" s="86">
        <f t="shared" si="101"/>
        <v>-24.311719319667581</v>
      </c>
      <c r="BI158" s="157">
        <f t="shared" si="102"/>
        <v>-98.983971806780872</v>
      </c>
      <c r="BJ158" s="88"/>
      <c r="BK158" s="88"/>
      <c r="BL158" s="88"/>
      <c r="BM158" s="88"/>
      <c r="BN158" s="42"/>
      <c r="BO158" s="42"/>
      <c r="BP158" s="42"/>
    </row>
    <row r="159" spans="1:68" s="86" customFormat="1">
      <c r="A159" s="86">
        <v>95</v>
      </c>
      <c r="B159" s="86">
        <f t="shared" si="52"/>
        <v>7943.2823472428199</v>
      </c>
      <c r="C159" s="86" t="str">
        <f t="shared" si="53"/>
        <v>49909.1149349751j</v>
      </c>
      <c r="D159" s="86">
        <f t="shared" si="54"/>
        <v>0.99993690426555193</v>
      </c>
      <c r="E159" s="86" t="str">
        <f t="shared" si="55"/>
        <v>-0.0124772787337438j</v>
      </c>
      <c r="F159" s="86" t="str">
        <f t="shared" si="56"/>
        <v>0.999936904265552-0.0124772787337438j</v>
      </c>
      <c r="G159" s="86">
        <f t="shared" si="57"/>
        <v>1.2809325438601385E-4</v>
      </c>
      <c r="H159" s="86">
        <f t="shared" si="58"/>
        <v>-0.71490341849402506</v>
      </c>
      <c r="J159" s="86">
        <f t="shared" si="59"/>
        <v>4.8</v>
      </c>
      <c r="K159" s="86" t="str">
        <f t="shared" si="60"/>
        <v>1+2.04053416411646j</v>
      </c>
      <c r="L159" s="86">
        <f t="shared" si="61"/>
        <v>0.59263498349747445</v>
      </c>
      <c r="M159" s="86" t="str">
        <f t="shared" si="62"/>
        <v>0.285330410083253j</v>
      </c>
      <c r="N159" s="86" t="str">
        <f t="shared" si="63"/>
        <v>0.592634983497474+0.285330410083253j</v>
      </c>
      <c r="O159" s="86" t="str">
        <f t="shared" si="64"/>
        <v>2.71562845565382+2.13568692108167j</v>
      </c>
      <c r="P159" s="86" t="str">
        <f t="shared" si="65"/>
        <v>13.0350165871383+10.251297221192j</v>
      </c>
      <c r="R159" s="86">
        <f t="shared" si="66"/>
        <v>11.52</v>
      </c>
      <c r="S159" s="86" t="str">
        <f t="shared" si="67"/>
        <v>1+0.00424227476947288j</v>
      </c>
      <c r="T159" s="86" t="str">
        <f t="shared" si="68"/>
        <v>0.592634983497474+0.285330410083253j</v>
      </c>
      <c r="U159" s="86" t="str">
        <f t="shared" si="69"/>
        <v>1.37264149772021-0.653714508019717j</v>
      </c>
      <c r="V159" s="86" t="str">
        <f t="shared" si="70"/>
        <v>15.8128300537368-7.53079113238714j</v>
      </c>
      <c r="X159" s="86" t="str">
        <f t="shared" si="71"/>
        <v>8.11933627479435+6.22301314261252j</v>
      </c>
      <c r="Y159" s="86">
        <f t="shared" si="72"/>
        <v>20.197372162667627</v>
      </c>
      <c r="Z159" s="86">
        <f t="shared" si="73"/>
        <v>-142.53187158793813</v>
      </c>
      <c r="AB159" s="86" t="str">
        <f t="shared" si="74"/>
        <v>13.1817522955458-6.27775186094293j</v>
      </c>
      <c r="AC159" s="86">
        <f t="shared" si="75"/>
        <v>23.287235630129622</v>
      </c>
      <c r="AD159" s="86">
        <f t="shared" si="76"/>
        <v>154.5340792634174</v>
      </c>
      <c r="AF159" s="86" t="str">
        <f t="shared" si="77"/>
        <v>0.665710941781626-1.1426796300552j</v>
      </c>
      <c r="AG159" s="86">
        <f t="shared" si="78"/>
        <v>2.4276194693044579</v>
      </c>
      <c r="AH159" s="86">
        <f t="shared" si="79"/>
        <v>120.22454577381228</v>
      </c>
      <c r="AJ159" s="86" t="str">
        <f t="shared" si="80"/>
        <v>15.049999915088-0.0011304539241779j</v>
      </c>
      <c r="AK159" s="86" t="str">
        <f t="shared" si="81"/>
        <v>30.1-4.52181572222368E-11j</v>
      </c>
      <c r="AL159" s="86" t="str">
        <f t="shared" si="95"/>
        <v>10000-445253.782824536j</v>
      </c>
      <c r="AM159" s="86" t="str">
        <f t="shared" si="96"/>
        <v>962.908108593204-138197.122980828j</v>
      </c>
      <c r="AN159" s="86" t="str">
        <f t="shared" si="97"/>
        <v>10962.9081085932-138197.122980828j</v>
      </c>
      <c r="AO159" s="86" t="str">
        <f t="shared" si="98"/>
        <v>30.0994817823788-0.00651470317412399j</v>
      </c>
      <c r="AP159" s="86" t="str">
        <f t="shared" si="99"/>
        <v>0.666666667502517+0.0000166918258414495j</v>
      </c>
      <c r="AQ159" s="86" t="str">
        <f t="shared" si="82"/>
        <v>1+2.78852206964693j</v>
      </c>
      <c r="AR159" s="86">
        <f t="shared" si="83"/>
        <v>-3.9172668472722963E-8</v>
      </c>
      <c r="AS159" s="86" t="str">
        <f t="shared" si="84"/>
        <v>0.0000147025864231725j</v>
      </c>
      <c r="AT159" s="86" t="str">
        <f t="shared" si="85"/>
        <v>-3.9172668472723E-08+0.0000147025864231725j</v>
      </c>
      <c r="AU159" s="86" t="str">
        <f t="shared" si="86"/>
        <v>18.9479447699868-6.85200812014517j</v>
      </c>
      <c r="AW159" s="86" t="str">
        <f t="shared" si="100"/>
        <v>12.4591666680893-5.00024349612995j</v>
      </c>
      <c r="AX159" s="86">
        <f t="shared" si="87"/>
        <v>22.558349600387881</v>
      </c>
      <c r="AY159" s="86">
        <f t="shared" si="88"/>
        <v>158.13290377379309</v>
      </c>
      <c r="AZ159" s="86" t="str">
        <f t="shared" si="89"/>
        <v>132.843360914677-144.127527919795j</v>
      </c>
      <c r="BA159" s="86">
        <f t="shared" si="90"/>
        <v>45.845585230517543</v>
      </c>
      <c r="BB159" s="86">
        <f t="shared" si="91"/>
        <v>132.66698303721057</v>
      </c>
      <c r="BD159" s="86" t="str">
        <f t="shared" si="92"/>
        <v>2.58052718808433-17.5655527660345j</v>
      </c>
      <c r="BE159" s="86">
        <f t="shared" si="93"/>
        <v>24.985969069692352</v>
      </c>
      <c r="BF159" s="86">
        <f t="shared" si="94"/>
        <v>98.357449547605512</v>
      </c>
      <c r="BH159" s="86">
        <f t="shared" si="101"/>
        <v>-23.985969069692352</v>
      </c>
      <c r="BI159" s="157">
        <f t="shared" si="102"/>
        <v>-98.357449547605512</v>
      </c>
      <c r="BJ159" s="88"/>
      <c r="BK159" s="88"/>
      <c r="BL159" s="88"/>
      <c r="BM159" s="88"/>
      <c r="BN159" s="42"/>
      <c r="BO159" s="42"/>
      <c r="BP159" s="42"/>
    </row>
    <row r="160" spans="1:68" s="86" customFormat="1">
      <c r="A160" s="86">
        <v>96</v>
      </c>
      <c r="B160" s="86">
        <f t="shared" si="52"/>
        <v>8317.6377110267131</v>
      </c>
      <c r="C160" s="86" t="str">
        <f t="shared" si="53"/>
        <v>52261.2590563659j</v>
      </c>
      <c r="D160" s="86">
        <f t="shared" si="54"/>
        <v>0.99993081690290808</v>
      </c>
      <c r="E160" s="86" t="str">
        <f t="shared" si="55"/>
        <v>-0.0130653147640915j</v>
      </c>
      <c r="F160" s="86" t="str">
        <f t="shared" si="56"/>
        <v>0.999930816902908-0.0130653147640915j</v>
      </c>
      <c r="G160" s="86">
        <f t="shared" si="57"/>
        <v>1.4045308961450963E-4</v>
      </c>
      <c r="H160" s="86">
        <f t="shared" si="58"/>
        <v>-0.74859658745775259</v>
      </c>
      <c r="J160" s="86">
        <f t="shared" si="59"/>
        <v>4.8</v>
      </c>
      <c r="K160" s="86" t="str">
        <f t="shared" si="60"/>
        <v>1+2.13670157651952j</v>
      </c>
      <c r="L160" s="86">
        <f t="shared" si="61"/>
        <v>0.55333314153347124</v>
      </c>
      <c r="M160" s="86" t="str">
        <f t="shared" si="62"/>
        <v>0.298777618025244j</v>
      </c>
      <c r="N160" s="86" t="str">
        <f t="shared" si="63"/>
        <v>0.553333141533471+0.298777618025244j</v>
      </c>
      <c r="O160" s="86" t="str">
        <f t="shared" si="64"/>
        <v>3.01364247553528+2.23426461077898j</v>
      </c>
      <c r="P160" s="86" t="str">
        <f t="shared" si="65"/>
        <v>14.4654838825693+10.7244701317391j</v>
      </c>
      <c r="R160" s="86">
        <f t="shared" si="66"/>
        <v>11.52</v>
      </c>
      <c r="S160" s="86" t="str">
        <f t="shared" si="67"/>
        <v>1+0.0044422070197911j</v>
      </c>
      <c r="T160" s="86" t="str">
        <f t="shared" si="68"/>
        <v>0.553333141533471+0.298777618025244j</v>
      </c>
      <c r="U160" s="86" t="str">
        <f t="shared" si="69"/>
        <v>1.40262107028766-0.749330817604196j</v>
      </c>
      <c r="V160" s="86" t="str">
        <f t="shared" si="70"/>
        <v>16.1581947297138-8.63229101880034j</v>
      </c>
      <c r="X160" s="86" t="str">
        <f t="shared" si="71"/>
        <v>9.00917410238542+6.49858431048653j</v>
      </c>
      <c r="Y160" s="86">
        <f t="shared" si="72"/>
        <v>20.913039539370931</v>
      </c>
      <c r="Z160" s="86">
        <f t="shared" si="73"/>
        <v>-144.19597132764741</v>
      </c>
      <c r="AB160" s="86" t="str">
        <f t="shared" si="74"/>
        <v>13.4696521588144-7.19597450716934j</v>
      </c>
      <c r="AC160" s="86">
        <f t="shared" si="75"/>
        <v>23.677538327379043</v>
      </c>
      <c r="AD160" s="86">
        <f t="shared" si="76"/>
        <v>151.8872578198268</v>
      </c>
      <c r="AF160" s="86" t="str">
        <f t="shared" si="77"/>
        <v>0.618308078268646-1.12038231815555j</v>
      </c>
      <c r="AG160" s="86">
        <f t="shared" si="78"/>
        <v>2.1419759764711799</v>
      </c>
      <c r="AH160" s="86">
        <f t="shared" si="79"/>
        <v>118.89309375102405</v>
      </c>
      <c r="AJ160" s="86" t="str">
        <f t="shared" si="80"/>
        <v>15.0499999068958-0.00118373057561851j</v>
      </c>
      <c r="AK160" s="86" t="str">
        <f t="shared" si="81"/>
        <v>30.1-4.7349223317658E-11j</v>
      </c>
      <c r="AL160" s="86" t="str">
        <f t="shared" si="95"/>
        <v>10000-425214.06149543j</v>
      </c>
      <c r="AM160" s="86" t="str">
        <f t="shared" si="96"/>
        <v>962.88582688156-131978.601658263j</v>
      </c>
      <c r="AN160" s="86" t="str">
        <f t="shared" si="97"/>
        <v>10962.8858268816-131978.601658263j</v>
      </c>
      <c r="AO160" s="86" t="str">
        <f t="shared" si="98"/>
        <v>30.0994321430411-0.00681752610986265j</v>
      </c>
      <c r="AP160" s="86" t="str">
        <f t="shared" si="99"/>
        <v>0.666666667583159+0.000017478487353447j</v>
      </c>
      <c r="AQ160" s="86" t="str">
        <f t="shared" si="82"/>
        <v>1+2.91994106599728j</v>
      </c>
      <c r="AR160" s="86">
        <f t="shared" si="83"/>
        <v>-5.2599796479404987E-8</v>
      </c>
      <c r="AS160" s="86" t="str">
        <f t="shared" si="84"/>
        <v>0.0000153954979738895j</v>
      </c>
      <c r="AT160" s="86" t="str">
        <f t="shared" si="85"/>
        <v>-5.2599796479405E-08+0.0000153954979738895j</v>
      </c>
      <c r="AU160" s="86" t="str">
        <f t="shared" si="86"/>
        <v>18.9437877027228-6.5601281328477j</v>
      </c>
      <c r="AW160" s="86" t="str">
        <f t="shared" si="100"/>
        <v>12.4546113550519-4.82586478702986j</v>
      </c>
      <c r="AX160" s="86">
        <f t="shared" si="87"/>
        <v>22.514102227899183</v>
      </c>
      <c r="AY160" s="86">
        <f t="shared" si="88"/>
        <v>158.81983889477451</v>
      </c>
      <c r="AZ160" s="86" t="str">
        <f t="shared" si="89"/>
        <v>133.032482743257-154.625785854419j</v>
      </c>
      <c r="BA160" s="86">
        <f t="shared" si="90"/>
        <v>46.191640555278269</v>
      </c>
      <c r="BB160" s="86">
        <f t="shared" si="91"/>
        <v>130.70709671460139</v>
      </c>
      <c r="BD160" s="86" t="str">
        <f t="shared" si="92"/>
        <v>2.29397323532729-16.9377975241523j</v>
      </c>
      <c r="BE160" s="86">
        <f t="shared" si="93"/>
        <v>24.656078204370402</v>
      </c>
      <c r="BF160" s="86">
        <f t="shared" si="94"/>
        <v>97.712932645798688</v>
      </c>
      <c r="BH160" s="86">
        <f t="shared" si="101"/>
        <v>-23.656078204370402</v>
      </c>
      <c r="BI160" s="157">
        <f t="shared" si="102"/>
        <v>-97.712932645798688</v>
      </c>
      <c r="BJ160" s="88"/>
      <c r="BK160" s="88"/>
      <c r="BL160" s="88"/>
      <c r="BM160" s="88"/>
      <c r="BN160" s="42"/>
      <c r="BO160" s="42"/>
      <c r="BP160" s="42"/>
    </row>
    <row r="161" spans="1:68" s="86" customFormat="1">
      <c r="A161" s="86">
        <v>97</v>
      </c>
      <c r="B161" s="86">
        <f t="shared" si="52"/>
        <v>8709.635899560808</v>
      </c>
      <c r="C161" s="86" t="str">
        <f t="shared" si="53"/>
        <v>54724.2563150043j</v>
      </c>
      <c r="D161" s="86">
        <f t="shared" si="54"/>
        <v>0.99992414224249704</v>
      </c>
      <c r="E161" s="86" t="str">
        <f t="shared" si="55"/>
        <v>-0.0136810640787511j</v>
      </c>
      <c r="F161" s="86" t="str">
        <f t="shared" si="56"/>
        <v>0.999924142242497-0.0136810640787511j</v>
      </c>
      <c r="G161" s="86">
        <f t="shared" si="57"/>
        <v>1.5400570895315348E-4</v>
      </c>
      <c r="H161" s="86">
        <f t="shared" si="58"/>
        <v>-0.78387778637186778</v>
      </c>
      <c r="J161" s="86">
        <f t="shared" si="59"/>
        <v>4.8</v>
      </c>
      <c r="K161" s="86" t="str">
        <f t="shared" si="60"/>
        <v>1+2.23740121943895j</v>
      </c>
      <c r="L161" s="86">
        <f t="shared" si="61"/>
        <v>0.51023952875167833</v>
      </c>
      <c r="M161" s="86" t="str">
        <f t="shared" si="62"/>
        <v>0.31285857335288j</v>
      </c>
      <c r="N161" s="86" t="str">
        <f t="shared" si="63"/>
        <v>0.510239528751678+0.31285857335288j</v>
      </c>
      <c r="O161" s="86" t="str">
        <f t="shared" si="64"/>
        <v>3.37840782476592+2.31349650636921j</v>
      </c>
      <c r="P161" s="86" t="str">
        <f t="shared" si="65"/>
        <v>16.2163575588764+11.1047832305722j</v>
      </c>
      <c r="R161" s="86">
        <f t="shared" si="66"/>
        <v>11.52</v>
      </c>
      <c r="S161" s="86" t="str">
        <f t="shared" si="67"/>
        <v>1+0.00465156178677537j</v>
      </c>
      <c r="T161" s="86" t="str">
        <f t="shared" si="68"/>
        <v>0.510239528751678+0.31285857335288j</v>
      </c>
      <c r="U161" s="86" t="str">
        <f t="shared" si="69"/>
        <v>1.42841790646149-0.866732586678327j</v>
      </c>
      <c r="V161" s="86" t="str">
        <f t="shared" si="70"/>
        <v>16.4553742824364-9.98475939853433j</v>
      </c>
      <c r="X161" s="86" t="str">
        <f t="shared" si="71"/>
        <v>10.0963812756363+6.71285597415936j</v>
      </c>
      <c r="Y161" s="86">
        <f t="shared" si="72"/>
        <v>21.673154149638659</v>
      </c>
      <c r="Z161" s="86">
        <f t="shared" si="73"/>
        <v>-146.3809637483171</v>
      </c>
      <c r="AB161" s="86" t="str">
        <f t="shared" si="74"/>
        <v>13.7173843634848-8.32340730121235j</v>
      </c>
      <c r="AC161" s="86">
        <f t="shared" si="75"/>
        <v>24.106857147295095</v>
      </c>
      <c r="AD161" s="86">
        <f t="shared" si="76"/>
        <v>148.75154432680196</v>
      </c>
      <c r="AF161" s="86" t="str">
        <f t="shared" si="77"/>
        <v>0.572794354042943-1.0966181677113j</v>
      </c>
      <c r="AG161" s="86">
        <f t="shared" si="78"/>
        <v>1.8488008873747077</v>
      </c>
      <c r="AH161" s="86">
        <f t="shared" si="79"/>
        <v>117.57932487919976</v>
      </c>
      <c r="AJ161" s="86" t="str">
        <f t="shared" si="80"/>
        <v>15.0499998979133-0.00123951807819106j</v>
      </c>
      <c r="AK161" s="86" t="str">
        <f t="shared" si="81"/>
        <v>30.1-4.95807234639571E-11j</v>
      </c>
      <c r="AL161" s="86" t="str">
        <f t="shared" si="95"/>
        <v>10000-406076.2762002j</v>
      </c>
      <c r="AM161" s="86" t="str">
        <f t="shared" si="96"/>
        <v>962.861396655759-126040.02457471j</v>
      </c>
      <c r="AN161" s="86" t="str">
        <f t="shared" si="97"/>
        <v>10962.8613966558-126040.02457471j</v>
      </c>
      <c r="AO161" s="86" t="str">
        <f t="shared" si="98"/>
        <v>30.0993777863031-0.00713400396526856j</v>
      </c>
      <c r="AP161" s="86" t="str">
        <f t="shared" si="99"/>
        <v>0.666666667671581+0.0000183022230796859j</v>
      </c>
      <c r="AQ161" s="86" t="str">
        <f t="shared" si="82"/>
        <v>1+3.05755364883192j</v>
      </c>
      <c r="AR161" s="86">
        <f t="shared" si="83"/>
        <v>-6.7322349575554753E-8</v>
      </c>
      <c r="AS161" s="86" t="str">
        <f t="shared" si="84"/>
        <v>0.0000161210654399194j</v>
      </c>
      <c r="AT161" s="86" t="str">
        <f t="shared" si="85"/>
        <v>-6.73223495755548E-08+0.0000161210654399194j</v>
      </c>
      <c r="AU161" s="86" t="str">
        <f t="shared" si="86"/>
        <v>18.9399662430769-6.28215817408604j</v>
      </c>
      <c r="AW161" s="86" t="str">
        <f t="shared" si="100"/>
        <v>12.4501082587341-4.66170637476943j</v>
      </c>
      <c r="AX161" s="86">
        <f t="shared" si="87"/>
        <v>22.473267465169819</v>
      </c>
      <c r="AY161" s="86">
        <f t="shared" si="88"/>
        <v>159.47254253282395</v>
      </c>
      <c r="AZ161" s="86" t="str">
        <f t="shared" si="89"/>
        <v>131.981639476188-167.573740114051j</v>
      </c>
      <c r="BA161" s="86">
        <f t="shared" si="90"/>
        <v>46.5801246124649</v>
      </c>
      <c r="BB161" s="86">
        <f t="shared" si="91"/>
        <v>128.22408685962591</v>
      </c>
      <c r="BD161" s="86" t="str">
        <f t="shared" si="92"/>
        <v>2.01923981471856-16.3232139981742j</v>
      </c>
      <c r="BE161" s="86">
        <f t="shared" si="93"/>
        <v>24.322068352544505</v>
      </c>
      <c r="BF161" s="86">
        <f t="shared" si="94"/>
        <v>97.051867412023711</v>
      </c>
      <c r="BH161" s="86">
        <f t="shared" si="101"/>
        <v>-23.322068352544505</v>
      </c>
      <c r="BI161" s="157">
        <f t="shared" si="102"/>
        <v>-97.051867412023711</v>
      </c>
      <c r="BJ161" s="88"/>
      <c r="BK161" s="88"/>
      <c r="BL161" s="88"/>
      <c r="BM161" s="88"/>
      <c r="BN161" s="42"/>
      <c r="BO161" s="42"/>
      <c r="BP161" s="42"/>
    </row>
    <row r="162" spans="1:68" s="86" customFormat="1">
      <c r="A162" s="86">
        <v>98</v>
      </c>
      <c r="B162" s="86">
        <f t="shared" si="52"/>
        <v>9120.1083935590977</v>
      </c>
      <c r="C162" s="86" t="str">
        <f t="shared" si="53"/>
        <v>57303.3310582957j</v>
      </c>
      <c r="D162" s="86">
        <f t="shared" si="54"/>
        <v>0.99991682362288969</v>
      </c>
      <c r="E162" s="86" t="str">
        <f t="shared" si="55"/>
        <v>-0.0143258327645739j</v>
      </c>
      <c r="F162" s="86" t="str">
        <f t="shared" si="56"/>
        <v>0.99991682362289-0.0143258327645739j</v>
      </c>
      <c r="G162" s="86">
        <f t="shared" si="57"/>
        <v>1.6886625669974582E-4</v>
      </c>
      <c r="H162" s="86">
        <f t="shared" si="58"/>
        <v>-0.82082187452932742</v>
      </c>
      <c r="J162" s="86">
        <f t="shared" si="59"/>
        <v>4.8</v>
      </c>
      <c r="K162" s="86" t="str">
        <f t="shared" si="60"/>
        <v>1+2.34284669031842j</v>
      </c>
      <c r="L162" s="86">
        <f t="shared" si="61"/>
        <v>0.46298832194340434</v>
      </c>
      <c r="M162" s="86" t="str">
        <f t="shared" si="62"/>
        <v>0.327603143660276j</v>
      </c>
      <c r="N162" s="86" t="str">
        <f t="shared" si="63"/>
        <v>0.462988321943404+0.327603143660276j</v>
      </c>
      <c r="O162" s="86" t="str">
        <f t="shared" si="64"/>
        <v>3.82524430923919+2.3535898805592j</v>
      </c>
      <c r="P162" s="86" t="str">
        <f t="shared" si="65"/>
        <v>18.3611726843481+11.2972314266842j</v>
      </c>
      <c r="R162" s="86">
        <f t="shared" si="66"/>
        <v>11.52</v>
      </c>
      <c r="S162" s="86" t="str">
        <f t="shared" si="67"/>
        <v>1+0.00487078313995513j</v>
      </c>
      <c r="T162" s="86" t="str">
        <f t="shared" si="68"/>
        <v>0.462988321943404+0.327603143660276j</v>
      </c>
      <c r="U162" s="86" t="str">
        <f t="shared" si="69"/>
        <v>1.44423373753645-1.01139641598661j</v>
      </c>
      <c r="V162" s="86" t="str">
        <f t="shared" si="70"/>
        <v>16.6375726564199-11.6512867121657j</v>
      </c>
      <c r="X162" s="86" t="str">
        <f t="shared" si="71"/>
        <v>11.4253925561171+6.80610785199428j</v>
      </c>
      <c r="Y162" s="86">
        <f t="shared" si="72"/>
        <v>22.476362486271913</v>
      </c>
      <c r="Z162" s="86">
        <f t="shared" si="73"/>
        <v>-149.2177373752655</v>
      </c>
      <c r="AB162" s="86" t="str">
        <f t="shared" si="74"/>
        <v>13.8692669693397-9.71264314118515j</v>
      </c>
      <c r="AC162" s="86">
        <f t="shared" si="75"/>
        <v>24.574155789681171</v>
      </c>
      <c r="AD162" s="86">
        <f t="shared" si="76"/>
        <v>144.99645788567639</v>
      </c>
      <c r="AF162" s="86" t="str">
        <f t="shared" si="77"/>
        <v>0.529240923702496-1.07157290101378j</v>
      </c>
      <c r="AG162" s="86">
        <f t="shared" si="78"/>
        <v>1.5483902887298555</v>
      </c>
      <c r="AH162" s="86">
        <f t="shared" si="79"/>
        <v>116.28438217271241</v>
      </c>
      <c r="AJ162" s="86" t="str">
        <f t="shared" si="80"/>
        <v>15.0499998880641-0.00129793476464964j</v>
      </c>
      <c r="AK162" s="86" t="str">
        <f t="shared" si="81"/>
        <v>30.1-5.19173909721265E-11j</v>
      </c>
      <c r="AL162" s="86" t="str">
        <f t="shared" si="95"/>
        <v>10000-387799.833130383j</v>
      </c>
      <c r="AM162" s="86" t="str">
        <f t="shared" si="96"/>
        <v>962.834610870668-120368.795201641j</v>
      </c>
      <c r="AN162" s="86" t="str">
        <f t="shared" si="97"/>
        <v>10962.8346108707-120368.795201641j</v>
      </c>
      <c r="AO162" s="86" t="str">
        <f t="shared" si="98"/>
        <v>30.0993182713643-0.00746469054898869j</v>
      </c>
      <c r="AP162" s="86" t="str">
        <f t="shared" si="99"/>
        <v>0.666666667768534+0.000019164780273961j</v>
      </c>
      <c r="AQ162" s="86" t="str">
        <f t="shared" si="82"/>
        <v>1+3.2016517128891j</v>
      </c>
      <c r="AR162" s="86">
        <f t="shared" si="83"/>
        <v>-8.3465308037043602E-8</v>
      </c>
      <c r="AS162" s="86" t="str">
        <f t="shared" si="84"/>
        <v>0.0000168808278471364j</v>
      </c>
      <c r="AT162" s="86" t="str">
        <f t="shared" si="85"/>
        <v>-8.34653080370436E-08+0.0000168808278471364j</v>
      </c>
      <c r="AU162" s="86" t="str">
        <f t="shared" si="86"/>
        <v>18.9364479589891-6.01750917560931j</v>
      </c>
      <c r="AW162" s="86" t="str">
        <f t="shared" si="100"/>
        <v>12.4456192949903-4.50741853542884j</v>
      </c>
      <c r="AX162" s="86">
        <f t="shared" si="87"/>
        <v>22.435595377778498</v>
      </c>
      <c r="AY162" s="86">
        <f t="shared" si="88"/>
        <v>160.09117912246691</v>
      </c>
      <c r="AZ162" s="86" t="str">
        <f t="shared" si="89"/>
        <v>128.832668878402-183.394449893702j</v>
      </c>
      <c r="BA162" s="86">
        <f t="shared" si="90"/>
        <v>47.009751167459669</v>
      </c>
      <c r="BB162" s="86">
        <f t="shared" si="91"/>
        <v>125.08763700814326</v>
      </c>
      <c r="BD162" s="86" t="str">
        <f t="shared" si="92"/>
        <v>1.7567034956375-15.7218987220499j</v>
      </c>
      <c r="BE162" s="86">
        <f t="shared" si="93"/>
        <v>23.983985666508332</v>
      </c>
      <c r="BF162" s="86">
        <f t="shared" si="94"/>
        <v>96.375561295179324</v>
      </c>
      <c r="BH162" s="86">
        <f t="shared" si="101"/>
        <v>-22.983985666508332</v>
      </c>
      <c r="BI162" s="157">
        <f t="shared" si="102"/>
        <v>-96.375561295179324</v>
      </c>
      <c r="BJ162" s="88"/>
      <c r="BK162" s="88"/>
      <c r="BL162" s="88"/>
      <c r="BM162" s="88"/>
      <c r="BN162" s="42"/>
      <c r="BO162" s="42"/>
      <c r="BP162" s="42"/>
    </row>
    <row r="163" spans="1:68" s="86" customFormat="1">
      <c r="A163" s="86">
        <v>99</v>
      </c>
      <c r="B163" s="86">
        <f t="shared" si="52"/>
        <v>9549.9258602143655</v>
      </c>
      <c r="C163" s="86" t="str">
        <f t="shared" si="53"/>
        <v>60003.9538495533j</v>
      </c>
      <c r="D163" s="86">
        <f t="shared" si="54"/>
        <v>0.99990879891606443</v>
      </c>
      <c r="E163" s="86" t="str">
        <f t="shared" si="55"/>
        <v>-0.0150009884623883j</v>
      </c>
      <c r="F163" s="86" t="str">
        <f t="shared" si="56"/>
        <v>0.999908798916064-0.0150009884623883j</v>
      </c>
      <c r="G163" s="86">
        <f t="shared" si="57"/>
        <v>1.8516099953788719E-4</v>
      </c>
      <c r="H163" s="86">
        <f t="shared" si="58"/>
        <v>-0.85950724186106919</v>
      </c>
      <c r="J163" s="86">
        <f t="shared" si="59"/>
        <v>4.8</v>
      </c>
      <c r="K163" s="86" t="str">
        <f t="shared" si="60"/>
        <v>1+2.45326165313899j</v>
      </c>
      <c r="L163" s="86">
        <f t="shared" si="61"/>
        <v>0.41117840393667804</v>
      </c>
      <c r="M163" s="86" t="str">
        <f t="shared" si="62"/>
        <v>0.343042604157896j</v>
      </c>
      <c r="N163" s="86" t="str">
        <f t="shared" si="63"/>
        <v>0.411178403936678+0.343042604157896j</v>
      </c>
      <c r="O163" s="86" t="str">
        <f t="shared" si="64"/>
        <v>4.36885631001352+2.32151737110031j</v>
      </c>
      <c r="P163" s="86" t="str">
        <f t="shared" si="65"/>
        <v>20.9705102880649+11.1432833812815j</v>
      </c>
      <c r="R163" s="86">
        <f t="shared" si="66"/>
        <v>11.52</v>
      </c>
      <c r="S163" s="86" t="str">
        <f t="shared" si="67"/>
        <v>1+0.00510033607721203j</v>
      </c>
      <c r="T163" s="86" t="str">
        <f t="shared" si="68"/>
        <v>0.411178403936678+0.343042604157896j</v>
      </c>
      <c r="U163" s="86" t="str">
        <f t="shared" si="69"/>
        <v>1.44004857540127-1.18901594213493j</v>
      </c>
      <c r="V163" s="86" t="str">
        <f t="shared" si="70"/>
        <v>16.5893595886226-13.6974636533944j</v>
      </c>
      <c r="X163" s="86" t="str">
        <f t="shared" si="71"/>
        <v>13.0380634669652+6.67930114368863j</v>
      </c>
      <c r="Y163" s="86">
        <f t="shared" si="72"/>
        <v>23.31638141842614</v>
      </c>
      <c r="Z163" s="86">
        <f t="shared" si="73"/>
        <v>-152.8742803643033</v>
      </c>
      <c r="AB163" s="86" t="str">
        <f t="shared" si="74"/>
        <v>13.8290760158575-11.4183591642167j</v>
      </c>
      <c r="AC163" s="86">
        <f t="shared" si="75"/>
        <v>25.07346112112366</v>
      </c>
      <c r="AD163" s="86">
        <f t="shared" si="76"/>
        <v>140.45427356627727</v>
      </c>
      <c r="AF163" s="86" t="str">
        <f t="shared" si="77"/>
        <v>0.48769714541525-1.04543160813442j</v>
      </c>
      <c r="AG163" s="86">
        <f t="shared" si="78"/>
        <v>1.2410487931471255</v>
      </c>
      <c r="AH163" s="86">
        <f t="shared" si="79"/>
        <v>115.00919994622305</v>
      </c>
      <c r="AJ163" s="86" t="str">
        <f t="shared" si="80"/>
        <v>15.0499998772648-0.00135910454459712j</v>
      </c>
      <c r="AK163" s="86" t="str">
        <f t="shared" si="81"/>
        <v>30.1-5.43641822272337E-11j</v>
      </c>
      <c r="AL163" s="86" t="str">
        <f t="shared" si="95"/>
        <v>10000-370345.965499866j</v>
      </c>
      <c r="AM163" s="86" t="str">
        <f t="shared" si="96"/>
        <v>962.805242554199-114952.88408934j</v>
      </c>
      <c r="AN163" s="86" t="str">
        <f t="shared" si="97"/>
        <v>10962.8052425542-114952.88408934j</v>
      </c>
      <c r="AO163" s="86" t="str">
        <f t="shared" si="98"/>
        <v>30.099253117738-0.00781015289375313j</v>
      </c>
      <c r="AP163" s="86" t="str">
        <f t="shared" si="99"/>
        <v>0.666666667874839+0.0000200679885355873j</v>
      </c>
      <c r="AQ163" s="86" t="str">
        <f t="shared" si="82"/>
        <v>1+3.35254090948224j</v>
      </c>
      <c r="AR163" s="86">
        <f t="shared" si="83"/>
        <v>-1.0116571001131178E-7</v>
      </c>
      <c r="AS163" s="86" t="str">
        <f t="shared" si="84"/>
        <v>0.0000176763967534691j</v>
      </c>
      <c r="AT163" s="86" t="str">
        <f t="shared" si="85"/>
        <v>-1.01165710011312E-07+0.0000176763967534691j</v>
      </c>
      <c r="AU163" s="86" t="str">
        <f t="shared" si="86"/>
        <v>18.9332029909958-5.76562024177076j</v>
      </c>
      <c r="AW163" s="86" t="str">
        <f t="shared" si="100"/>
        <v>12.4411065265946-4.36267214879981j</v>
      </c>
      <c r="AX163" s="86">
        <f t="shared" si="87"/>
        <v>22.400848538035252</v>
      </c>
      <c r="AY163" s="86">
        <f t="shared" si="88"/>
        <v>160.67596993962093</v>
      </c>
      <c r="AZ163" s="86" t="str">
        <f t="shared" si="89"/>
        <v>122.234450366936-202.388747498955j</v>
      </c>
      <c r="BA163" s="86">
        <f t="shared" si="90"/>
        <v>47.474309659158919</v>
      </c>
      <c r="BB163" s="86">
        <f t="shared" si="91"/>
        <v>121.13024350589805</v>
      </c>
      <c r="BD163" s="86" t="str">
        <f t="shared" si="92"/>
        <v>1.50661677854417-15.1339887564217j</v>
      </c>
      <c r="BE163" s="86">
        <f t="shared" si="93"/>
        <v>23.641897331182378</v>
      </c>
      <c r="BF163" s="86">
        <f t="shared" si="94"/>
        <v>95.685169885843891</v>
      </c>
      <c r="BH163" s="86">
        <f t="shared" si="101"/>
        <v>-22.641897331182378</v>
      </c>
      <c r="BI163" s="157">
        <f t="shared" si="102"/>
        <v>-95.685169885843891</v>
      </c>
      <c r="BJ163" s="88"/>
      <c r="BK163" s="88"/>
      <c r="BL163" s="88"/>
      <c r="BM163" s="88"/>
      <c r="BN163" s="42"/>
      <c r="BO163" s="42"/>
      <c r="BP163" s="42"/>
    </row>
    <row r="164" spans="1:68" s="86" customFormat="1">
      <c r="A164" s="86">
        <v>100</v>
      </c>
      <c r="B164" s="86">
        <f t="shared" si="52"/>
        <v>10000</v>
      </c>
      <c r="C164" s="86" t="str">
        <f t="shared" si="53"/>
        <v>62831.8530717959j</v>
      </c>
      <c r="D164" s="86">
        <f t="shared" si="54"/>
        <v>0.99990000000000001</v>
      </c>
      <c r="E164" s="86" t="str">
        <f t="shared" si="55"/>
        <v>-0.015707963267949j</v>
      </c>
      <c r="F164" s="86" t="str">
        <f t="shared" si="56"/>
        <v>0.9999-0.015707963267949j</v>
      </c>
      <c r="G164" s="86">
        <f t="shared" si="57"/>
        <v>2.0302840236935949E-4</v>
      </c>
      <c r="H164" s="86">
        <f t="shared" si="58"/>
        <v>-0.90001597571891312</v>
      </c>
      <c r="J164" s="86">
        <f t="shared" si="59"/>
        <v>4.8</v>
      </c>
      <c r="K164" s="86" t="str">
        <f t="shared" si="60"/>
        <v>1+2.56888031284038j</v>
      </c>
      <c r="L164" s="86">
        <f t="shared" si="61"/>
        <v>0.35436995849833752</v>
      </c>
      <c r="M164" s="86" t="str">
        <f t="shared" si="62"/>
        <v>0.359209704011457j</v>
      </c>
      <c r="N164" s="86" t="str">
        <f t="shared" si="63"/>
        <v>0.354369958498338+0.359209704011457j</v>
      </c>
      <c r="O164" s="86" t="str">
        <f t="shared" si="64"/>
        <v>5.01605712956795+2.16458505476647j</v>
      </c>
      <c r="P164" s="86" t="str">
        <f t="shared" si="65"/>
        <v>24.0770742219262+10.3900082628791j</v>
      </c>
      <c r="R164" s="86">
        <f t="shared" si="66"/>
        <v>11.52</v>
      </c>
      <c r="S164" s="86" t="str">
        <f t="shared" si="67"/>
        <v>1+0.00534070751110265j</v>
      </c>
      <c r="T164" s="86" t="str">
        <f t="shared" si="68"/>
        <v>0.354369958498338+0.359209704011457j</v>
      </c>
      <c r="U164" s="86" t="str">
        <f t="shared" si="69"/>
        <v>1.39935132844505-1.40339172963505j</v>
      </c>
      <c r="V164" s="86" t="str">
        <f t="shared" si="70"/>
        <v>16.120527303687-16.1670727253958j</v>
      </c>
      <c r="X164" s="86" t="str">
        <f t="shared" si="71"/>
        <v>14.9516718599214+6.17536505817404j</v>
      </c>
      <c r="Y164" s="86">
        <f t="shared" si="72"/>
        <v>24.177831856983332</v>
      </c>
      <c r="Z164" s="86">
        <f t="shared" si="73"/>
        <v>-157.55831216811538</v>
      </c>
      <c r="AB164" s="86" t="str">
        <f t="shared" si="74"/>
        <v>13.4382521704627-13.4770529554817j</v>
      </c>
      <c r="AC164" s="86">
        <f t="shared" si="75"/>
        <v>25.589695220126121</v>
      </c>
      <c r="AD164" s="86">
        <f t="shared" si="76"/>
        <v>134.91740314022189</v>
      </c>
      <c r="AF164" s="86" t="str">
        <f t="shared" si="77"/>
        <v>0.448191779997889-1.01837606463411j</v>
      </c>
      <c r="AG164" s="86">
        <f t="shared" si="78"/>
        <v>0.92708605185673032</v>
      </c>
      <c r="AH164" s="86">
        <f t="shared" si="79"/>
        <v>113.7545054352792</v>
      </c>
      <c r="AJ164" s="86" t="str">
        <f t="shared" si="80"/>
        <v>15.0499998654235-0.00142315716731363j</v>
      </c>
      <c r="AK164" s="86" t="str">
        <f t="shared" si="81"/>
        <v>30.1-5.69262872015779E-11j</v>
      </c>
      <c r="AL164" s="86" t="str">
        <f t="shared" si="95"/>
        <v>10000-353677.651315322j</v>
      </c>
      <c r="AM164" s="86" t="str">
        <f t="shared" si="96"/>
        <v>962.773042894666-109780.803350595j</v>
      </c>
      <c r="AN164" s="86" t="str">
        <f t="shared" si="97"/>
        <v>10962.7730428947-109780.803350595j</v>
      </c>
      <c r="AO164" s="86" t="str">
        <f t="shared" si="98"/>
        <v>30.0991818019787-0.00817097007764132j</v>
      </c>
      <c r="AP164" s="86" t="str">
        <f t="shared" si="99"/>
        <v>0.666666667991402+0.0000210137636902235j</v>
      </c>
      <c r="AQ164" s="86" t="str">
        <f t="shared" si="82"/>
        <v>1+3.51054129482738j</v>
      </c>
      <c r="AR164" s="86">
        <f t="shared" si="83"/>
        <v>-1.205738148390662E-7</v>
      </c>
      <c r="AS164" s="86" t="str">
        <f t="shared" si="84"/>
        <v>0.0000185094596672318j</v>
      </c>
      <c r="AT164" s="86" t="str">
        <f t="shared" si="85"/>
        <v>-1.20573814839066E-07+0.0000185094596672318j</v>
      </c>
      <c r="AU164" s="86" t="str">
        <f t="shared" si="86"/>
        <v>18.9302037990023-5.52595746859117j</v>
      </c>
      <c r="AW164" s="86" t="str">
        <f t="shared" si="100"/>
        <v>12.4365318469265-4.22715796533949j</v>
      </c>
      <c r="AX164" s="86">
        <f t="shared" si="87"/>
        <v>22.36880200665486</v>
      </c>
      <c r="AY164" s="86">
        <f t="shared" si="88"/>
        <v>161.2271821386968</v>
      </c>
      <c r="AZ164" s="86" t="str">
        <f t="shared" si="89"/>
        <v>110.155619334921-224.413412986174j</v>
      </c>
      <c r="BA164" s="86">
        <f t="shared" si="90"/>
        <v>47.958497226780928</v>
      </c>
      <c r="BB164" s="86">
        <f t="shared" si="91"/>
        <v>116.14458527891864</v>
      </c>
      <c r="BD164" s="86" t="str">
        <f t="shared" si="92"/>
        <v>1.26911485214522-14.5596438127875j</v>
      </c>
      <c r="BE164" s="86">
        <f t="shared" si="93"/>
        <v>23.295888058511562</v>
      </c>
      <c r="BF164" s="86">
        <f t="shared" si="94"/>
        <v>94.981687573975861</v>
      </c>
      <c r="BH164" s="86">
        <f t="shared" si="101"/>
        <v>-22.295888058511562</v>
      </c>
      <c r="BI164" s="157">
        <f t="shared" si="102"/>
        <v>-94.981687573975861</v>
      </c>
      <c r="BJ164" s="88"/>
      <c r="BK164" s="88"/>
      <c r="BL164" s="88"/>
      <c r="BM164" s="88"/>
      <c r="BN164" s="42"/>
      <c r="BO164" s="42"/>
      <c r="BP164" s="42"/>
    </row>
    <row r="165" spans="1:68" s="86" customFormat="1">
      <c r="A165" s="86">
        <v>101</v>
      </c>
      <c r="B165" s="86">
        <f t="shared" si="52"/>
        <v>10471.285480508997</v>
      </c>
      <c r="C165" s="86" t="str">
        <f t="shared" si="53"/>
        <v>65793.0270784171j</v>
      </c>
      <c r="D165" s="86">
        <f t="shared" si="54"/>
        <v>0.99989035218038569</v>
      </c>
      <c r="E165" s="86" t="str">
        <f t="shared" si="55"/>
        <v>-0.0164482567696043j</v>
      </c>
      <c r="F165" s="86" t="str">
        <f t="shared" si="56"/>
        <v>0.999890352180386-0.0164482567696043j</v>
      </c>
      <c r="G165" s="86">
        <f t="shared" si="57"/>
        <v>2.2262030838326923E-4</v>
      </c>
      <c r="H165" s="86">
        <f t="shared" si="58"/>
        <v>-0.94243403557631211</v>
      </c>
      <c r="J165" s="86">
        <f t="shared" si="59"/>
        <v>4.8</v>
      </c>
      <c r="K165" s="86" t="str">
        <f t="shared" si="60"/>
        <v>1+2.68994791210108j</v>
      </c>
      <c r="L165" s="86">
        <f t="shared" si="61"/>
        <v>0.29208073671840695</v>
      </c>
      <c r="M165" s="86" t="str">
        <f t="shared" si="62"/>
        <v>0.37613873580731j</v>
      </c>
      <c r="N165" s="86" t="str">
        <f t="shared" si="63"/>
        <v>0.292080736718407+0.37613873580731j</v>
      </c>
      <c r="O165" s="86" t="str">
        <f t="shared" si="64"/>
        <v>5.74922037678582+1.8058138089666j</v>
      </c>
      <c r="P165" s="86" t="str">
        <f t="shared" si="65"/>
        <v>27.5962578085719+8.66790628303968j</v>
      </c>
      <c r="R165" s="86">
        <f t="shared" si="66"/>
        <v>11.52</v>
      </c>
      <c r="S165" s="86" t="str">
        <f t="shared" si="67"/>
        <v>1+0.00559240730166545j</v>
      </c>
      <c r="T165" s="86" t="str">
        <f t="shared" si="68"/>
        <v>0.292080736718407+0.37613873580731j</v>
      </c>
      <c r="U165" s="86" t="str">
        <f t="shared" si="69"/>
        <v>1.29715730443359-1.65131979174718j</v>
      </c>
      <c r="V165" s="86" t="str">
        <f t="shared" si="70"/>
        <v>14.943252147075-19.0232040009275j</v>
      </c>
      <c r="X165" s="86" t="str">
        <f t="shared" si="71"/>
        <v>17.1094488801111+5.06640021128514j</v>
      </c>
      <c r="Y165" s="86">
        <f t="shared" si="72"/>
        <v>25.029753124835157</v>
      </c>
      <c r="Z165" s="86">
        <f t="shared" si="73"/>
        <v>-163.50507817933118</v>
      </c>
      <c r="AB165" s="86" t="str">
        <f t="shared" si="74"/>
        <v>12.4568624100325-15.8579559861016j</v>
      </c>
      <c r="AC165" s="86">
        <f t="shared" si="75"/>
        <v>26.092188426886999</v>
      </c>
      <c r="AD165" s="86">
        <f t="shared" si="76"/>
        <v>128.15061317801846</v>
      </c>
      <c r="AF165" s="86" t="str">
        <f t="shared" si="77"/>
        <v>0.410734504901686-0.990582401887403j</v>
      </c>
      <c r="AG165" s="86">
        <f t="shared" si="78"/>
        <v>0.60681347592639423</v>
      </c>
      <c r="AH165" s="86">
        <f t="shared" si="79"/>
        <v>112.520823055002</v>
      </c>
      <c r="AJ165" s="86" t="str">
        <f t="shared" si="80"/>
        <v>15.0499998524398-0.00149022849697173j</v>
      </c>
      <c r="AK165" s="86" t="str">
        <f t="shared" si="81"/>
        <v>30.1-5.96091404633168E-11j</v>
      </c>
      <c r="AL165" s="86" t="str">
        <f t="shared" si="95"/>
        <v>10000-337759.534847608j</v>
      </c>
      <c r="AM165" s="86" t="str">
        <f t="shared" si="96"/>
        <v>962.737739145414-104841.582293095j</v>
      </c>
      <c r="AN165" s="86" t="str">
        <f t="shared" si="97"/>
        <v>10962.7377391454-104841.582293095j</v>
      </c>
      <c r="AO165" s="86" t="str">
        <f t="shared" si="98"/>
        <v>30.0991037542027-0.00854773174941738j</v>
      </c>
      <c r="AP165" s="86" t="str">
        <f t="shared" si="99"/>
        <v>0.66666666811921+0.0000220041118535915j</v>
      </c>
      <c r="AQ165" s="86" t="str">
        <f t="shared" si="82"/>
        <v>1+3.67598800892532j</v>
      </c>
      <c r="AR165" s="86">
        <f t="shared" si="83"/>
        <v>-1.4185437861116039E-7</v>
      </c>
      <c r="AS165" s="86" t="str">
        <f t="shared" si="84"/>
        <v>0.0000193817836265551j</v>
      </c>
      <c r="AT165" s="86" t="str">
        <f t="shared" si="85"/>
        <v>-1.4185437861116E-07+0.0000193817836265551j</v>
      </c>
      <c r="AU165" s="86" t="str">
        <f t="shared" si="86"/>
        <v>18.9274249287175-5.29801281865944j</v>
      </c>
      <c r="AW165" s="86" t="str">
        <f t="shared" si="100"/>
        <v>12.431856663319-4.10058590837366j</v>
      </c>
      <c r="AX165" s="86">
        <f t="shared" si="87"/>
        <v>22.339243171984275</v>
      </c>
      <c r="AY165" s="86">
        <f t="shared" si="88"/>
        <v>161.74511851363812</v>
      </c>
      <c r="AZ165" s="86" t="str">
        <f t="shared" si="89"/>
        <v>89.8350171039926-248.224270253566j</v>
      </c>
      <c r="BA165" s="86">
        <f t="shared" si="90"/>
        <v>48.431431598871299</v>
      </c>
      <c r="BB165" s="86">
        <f t="shared" si="91"/>
        <v>109.89573169165655</v>
      </c>
      <c r="BD165" s="86" t="str">
        <f t="shared" si="92"/>
        <v>1.04422425335463-13.9990305563532j</v>
      </c>
      <c r="BE165" s="86">
        <f t="shared" si="93"/>
        <v>22.946056647910709</v>
      </c>
      <c r="BF165" s="86">
        <f t="shared" si="94"/>
        <v>94.265941568640073</v>
      </c>
      <c r="BH165" s="86">
        <f t="shared" si="101"/>
        <v>-21.946056647910709</v>
      </c>
      <c r="BI165" s="157">
        <f t="shared" si="102"/>
        <v>-94.265941568640073</v>
      </c>
      <c r="BJ165" s="88"/>
      <c r="BK165" s="88"/>
      <c r="BL165" s="88"/>
      <c r="BM165" s="88"/>
      <c r="BN165" s="42"/>
      <c r="BO165" s="42"/>
      <c r="BP165" s="42"/>
    </row>
    <row r="166" spans="1:68" s="86" customFormat="1">
      <c r="A166" s="86">
        <v>102</v>
      </c>
      <c r="B166" s="86">
        <f t="shared" si="52"/>
        <v>10964.781961431861</v>
      </c>
      <c r="C166" s="86" t="str">
        <f t="shared" si="53"/>
        <v>68893.7569164964j</v>
      </c>
      <c r="D166" s="86">
        <f t="shared" si="54"/>
        <v>0.99987977355653823</v>
      </c>
      <c r="E166" s="86" t="str">
        <f t="shared" si="55"/>
        <v>-0.0172234392291241j</v>
      </c>
      <c r="F166" s="86" t="str">
        <f t="shared" si="56"/>
        <v>0.999879773556538-0.0172234392291241j</v>
      </c>
      <c r="G166" s="86">
        <f t="shared" si="57"/>
        <v>2.441032337500302E-4</v>
      </c>
      <c r="H166" s="86">
        <f t="shared" si="58"/>
        <v>-0.98685143602855707</v>
      </c>
      <c r="J166" s="86">
        <f t="shared" si="59"/>
        <v>4.8</v>
      </c>
      <c r="K166" s="86" t="str">
        <f t="shared" si="60"/>
        <v>1+2.81672125153095j</v>
      </c>
      <c r="L166" s="86">
        <f t="shared" si="61"/>
        <v>0.22378196318198829</v>
      </c>
      <c r="M166" s="86" t="str">
        <f t="shared" si="62"/>
        <v>0.39386560829161j</v>
      </c>
      <c r="N166" s="86" t="str">
        <f t="shared" si="63"/>
        <v>0.223781963181988+0.39386560829161j</v>
      </c>
      <c r="O166" s="86" t="str">
        <f t="shared" si="64"/>
        <v>6.4967664272705+1.15231981639127j</v>
      </c>
      <c r="P166" s="86" t="str">
        <f t="shared" si="65"/>
        <v>31.1844788508984+5.5311351186781j</v>
      </c>
      <c r="R166" s="86">
        <f t="shared" si="66"/>
        <v>11.52</v>
      </c>
      <c r="S166" s="86" t="str">
        <f t="shared" si="67"/>
        <v>1+0.00585596933790219j</v>
      </c>
      <c r="T166" s="86" t="str">
        <f t="shared" si="68"/>
        <v>0.223781963181988+0.39386560829161j</v>
      </c>
      <c r="U166" s="86" t="str">
        <f t="shared" si="69"/>
        <v>1.1017499043659-1.91295768811476j</v>
      </c>
      <c r="V166" s="86" t="str">
        <f t="shared" si="70"/>
        <v>12.6921588982952-22.037272567082j</v>
      </c>
      <c r="X166" s="86" t="str">
        <f t="shared" si="71"/>
        <v>19.2932945714486+3.08026921778897j</v>
      </c>
      <c r="Y166" s="86">
        <f t="shared" si="72"/>
        <v>25.81744089019363</v>
      </c>
      <c r="Z166" s="86">
        <f t="shared" si="73"/>
        <v>-170.92900275591484</v>
      </c>
      <c r="AB166" s="86" t="str">
        <f t="shared" si="74"/>
        <v>10.5803258571984-18.3705173116722j</v>
      </c>
      <c r="AC166" s="86">
        <f t="shared" si="75"/>
        <v>26.526516238151942</v>
      </c>
      <c r="AD166" s="86">
        <f t="shared" si="76"/>
        <v>119.93938483187092</v>
      </c>
      <c r="AF166" s="86" t="str">
        <f t="shared" si="77"/>
        <v>0.375317659145456-0.962219154473974j</v>
      </c>
      <c r="AG166" s="86">
        <f t="shared" si="78"/>
        <v>0.2805412087516706</v>
      </c>
      <c r="AH166" s="86">
        <f t="shared" si="79"/>
        <v>111.30848091397614</v>
      </c>
      <c r="AJ166" s="86" t="str">
        <f t="shared" si="80"/>
        <v>15.0499998382035-0.00156046080082198j</v>
      </c>
      <c r="AK166" s="86" t="str">
        <f t="shared" si="81"/>
        <v>30.1-6.24184327039148E-11j</v>
      </c>
      <c r="AL166" s="86" t="str">
        <f t="shared" si="95"/>
        <v>10000-322557.851637514j</v>
      </c>
      <c r="AM166" s="86" t="str">
        <f t="shared" si="96"/>
        <v>962.699032329839-100124.744148817j</v>
      </c>
      <c r="AN166" s="86" t="str">
        <f t="shared" si="97"/>
        <v>10962.6990323298-100124.744148817j</v>
      </c>
      <c r="AO166" s="86" t="str">
        <f t="shared" si="98"/>
        <v>30.0990183543989-0.00894103631470938j</v>
      </c>
      <c r="AP166" s="86" t="str">
        <f t="shared" si="99"/>
        <v>0.666666668259348+0.0000230411336867139j</v>
      </c>
      <c r="AQ166" s="86" t="str">
        <f t="shared" si="82"/>
        <v>1+3.84923198643849j</v>
      </c>
      <c r="AR166" s="86">
        <f t="shared" si="83"/>
        <v>-1.651880527888954E-7</v>
      </c>
      <c r="AS166" s="86" t="str">
        <f t="shared" si="84"/>
        <v>0.0000202952189475113j</v>
      </c>
      <c r="AT166" s="86" t="str">
        <f t="shared" si="85"/>
        <v>-1.65188052788895E-07+0.0000202952189475113j</v>
      </c>
      <c r="AU166" s="86" t="str">
        <f t="shared" si="86"/>
        <v>18.9248427957733-5.08130304962369j</v>
      </c>
      <c r="AW166" s="86" t="str">
        <f t="shared" si="100"/>
        <v>12.4270415776072-3.98268440930321j</v>
      </c>
      <c r="AX166" s="86">
        <f t="shared" si="87"/>
        <v>22.311971469849567</v>
      </c>
      <c r="AY166" s="86">
        <f t="shared" si="88"/>
        <v>162.23010801259525</v>
      </c>
      <c r="AZ166" s="86" t="str">
        <f t="shared" si="89"/>
        <v>58.3181764440054-270.429281271115j</v>
      </c>
      <c r="BA166" s="86">
        <f t="shared" si="90"/>
        <v>48.838487708001502</v>
      </c>
      <c r="BB166" s="86">
        <f t="shared" si="91"/>
        <v>102.16949284446618</v>
      </c>
      <c r="BD166" s="86" t="str">
        <f t="shared" si="92"/>
        <v>0.831872930154377-13.4523092290329j</v>
      </c>
      <c r="BE166" s="86">
        <f t="shared" si="93"/>
        <v>22.592512678601238</v>
      </c>
      <c r="BF166" s="86">
        <f t="shared" si="94"/>
        <v>93.538588926571407</v>
      </c>
      <c r="BH166" s="86">
        <f t="shared" si="101"/>
        <v>-21.592512678601238</v>
      </c>
      <c r="BI166" s="157">
        <f t="shared" si="102"/>
        <v>-93.538588926571407</v>
      </c>
      <c r="BJ166" s="88"/>
      <c r="BK166" s="88"/>
      <c r="BL166" s="88"/>
      <c r="BM166" s="88"/>
      <c r="BN166" s="42"/>
      <c r="BO166" s="42"/>
      <c r="BP166" s="42"/>
    </row>
    <row r="167" spans="1:68" s="86" customFormat="1">
      <c r="A167" s="86">
        <v>103</v>
      </c>
      <c r="B167" s="86">
        <f t="shared" si="52"/>
        <v>11481.536214968835</v>
      </c>
      <c r="C167" s="86" t="str">
        <f t="shared" si="53"/>
        <v>72140.6196497425j</v>
      </c>
      <c r="D167" s="86">
        <f t="shared" si="54"/>
        <v>0.99986817432614439</v>
      </c>
      <c r="E167" s="86" t="str">
        <f t="shared" si="55"/>
        <v>-0.0180351549124356j</v>
      </c>
      <c r="F167" s="86" t="str">
        <f t="shared" si="56"/>
        <v>0.999868174326144-0.0180351549124356j</v>
      </c>
      <c r="G167" s="86">
        <f t="shared" si="57"/>
        <v>2.6765978800834326E-4</v>
      </c>
      <c r="H167" s="86">
        <f t="shared" si="58"/>
        <v>-1.0333624384933553</v>
      </c>
      <c r="J167" s="86">
        <f t="shared" si="59"/>
        <v>4.8</v>
      </c>
      <c r="K167" s="86" t="str">
        <f t="shared" si="60"/>
        <v>1+2.94946923437972j</v>
      </c>
      <c r="L167" s="86">
        <f t="shared" si="61"/>
        <v>0.14889384717598175</v>
      </c>
      <c r="M167" s="86" t="str">
        <f t="shared" si="62"/>
        <v>0.412427922537578j</v>
      </c>
      <c r="N167" s="86" t="str">
        <f t="shared" si="63"/>
        <v>0.148893847175982+0.412427922537578j</v>
      </c>
      <c r="O167" s="86" t="str">
        <f t="shared" si="64"/>
        <v>7.1012873616338+0.139025492801378j</v>
      </c>
      <c r="P167" s="86" t="str">
        <f t="shared" si="65"/>
        <v>34.0861793358422+0.667322365446614j</v>
      </c>
      <c r="R167" s="86">
        <f t="shared" si="66"/>
        <v>11.52</v>
      </c>
      <c r="S167" s="86" t="str">
        <f t="shared" si="67"/>
        <v>1+0.00613195267022811j</v>
      </c>
      <c r="T167" s="86" t="str">
        <f t="shared" si="68"/>
        <v>0.148893847175982+0.412427922537578j</v>
      </c>
      <c r="U167" s="86" t="str">
        <f t="shared" si="69"/>
        <v>0.7875687982561-2.14033968961317j</v>
      </c>
      <c r="V167" s="86" t="str">
        <f t="shared" si="70"/>
        <v>9.07279255591027-24.6567132243437j</v>
      </c>
      <c r="X167" s="86" t="str">
        <f t="shared" si="71"/>
        <v>21.0314718754121+0.0323764623149713j</v>
      </c>
      <c r="Y167" s="86">
        <f t="shared" si="72"/>
        <v>26.457403644050231</v>
      </c>
      <c r="Z167" s="86">
        <f t="shared" si="73"/>
        <v>-179.91179727259112</v>
      </c>
      <c r="AB167" s="86" t="str">
        <f t="shared" si="74"/>
        <v>7.56318152376648-20.5541123910834j</v>
      </c>
      <c r="AC167" s="86">
        <f t="shared" si="75"/>
        <v>26.809455006419739</v>
      </c>
      <c r="AD167" s="86">
        <f t="shared" si="76"/>
        <v>110.2018184305164</v>
      </c>
      <c r="AF167" s="86" t="str">
        <f t="shared" si="77"/>
        <v>0.341918138612082-0.933445691105389j</v>
      </c>
      <c r="AG167" s="86">
        <f t="shared" si="78"/>
        <v>-5.1424620628889271E-2</v>
      </c>
      <c r="AH167" s="86">
        <f t="shared" si="79"/>
        <v>110.11761918494028</v>
      </c>
      <c r="AJ167" s="86" t="str">
        <f t="shared" si="80"/>
        <v>15.0499998225936-0.00163400305096027j</v>
      </c>
      <c r="AK167" s="86" t="str">
        <f t="shared" si="81"/>
        <v>30.1-6.53601228088632E-11j</v>
      </c>
      <c r="AL167" s="86" t="str">
        <f t="shared" si="95"/>
        <v>10000-308040.356876829j</v>
      </c>
      <c r="AM167" s="86" t="str">
        <f t="shared" si="96"/>
        <v>962.656594727669-95620.2838510599j</v>
      </c>
      <c r="AN167" s="86" t="str">
        <f t="shared" si="97"/>
        <v>10962.6565947277-95620.2838510599j</v>
      </c>
      <c r="AO167" s="86" t="str">
        <f t="shared" si="98"/>
        <v>30.0989249285339-0.0093514887353138j</v>
      </c>
      <c r="AP167" s="86" t="str">
        <f t="shared" si="99"/>
        <v>0.666666668413008+0.0000241270288516933j</v>
      </c>
      <c r="AQ167" s="86" t="str">
        <f t="shared" si="82"/>
        <v>1+4.03064070107041j</v>
      </c>
      <c r="AR167" s="86">
        <f t="shared" si="83"/>
        <v>-1.9077291776069191E-7</v>
      </c>
      <c r="AS167" s="86" t="str">
        <f t="shared" si="84"/>
        <v>0.0000212517031488826j</v>
      </c>
      <c r="AT167" s="86" t="str">
        <f t="shared" si="85"/>
        <v>-1.90772917760692E-07+0.0000212517031488826j</v>
      </c>
      <c r="AU167" s="86" t="str">
        <f t="shared" si="86"/>
        <v>18.922435485706-4.87536869411779j</v>
      </c>
      <c r="AW167" s="86" t="str">
        <f t="shared" si="100"/>
        <v>12.4220460614421-3.87319977350212j</v>
      </c>
      <c r="AX167" s="86">
        <f t="shared" si="87"/>
        <v>22.286798005207636</v>
      </c>
      <c r="AY167" s="86">
        <f t="shared" si="88"/>
        <v>162.68249701491905</v>
      </c>
      <c r="AZ167" s="86" t="str">
        <f t="shared" si="89"/>
        <v>14.3400058015935-284.617843838904j</v>
      </c>
      <c r="BA167" s="86">
        <f t="shared" si="90"/>
        <v>49.096253011627383</v>
      </c>
      <c r="BB167" s="86">
        <f t="shared" si="91"/>
        <v>92.884315445435405</v>
      </c>
      <c r="BD167" s="86" t="str">
        <f t="shared" si="92"/>
        <v>0.631901227715893-12.9196226277944j</v>
      </c>
      <c r="BE167" s="86">
        <f t="shared" si="93"/>
        <v>22.235373384578757</v>
      </c>
      <c r="BF167" s="86">
        <f t="shared" si="94"/>
        <v>92.800116199859275</v>
      </c>
      <c r="BH167" s="86">
        <f t="shared" si="101"/>
        <v>-21.235373384578757</v>
      </c>
      <c r="BI167" s="157">
        <f t="shared" si="102"/>
        <v>-92.800116199859275</v>
      </c>
      <c r="BJ167" s="88"/>
      <c r="BK167" s="88"/>
      <c r="BL167" s="88"/>
      <c r="BM167" s="88"/>
      <c r="BN167" s="42"/>
      <c r="BO167" s="42"/>
      <c r="BP167" s="42"/>
    </row>
    <row r="168" spans="1:68" s="86" customFormat="1">
      <c r="A168" s="86">
        <v>104</v>
      </c>
      <c r="B168" s="86">
        <f t="shared" si="52"/>
        <v>12022.644346174135</v>
      </c>
      <c r="C168" s="86" t="str">
        <f t="shared" si="53"/>
        <v>75540.502309327j</v>
      </c>
      <c r="D168" s="86">
        <f t="shared" si="54"/>
        <v>0.99985545602292536</v>
      </c>
      <c r="E168" s="86" t="str">
        <f t="shared" si="55"/>
        <v>-0.0188851255773318j</v>
      </c>
      <c r="F168" s="86" t="str">
        <f t="shared" si="56"/>
        <v>0.999855456022925-0.0188851255773318j</v>
      </c>
      <c r="G168" s="86">
        <f t="shared" si="57"/>
        <v>2.9349023235574005E-4</v>
      </c>
      <c r="H168" s="86">
        <f t="shared" si="58"/>
        <v>-1.082065752033039</v>
      </c>
      <c r="J168" s="86">
        <f t="shared" si="59"/>
        <v>4.8</v>
      </c>
      <c r="K168" s="86" t="str">
        <f t="shared" si="60"/>
        <v>1+3.08847343691683j</v>
      </c>
      <c r="L168" s="86">
        <f t="shared" si="61"/>
        <v>6.678066082515477E-2</v>
      </c>
      <c r="M168" s="86" t="str">
        <f t="shared" si="62"/>
        <v>0.431865051702422j</v>
      </c>
      <c r="N168" s="86" t="str">
        <f t="shared" si="63"/>
        <v>0.0667806608251548+0.431865051702422j</v>
      </c>
      <c r="O168" s="86" t="str">
        <f t="shared" si="64"/>
        <v>7.33416673019521-1.18143271177976j</v>
      </c>
      <c r="P168" s="86" t="str">
        <f t="shared" si="65"/>
        <v>35.204000304937-5.67087701654285j</v>
      </c>
      <c r="R168" s="86">
        <f t="shared" si="66"/>
        <v>11.52</v>
      </c>
      <c r="S168" s="86" t="str">
        <f t="shared" si="67"/>
        <v>1+0.0064209426962928j</v>
      </c>
      <c r="T168" s="86" t="str">
        <f t="shared" si="68"/>
        <v>0.0667806608251548+0.431865051702422j</v>
      </c>
      <c r="U168" s="86" t="str">
        <f t="shared" si="69"/>
        <v>0.364217967523061-2.25921796542293j</v>
      </c>
      <c r="V168" s="86" t="str">
        <f t="shared" si="70"/>
        <v>4.19579098586566-26.0261909616722j</v>
      </c>
      <c r="X168" s="86" t="str">
        <f t="shared" si="71"/>
        <v>21.6471692648036-3.90781766929503j</v>
      </c>
      <c r="Y168" s="86">
        <f t="shared" si="72"/>
        <v>26.847295727370444</v>
      </c>
      <c r="Z168" s="86">
        <f t="shared" si="73"/>
        <v>169.76698896045508</v>
      </c>
      <c r="AB168" s="86" t="str">
        <f t="shared" si="74"/>
        <v>3.49765837434617-21.6957243761856j</v>
      </c>
      <c r="AC168" s="86">
        <f t="shared" si="75"/>
        <v>26.838914424562862</v>
      </c>
      <c r="AD168" s="86">
        <f t="shared" si="76"/>
        <v>99.158094856981265</v>
      </c>
      <c r="AF168" s="86" t="str">
        <f t="shared" si="77"/>
        <v>0.310499367816076-0.90441102024j</v>
      </c>
      <c r="AG168" s="86">
        <f t="shared" si="78"/>
        <v>-0.38878434625065317</v>
      </c>
      <c r="AH168" s="86">
        <f t="shared" si="79"/>
        <v>108.94819993596795</v>
      </c>
      <c r="AJ168" s="86" t="str">
        <f t="shared" si="80"/>
        <v>15.0499998054778-0.0017110112403169j</v>
      </c>
      <c r="AK168" s="86" t="str">
        <f t="shared" si="81"/>
        <v>30.1-6.84404504972733E-11j</v>
      </c>
      <c r="AL168" s="86" t="str">
        <f t="shared" si="95"/>
        <v>10000-294176.257012769j</v>
      </c>
      <c r="AM168" s="86" t="str">
        <f t="shared" si="96"/>
        <v>962.610067122313-91318.6468119624j</v>
      </c>
      <c r="AN168" s="86" t="str">
        <f t="shared" si="97"/>
        <v>10962.6100671223-91318.6468119624j</v>
      </c>
      <c r="AO168" s="86" t="str">
        <f t="shared" si="98"/>
        <v>30.0988227444619-0.00977969788891346j</v>
      </c>
      <c r="AP168" s="86" t="str">
        <f t="shared" si="99"/>
        <v>0.666666668581491+0.0000252641006774861j</v>
      </c>
      <c r="AQ168" s="86" t="str">
        <f t="shared" si="82"/>
        <v>1+4.22059894502672j</v>
      </c>
      <c r="AR168" s="86">
        <f t="shared" si="83"/>
        <v>-2.1882616435353399E-7</v>
      </c>
      <c r="AS168" s="86" t="str">
        <f t="shared" si="84"/>
        <v>0.0000222532650618982j</v>
      </c>
      <c r="AT168" s="86" t="str">
        <f t="shared" si="85"/>
        <v>-2.18826164353534E-07+0.0000222532650618982j</v>
      </c>
      <c r="AU168" s="86" t="str">
        <f t="shared" si="86"/>
        <v>18.9201825681051-4.67977308905356j</v>
      </c>
      <c r="AW168" s="86" t="str">
        <f t="shared" si="100"/>
        <v>12.4168281239347-3.77189557450619j</v>
      </c>
      <c r="AX168" s="86">
        <f t="shared" si="87"/>
        <v>22.263545094698046</v>
      </c>
      <c r="AY168" s="86">
        <f t="shared" si="88"/>
        <v>163.10264136220212</v>
      </c>
      <c r="AZ168" s="86" t="str">
        <f t="shared" si="89"/>
        <v>-38.4041838897432-282.584882746687j</v>
      </c>
      <c r="BA168" s="86">
        <f t="shared" si="90"/>
        <v>49.102459519260876</v>
      </c>
      <c r="BB168" s="86">
        <f t="shared" si="91"/>
        <v>82.260736219183386</v>
      </c>
      <c r="BD168" s="86" t="str">
        <f t="shared" si="92"/>
        <v>0.444073357984712-12.4010873830649j</v>
      </c>
      <c r="BE168" s="86">
        <f t="shared" si="93"/>
        <v>21.874760748447372</v>
      </c>
      <c r="BF168" s="86">
        <f t="shared" si="94"/>
        <v>92.050841298170056</v>
      </c>
      <c r="BH168" s="86">
        <f t="shared" si="101"/>
        <v>-20.874760748447372</v>
      </c>
      <c r="BI168" s="157">
        <f t="shared" si="102"/>
        <v>-92.050841298170056</v>
      </c>
      <c r="BJ168" s="88"/>
      <c r="BK168" s="88"/>
      <c r="BL168" s="88"/>
      <c r="BM168" s="88"/>
      <c r="BN168" s="42"/>
      <c r="BO168" s="42"/>
      <c r="BP168" s="42"/>
    </row>
    <row r="169" spans="1:68" s="86" customFormat="1">
      <c r="A169" s="86">
        <v>105</v>
      </c>
      <c r="B169" s="86">
        <f t="shared" si="52"/>
        <v>12589.254117941677</v>
      </c>
      <c r="C169" s="86" t="str">
        <f t="shared" si="53"/>
        <v>79100.6165022012j</v>
      </c>
      <c r="D169" s="86">
        <f t="shared" si="54"/>
        <v>0.99984151068075389</v>
      </c>
      <c r="E169" s="86" t="str">
        <f t="shared" si="55"/>
        <v>-0.0197751541255503j</v>
      </c>
      <c r="F169" s="86" t="str">
        <f t="shared" si="56"/>
        <v>0.999841510680754-0.0197751541255503j</v>
      </c>
      <c r="G169" s="86">
        <f t="shared" si="57"/>
        <v>3.2181418954023384E-4</v>
      </c>
      <c r="H169" s="86">
        <f t="shared" si="58"/>
        <v>-1.1330647437411159</v>
      </c>
      <c r="J169" s="86">
        <f t="shared" si="59"/>
        <v>4.8</v>
      </c>
      <c r="K169" s="86" t="str">
        <f t="shared" si="60"/>
        <v>1+3.2340287056925j</v>
      </c>
      <c r="L169" s="86">
        <f t="shared" si="61"/>
        <v>-2.3254657624369734E-2</v>
      </c>
      <c r="M169" s="86" t="str">
        <f t="shared" si="62"/>
        <v>0.452218224543084j</v>
      </c>
      <c r="N169" s="86" t="str">
        <f t="shared" si="63"/>
        <v>-0.0232546576243697+0.452218224543084j</v>
      </c>
      <c r="O169" s="86" t="str">
        <f t="shared" si="64"/>
        <v>7.01920264073349-2.57227394004663j</v>
      </c>
      <c r="P169" s="86" t="str">
        <f t="shared" si="65"/>
        <v>33.6921726755208-12.3469149122238j</v>
      </c>
      <c r="R169" s="86">
        <f t="shared" si="66"/>
        <v>11.52</v>
      </c>
      <c r="S169" s="86" t="str">
        <f t="shared" si="67"/>
        <v>1+0.0067235524026871j</v>
      </c>
      <c r="T169" s="86" t="str">
        <f t="shared" si="68"/>
        <v>-0.0232546576243697+0.452218224543084j</v>
      </c>
      <c r="U169" s="86" t="str">
        <f t="shared" si="69"/>
        <v>-0.098585336989871-2.20625215348096j</v>
      </c>
      <c r="V169" s="86" t="str">
        <f t="shared" si="70"/>
        <v>-1.13570308212331-25.4160248081007j</v>
      </c>
      <c r="X169" s="86" t="str">
        <f t="shared" si="71"/>
        <v>20.6298568720219-8.02626476702239j</v>
      </c>
      <c r="Y169" s="86">
        <f t="shared" si="72"/>
        <v>26.902066453722398</v>
      </c>
      <c r="Z169" s="86">
        <f t="shared" si="73"/>
        <v>158.740948438256</v>
      </c>
      <c r="AB169" s="86" t="str">
        <f t="shared" si="74"/>
        <v>-0.946734813373883-21.1870830344287j</v>
      </c>
      <c r="AC169" s="86">
        <f t="shared" si="75"/>
        <v>26.530086315621691</v>
      </c>
      <c r="AD169" s="86">
        <f t="shared" si="76"/>
        <v>87.441467088161929</v>
      </c>
      <c r="AF169" s="86" t="str">
        <f t="shared" si="77"/>
        <v>0.281013283247208-0.875252949293634j</v>
      </c>
      <c r="AG169" s="86">
        <f t="shared" si="78"/>
        <v>-0.73124690997015485</v>
      </c>
      <c r="AH169" s="86">
        <f t="shared" si="79"/>
        <v>107.80001804256325</v>
      </c>
      <c r="AJ169" s="86" t="str">
        <f t="shared" si="80"/>
        <v>15.0499997867106-0.00179164871353765j</v>
      </c>
      <c r="AK169" s="86" t="str">
        <f t="shared" si="81"/>
        <v>30.1-7.16659495571594E-11j</v>
      </c>
      <c r="AL169" s="86" t="str">
        <f t="shared" si="95"/>
        <v>10000-280936.144430731j</v>
      </c>
      <c r="AM169" s="86" t="str">
        <f t="shared" si="96"/>
        <v>962.559055786656-87210.7086554885j</v>
      </c>
      <c r="AN169" s="86" t="str">
        <f t="shared" si="97"/>
        <v>10962.5590557867-87210.7086554885j</v>
      </c>
      <c r="AO169" s="86" t="str">
        <f t="shared" si="98"/>
        <v>30.0987110076482-0.0102262734307529j</v>
      </c>
      <c r="AP169" s="86" t="str">
        <f t="shared" si="99"/>
        <v>0.66666666876623+0.0000264547610455663j</v>
      </c>
      <c r="AQ169" s="86" t="str">
        <f t="shared" si="82"/>
        <v>1+4.41950964521098j</v>
      </c>
      <c r="AR169" s="86">
        <f t="shared" si="83"/>
        <v>-2.4958593757361366E-7</v>
      </c>
      <c r="AS169" s="86" t="str">
        <f t="shared" si="84"/>
        <v>0.0000233020291336572j</v>
      </c>
      <c r="AT169" s="86" t="str">
        <f t="shared" si="85"/>
        <v>-2.49585937573614E-07+0.0000233020291336572j</v>
      </c>
      <c r="AU169" s="86" t="str">
        <f t="shared" si="86"/>
        <v>18.918064923361-4.49410145229441j</v>
      </c>
      <c r="AW169" s="86" t="str">
        <f t="shared" si="100"/>
        <v>12.4113439692005-3.6785520739833j</v>
      </c>
      <c r="AX169" s="86">
        <f t="shared" si="87"/>
        <v>22.242045747022992</v>
      </c>
      <c r="AY169" s="86">
        <f t="shared" si="88"/>
        <v>163.49089912186591</v>
      </c>
      <c r="AZ169" s="86" t="str">
        <f t="shared" si="89"/>
        <v>-89.6880396543543-259.477561933058j</v>
      </c>
      <c r="BA169" s="86">
        <f t="shared" si="90"/>
        <v>48.77213206264468</v>
      </c>
      <c r="BB169" s="86">
        <f t="shared" si="91"/>
        <v>70.932366210027794</v>
      </c>
      <c r="BD169" s="86" t="str">
        <f t="shared" si="92"/>
        <v>0.268088966411355-11.8967874096464j</v>
      </c>
      <c r="BE169" s="86">
        <f t="shared" si="93"/>
        <v>21.510798837052857</v>
      </c>
      <c r="BF169" s="86">
        <f t="shared" si="94"/>
        <v>91.290917164429075</v>
      </c>
      <c r="BH169" s="86">
        <f t="shared" si="101"/>
        <v>-20.510798837052857</v>
      </c>
      <c r="BI169" s="157">
        <f t="shared" si="102"/>
        <v>-91.290917164429075</v>
      </c>
      <c r="BJ169" s="88"/>
      <c r="BK169" s="88"/>
      <c r="BL169" s="88"/>
      <c r="BM169" s="88"/>
      <c r="BN169" s="42"/>
      <c r="BO169" s="42"/>
      <c r="BP169" s="42"/>
    </row>
    <row r="170" spans="1:68" s="86" customFormat="1">
      <c r="A170" s="86">
        <v>106</v>
      </c>
      <c r="B170" s="86">
        <f t="shared" si="52"/>
        <v>13182.567385564085</v>
      </c>
      <c r="C170" s="86" t="str">
        <f t="shared" si="53"/>
        <v>82828.5137078811j</v>
      </c>
      <c r="D170" s="86">
        <f t="shared" si="54"/>
        <v>0.99982621991712506</v>
      </c>
      <c r="E170" s="86" t="str">
        <f t="shared" si="55"/>
        <v>-0.0207071284269703j</v>
      </c>
      <c r="F170" s="86" t="str">
        <f t="shared" si="56"/>
        <v>0.999826219917125-0.0207071284269703j</v>
      </c>
      <c r="G170" s="86">
        <f t="shared" si="57"/>
        <v>3.5287252002380668E-4</v>
      </c>
      <c r="H170" s="86">
        <f t="shared" si="58"/>
        <v>-1.1864676591587577</v>
      </c>
      <c r="J170" s="86">
        <f t="shared" si="59"/>
        <v>4.8</v>
      </c>
      <c r="K170" s="86" t="str">
        <f t="shared" si="60"/>
        <v>1+3.38644378294672j</v>
      </c>
      <c r="L170" s="86">
        <f t="shared" si="61"/>
        <v>-0.12197642118708441</v>
      </c>
      <c r="M170" s="86" t="str">
        <f t="shared" si="62"/>
        <v>0.473530612867956j</v>
      </c>
      <c r="N170" s="86" t="str">
        <f t="shared" si="63"/>
        <v>-0.121976421187084+0.473530612867956j</v>
      </c>
      <c r="O170" s="86" t="str">
        <f t="shared" si="64"/>
        <v>6.19635961403133-3.70791184855736j</v>
      </c>
      <c r="P170" s="86" t="str">
        <f t="shared" si="65"/>
        <v>29.7425261473504-17.7979768730753j</v>
      </c>
      <c r="R170" s="86">
        <f t="shared" si="66"/>
        <v>11.52</v>
      </c>
      <c r="S170" s="86" t="str">
        <f t="shared" si="67"/>
        <v>1+0.00704042366516989j</v>
      </c>
      <c r="T170" s="86" t="str">
        <f t="shared" si="68"/>
        <v>-0.121976421187084+0.473530612867956j</v>
      </c>
      <c r="U170" s="86" t="str">
        <f t="shared" si="69"/>
        <v>-0.496185097984005-1.98398391143409j</v>
      </c>
      <c r="V170" s="86" t="str">
        <f t="shared" si="70"/>
        <v>-5.71605232877574-22.8554946597207j</v>
      </c>
      <c r="X170" s="86" t="str">
        <f t="shared" si="71"/>
        <v>18.1168066413155-11.3570915500273j</v>
      </c>
      <c r="Y170" s="86">
        <f t="shared" si="72"/>
        <v>26.60108322284794</v>
      </c>
      <c r="Z170" s="86">
        <f t="shared" si="73"/>
        <v>147.91716036589574</v>
      </c>
      <c r="AB170" s="86" t="str">
        <f t="shared" si="74"/>
        <v>-4.76496526240058-19.052596415239j</v>
      </c>
      <c r="AC170" s="86">
        <f t="shared" si="75"/>
        <v>25.862567596989091</v>
      </c>
      <c r="AD170" s="86">
        <f t="shared" si="76"/>
        <v>75.958616290223873</v>
      </c>
      <c r="AF170" s="86" t="str">
        <f t="shared" si="77"/>
        <v>0.253402273736217-0.846097567282747j</v>
      </c>
      <c r="AG170" s="86">
        <f t="shared" si="78"/>
        <v>-1.0785317058283548</v>
      </c>
      <c r="AH170" s="86">
        <f t="shared" si="79"/>
        <v>106.67271282911204</v>
      </c>
      <c r="AJ170" s="86" t="str">
        <f t="shared" si="80"/>
        <v>15.0499997661328-0.00187608651345877j</v>
      </c>
      <c r="AK170" s="86" t="str">
        <f t="shared" si="81"/>
        <v>30.1-7.50434617044773E-11j</v>
      </c>
      <c r="AL170" s="86" t="str">
        <f t="shared" si="95"/>
        <v>10000-268291.935076795j</v>
      </c>
      <c r="AM170" s="86" t="str">
        <f t="shared" si="96"/>
        <v>962.503129183017-83287.7558628901j</v>
      </c>
      <c r="AN170" s="86" t="str">
        <f t="shared" si="97"/>
        <v>10962.503129183-83287.7558628901j</v>
      </c>
      <c r="AO170" s="86" t="str">
        <f t="shared" si="98"/>
        <v>30.0985888567296-0.0106918220943056j</v>
      </c>
      <c r="AP170" s="86" t="str">
        <f t="shared" si="99"/>
        <v>0.666666668968793+0.0000277015355058433j</v>
      </c>
      <c r="AQ170" s="86" t="str">
        <f t="shared" si="82"/>
        <v>1+4.62779471788673j</v>
      </c>
      <c r="AR170" s="86">
        <f t="shared" si="83"/>
        <v>-2.8331335822774113E-7</v>
      </c>
      <c r="AS170" s="86" t="str">
        <f t="shared" si="84"/>
        <v>0.0000244002199333663j</v>
      </c>
      <c r="AT170" s="86" t="str">
        <f t="shared" si="85"/>
        <v>-2.83313358227741E-07+0.0000244002199333663j</v>
      </c>
      <c r="AU170" s="86" t="str">
        <f t="shared" si="86"/>
        <v>18.9160645805434-4.31796000480685j</v>
      </c>
      <c r="AW170" s="86" t="str">
        <f t="shared" si="100"/>
        <v>12.4055476413595-3.5929656648395j</v>
      </c>
      <c r="AX170" s="86">
        <f t="shared" si="87"/>
        <v>22.222143095908823</v>
      </c>
      <c r="AY170" s="86">
        <f t="shared" si="88"/>
        <v>163.84762405186723</v>
      </c>
      <c r="AZ170" s="86" t="str">
        <f t="shared" si="89"/>
        <v>-127.567328318131-219.237535938884j</v>
      </c>
      <c r="BA170" s="86">
        <f t="shared" si="90"/>
        <v>48.0847106928979</v>
      </c>
      <c r="BB170" s="86">
        <f t="shared" si="91"/>
        <v>59.806240342091115</v>
      </c>
      <c r="BD170" s="86" t="str">
        <f t="shared" si="92"/>
        <v>0.103594470912326-11.406769349091j</v>
      </c>
      <c r="BE170" s="86">
        <f t="shared" si="93"/>
        <v>21.143611390080487</v>
      </c>
      <c r="BF170" s="86">
        <f t="shared" si="94"/>
        <v>90.520336880979301</v>
      </c>
      <c r="BH170" s="86">
        <f t="shared" si="101"/>
        <v>-20.143611390080487</v>
      </c>
      <c r="BI170" s="157">
        <f t="shared" si="102"/>
        <v>-90.520336880979301</v>
      </c>
      <c r="BJ170" s="88"/>
      <c r="BK170" s="88"/>
      <c r="BL170" s="88"/>
      <c r="BM170" s="88"/>
      <c r="BN170" s="42"/>
      <c r="BO170" s="42"/>
      <c r="BP170" s="42"/>
    </row>
    <row r="171" spans="1:68" s="86" customFormat="1">
      <c r="A171" s="86">
        <v>107</v>
      </c>
      <c r="B171" s="86">
        <f t="shared" si="52"/>
        <v>13803.842646028861</v>
      </c>
      <c r="C171" s="86" t="str">
        <f t="shared" si="53"/>
        <v>86732.1012961475j</v>
      </c>
      <c r="D171" s="86">
        <f t="shared" si="54"/>
        <v>0.99980945392820364</v>
      </c>
      <c r="E171" s="86" t="str">
        <f t="shared" si="55"/>
        <v>-0.0216830253240369j</v>
      </c>
      <c r="F171" s="86" t="str">
        <f t="shared" si="56"/>
        <v>0.999809453928204-0.0216830253240369j</v>
      </c>
      <c r="G171" s="86">
        <f t="shared" si="57"/>
        <v>3.8692938088614461E-4</v>
      </c>
      <c r="H171" s="86">
        <f t="shared" si="58"/>
        <v>-1.2423878532106896</v>
      </c>
      <c r="J171" s="86">
        <f t="shared" si="59"/>
        <v>4.8</v>
      </c>
      <c r="K171" s="86" t="str">
        <f t="shared" si="60"/>
        <v>1+3.54604196149299j</v>
      </c>
      <c r="L171" s="86">
        <f t="shared" si="61"/>
        <v>-0.23022268241839816</v>
      </c>
      <c r="M171" s="86" t="str">
        <f t="shared" si="62"/>
        <v>0.495847423110075j</v>
      </c>
      <c r="N171" s="86" t="str">
        <f t="shared" si="63"/>
        <v>-0.230222682418398+0.495847423110075j</v>
      </c>
      <c r="O171" s="86" t="str">
        <f t="shared" si="64"/>
        <v>5.112884048471-4.39066894182473j</v>
      </c>
      <c r="P171" s="86" t="str">
        <f t="shared" si="65"/>
        <v>24.5418434326608-21.0752109207587j</v>
      </c>
      <c r="R171" s="86">
        <f t="shared" si="66"/>
        <v>11.52</v>
      </c>
      <c r="S171" s="86" t="str">
        <f t="shared" si="67"/>
        <v>1+0.00737222861017254j</v>
      </c>
      <c r="T171" s="86" t="str">
        <f t="shared" si="68"/>
        <v>-0.230222682418398+0.495847423110075j</v>
      </c>
      <c r="U171" s="86" t="str">
        <f t="shared" si="69"/>
        <v>-0.758086599603754-1.66476869912165j</v>
      </c>
      <c r="V171" s="86" t="str">
        <f t="shared" si="70"/>
        <v>-8.73315762743525-19.1781354138814j</v>
      </c>
      <c r="X171" s="86" t="str">
        <f t="shared" si="71"/>
        <v>14.8544036629167-13.3264996963307j</v>
      </c>
      <c r="Y171" s="86">
        <f t="shared" si="72"/>
        <v>26.00154587462335</v>
      </c>
      <c r="Z171" s="86">
        <f t="shared" si="73"/>
        <v>138.10340729295629</v>
      </c>
      <c r="AB171" s="86" t="str">
        <f t="shared" si="74"/>
        <v>-7.28005804221011-15.9871085477504j</v>
      </c>
      <c r="AC171" s="86">
        <f t="shared" si="75"/>
        <v>24.893774642634416</v>
      </c>
      <c r="AD171" s="86">
        <f t="shared" si="76"/>
        <v>65.516878957584822</v>
      </c>
      <c r="AF171" s="86" t="str">
        <f t="shared" si="77"/>
        <v>0.227601034127208-0.817059014705728j</v>
      </c>
      <c r="AG171" s="86">
        <f t="shared" si="78"/>
        <v>-1.4303701354989546</v>
      </c>
      <c r="AH171" s="86">
        <f t="shared" si="79"/>
        <v>105.56578012419394</v>
      </c>
      <c r="AJ171" s="86" t="str">
        <f t="shared" si="80"/>
        <v>15.0499997435698-0.00196450374391076j</v>
      </c>
      <c r="AK171" s="86" t="str">
        <f t="shared" si="81"/>
        <v>30.1-7.85801510953226E-11j</v>
      </c>
      <c r="AL171" s="86" t="str">
        <f t="shared" si="95"/>
        <v>10000-256216.808887683j</v>
      </c>
      <c r="AM171" s="86" t="str">
        <f t="shared" si="96"/>
        <v>962.441814350713-79541.4672895708j</v>
      </c>
      <c r="AN171" s="86" t="str">
        <f t="shared" si="97"/>
        <v>10962.4418143507-79541.4672895708j</v>
      </c>
      <c r="AO171" s="86" t="str">
        <f t="shared" si="98"/>
        <v>30.0984553589393-0.0111769433617012j</v>
      </c>
      <c r="AP171" s="86" t="str">
        <f t="shared" si="99"/>
        <v>0.666666669190896+0.0000290070686336863j</v>
      </c>
      <c r="AQ171" s="86" t="str">
        <f t="shared" si="82"/>
        <v>1+4.84589596361835j</v>
      </c>
      <c r="AR171" s="86">
        <f t="shared" si="83"/>
        <v>-3.2029473958713921E-7</v>
      </c>
      <c r="AS171" s="86" t="str">
        <f t="shared" si="84"/>
        <v>0.0000255501668709485j</v>
      </c>
      <c r="AT171" s="86" t="str">
        <f t="shared" si="85"/>
        <v>-3.20294739587139E-07+0.0000255501668709485j</v>
      </c>
      <c r="AU171" s="86" t="str">
        <f t="shared" si="86"/>
        <v>18.9141645650445-4.15097513646618j</v>
      </c>
      <c r="AW171" s="86" t="str">
        <f t="shared" si="100"/>
        <v>12.3993906545367-3.5149483346539j</v>
      </c>
      <c r="AX171" s="86">
        <f t="shared" si="87"/>
        <v>22.203689798302282</v>
      </c>
      <c r="AY171" s="86">
        <f t="shared" si="88"/>
        <v>164.17315972805341</v>
      </c>
      <c r="AZ171" s="86" t="str">
        <f t="shared" si="89"/>
        <v>-146.462144218911-172.64137642839j</v>
      </c>
      <c r="BA171" s="86">
        <f t="shared" si="90"/>
        <v>47.09746444093669</v>
      </c>
      <c r="BB171" s="86">
        <f t="shared" si="91"/>
        <v>49.690038685638257</v>
      </c>
      <c r="BD171" s="86" t="str">
        <f t="shared" si="92"/>
        <v>-0.0498060875340536-10.9310397870181j</v>
      </c>
      <c r="BE171" s="86">
        <f t="shared" si="93"/>
        <v>20.773319662803324</v>
      </c>
      <c r="BF171" s="86">
        <f t="shared" si="94"/>
        <v>89.738939852247398</v>
      </c>
      <c r="BH171" s="86">
        <f t="shared" si="101"/>
        <v>-19.773319662803324</v>
      </c>
      <c r="BI171" s="157">
        <f t="shared" si="102"/>
        <v>-89.738939852247398</v>
      </c>
      <c r="BJ171" s="88"/>
      <c r="BK171" s="88"/>
      <c r="BL171" s="88"/>
      <c r="BM171" s="88"/>
      <c r="BN171" s="42"/>
      <c r="BO171" s="42"/>
      <c r="BP171" s="42"/>
    </row>
    <row r="172" spans="1:68" s="86" customFormat="1">
      <c r="A172" s="86">
        <v>108</v>
      </c>
      <c r="B172" s="86">
        <f t="shared" si="52"/>
        <v>14454.397707459284</v>
      </c>
      <c r="C172" s="86" t="str">
        <f t="shared" si="53"/>
        <v>90819.6592996385j</v>
      </c>
      <c r="D172" s="86">
        <f t="shared" si="54"/>
        <v>0.99979107038691462</v>
      </c>
      <c r="E172" s="86" t="str">
        <f t="shared" si="55"/>
        <v>-0.0227049148249096j</v>
      </c>
      <c r="F172" s="86" t="str">
        <f t="shared" si="56"/>
        <v>0.999791070386915-0.0227049148249096j</v>
      </c>
      <c r="G172" s="86">
        <f t="shared" si="57"/>
        <v>4.2427448531121497E-4</v>
      </c>
      <c r="H172" s="86">
        <f t="shared" si="58"/>
        <v>-1.3009440321758556</v>
      </c>
      <c r="J172" s="86">
        <f t="shared" si="59"/>
        <v>4.8</v>
      </c>
      <c r="K172" s="86" t="str">
        <f t="shared" si="60"/>
        <v>1+3.71316177046572j</v>
      </c>
      <c r="L172" s="86">
        <f t="shared" si="61"/>
        <v>-0.34891234767255619</v>
      </c>
      <c r="M172" s="86" t="str">
        <f t="shared" si="62"/>
        <v>0.519215992216033j</v>
      </c>
      <c r="N172" s="86" t="str">
        <f t="shared" si="63"/>
        <v>-0.348912347672556+0.519215992216033j</v>
      </c>
      <c r="O172" s="86" t="str">
        <f t="shared" si="64"/>
        <v>4.03506121754646-4.63753566630274j</v>
      </c>
      <c r="P172" s="86" t="str">
        <f t="shared" si="65"/>
        <v>19.368293844223-22.2601711982532j</v>
      </c>
      <c r="R172" s="86">
        <f t="shared" si="66"/>
        <v>11.52</v>
      </c>
      <c r="S172" s="86" t="str">
        <f t="shared" si="67"/>
        <v>1+0.00771967104046927j</v>
      </c>
      <c r="T172" s="86" t="str">
        <f t="shared" si="68"/>
        <v>-0.348912347672556+0.519215992216033j</v>
      </c>
      <c r="U172" s="86" t="str">
        <f t="shared" si="69"/>
        <v>-0.881375089079171-1.33369803486553j</v>
      </c>
      <c r="V172" s="86" t="str">
        <f t="shared" si="70"/>
        <v>-10.153441026192-15.3642013616509j</v>
      </c>
      <c r="X172" s="86" t="str">
        <f t="shared" si="71"/>
        <v>11.6334908618285-14.0000868039242j</v>
      </c>
      <c r="Y172" s="86">
        <f t="shared" si="72"/>
        <v>25.202745758945248</v>
      </c>
      <c r="Z172" s="86">
        <f t="shared" si="73"/>
        <v>129.72517421262114</v>
      </c>
      <c r="AB172" s="86" t="str">
        <f t="shared" si="74"/>
        <v>-8.46402219589196-12.8077703915063j</v>
      </c>
      <c r="AC172" s="86">
        <f t="shared" si="75"/>
        <v>23.723202494247101</v>
      </c>
      <c r="AD172" s="86">
        <f t="shared" si="76"/>
        <v>56.541255781674693</v>
      </c>
      <c r="AF172" s="86" t="str">
        <f t="shared" si="77"/>
        <v>0.203538299185608-0.788239501171682j</v>
      </c>
      <c r="AG172" s="86">
        <f t="shared" si="78"/>
        <v>-1.7865068924446033</v>
      </c>
      <c r="AH172" s="86">
        <f t="shared" si="79"/>
        <v>104.47858445530298</v>
      </c>
      <c r="AJ172" s="86" t="str">
        <f t="shared" si="80"/>
        <v>15.0499997188298-0.00205708794962029j</v>
      </c>
      <c r="AK172" s="86" t="str">
        <f t="shared" si="81"/>
        <v>30.1-8.22835195220655E-11j</v>
      </c>
      <c r="AL172" s="86" t="str">
        <f t="shared" si="95"/>
        <v>10000-244685.152901809j</v>
      </c>
      <c r="AM172" s="86" t="str">
        <f t="shared" si="96"/>
        <v>962.374592952176-75963.8965141427j</v>
      </c>
      <c r="AN172" s="86" t="str">
        <f t="shared" si="97"/>
        <v>10962.3745929522-75963.8965141427j</v>
      </c>
      <c r="AO172" s="86" t="str">
        <f t="shared" si="98"/>
        <v>30.0983095054331-0.0116822244302444j</v>
      </c>
      <c r="AP172" s="86" t="str">
        <f t="shared" si="99"/>
        <v>0.666666669434431+0.0000303741296394135j</v>
      </c>
      <c r="AQ172" s="86" t="str">
        <f t="shared" si="82"/>
        <v>1+5.0742760043894j</v>
      </c>
      <c r="AR172" s="86">
        <f t="shared" si="83"/>
        <v>-3.6084401791097621E-7</v>
      </c>
      <c r="AS172" s="86" t="str">
        <f t="shared" si="84"/>
        <v>0.0000267543091380345j</v>
      </c>
      <c r="AT172" s="86" t="str">
        <f t="shared" si="85"/>
        <v>-3.60844017910976E-07+0.0000267543091380345j</v>
      </c>
      <c r="AU172" s="86" t="str">
        <f t="shared" si="86"/>
        <v>18.9123487546977-3.99279261376684j</v>
      </c>
      <c r="AW172" s="86" t="str">
        <f t="shared" si="100"/>
        <v>12.3928216053835-3.44432714643909j</v>
      </c>
      <c r="AX172" s="86">
        <f t="shared" si="87"/>
        <v>22.186547408459422</v>
      </c>
      <c r="AY172" s="86">
        <f t="shared" si="88"/>
        <v>164.46783429109857</v>
      </c>
      <c r="AZ172" s="86" t="str">
        <f t="shared" si="89"/>
        <v>-149.007268382519-129.571552207276j</v>
      </c>
      <c r="BA172" s="86">
        <f t="shared" si="90"/>
        <v>45.909749902706494</v>
      </c>
      <c r="BB172" s="86">
        <f t="shared" si="91"/>
        <v>41.009090072773148</v>
      </c>
      <c r="BD172" s="86" t="str">
        <f t="shared" si="92"/>
        <v>-0.192540880110832-10.4695640095621j</v>
      </c>
      <c r="BE172" s="86">
        <f t="shared" si="93"/>
        <v>20.400040516014769</v>
      </c>
      <c r="BF172" s="86">
        <f t="shared" si="94"/>
        <v>88.946418746401463</v>
      </c>
      <c r="BH172" s="86">
        <f t="shared" si="101"/>
        <v>-19.400040516014769</v>
      </c>
      <c r="BI172" s="157">
        <f t="shared" si="102"/>
        <v>-88.946418746401463</v>
      </c>
      <c r="BJ172" s="88"/>
      <c r="BK172" s="88"/>
      <c r="BL172" s="88"/>
      <c r="BM172" s="88"/>
      <c r="BN172" s="42"/>
      <c r="BO172" s="42"/>
      <c r="BP172" s="42"/>
    </row>
    <row r="173" spans="1:68" s="86" customFormat="1">
      <c r="A173" s="86">
        <v>109</v>
      </c>
      <c r="B173" s="86">
        <f t="shared" si="52"/>
        <v>15135.612484362091</v>
      </c>
      <c r="C173" s="86" t="str">
        <f t="shared" si="53"/>
        <v>95099.8579769078j</v>
      </c>
      <c r="D173" s="86">
        <f t="shared" si="54"/>
        <v>0.99977091323472322</v>
      </c>
      <c r="E173" s="86" t="str">
        <f t="shared" si="55"/>
        <v>-0.023774964494227j</v>
      </c>
      <c r="F173" s="86" t="str">
        <f t="shared" si="56"/>
        <v>0.999770913234723-0.023774964494227j</v>
      </c>
      <c r="G173" s="86">
        <f t="shared" si="57"/>
        <v>4.6522558248731835E-4</v>
      </c>
      <c r="H173" s="86">
        <f t="shared" si="58"/>
        <v>-1.362260507235034</v>
      </c>
      <c r="J173" s="86">
        <f t="shared" si="59"/>
        <v>4.8</v>
      </c>
      <c r="K173" s="86" t="str">
        <f t="shared" si="60"/>
        <v>1+3.88815769338588j</v>
      </c>
      <c r="L173" s="86">
        <f t="shared" si="61"/>
        <v>-0.47905297773127176</v>
      </c>
      <c r="M173" s="86" t="str">
        <f t="shared" si="62"/>
        <v>0.543685888053982j</v>
      </c>
      <c r="N173" s="86" t="str">
        <f t="shared" si="63"/>
        <v>-0.479052977731272+0.543685888053982j</v>
      </c>
      <c r="O173" s="86" t="str">
        <f t="shared" si="64"/>
        <v>3.11355316704356-4.58271397279575j</v>
      </c>
      <c r="P173" s="86" t="str">
        <f t="shared" si="65"/>
        <v>14.9450552018091-21.9970270694196j</v>
      </c>
      <c r="R173" s="86">
        <f t="shared" si="66"/>
        <v>11.52</v>
      </c>
      <c r="S173" s="86" t="str">
        <f t="shared" si="67"/>
        <v>1+0.00808348792803716j</v>
      </c>
      <c r="T173" s="86" t="str">
        <f t="shared" si="68"/>
        <v>-0.479052977731272+0.543685888053982j</v>
      </c>
      <c r="U173" s="86" t="str">
        <f t="shared" si="69"/>
        <v>-0.903962415133759-1.04279718442265j</v>
      </c>
      <c r="V173" s="86" t="str">
        <f t="shared" si="70"/>
        <v>-10.4136470223409-12.0130235645489j</v>
      </c>
      <c r="X173" s="86" t="str">
        <f t="shared" si="71"/>
        <v>8.89446747493123-13.7854338436463j</v>
      </c>
      <c r="Y173" s="86">
        <f t="shared" si="72"/>
        <v>24.299939612652697</v>
      </c>
      <c r="Z173" s="86">
        <f t="shared" si="73"/>
        <v>122.8304175950644</v>
      </c>
      <c r="AB173" s="86" t="str">
        <f t="shared" si="74"/>
        <v>-8.6809328295606-10.0141910341355j</v>
      </c>
      <c r="AC173" s="86">
        <f t="shared" si="75"/>
        <v>22.446298989355146</v>
      </c>
      <c r="AD173" s="86">
        <f t="shared" si="76"/>
        <v>49.079189694730275</v>
      </c>
      <c r="AF173" s="86" t="str">
        <f t="shared" si="77"/>
        <v>0.181138434600291-0.759729530311462j</v>
      </c>
      <c r="AG173" s="86">
        <f t="shared" si="78"/>
        <v>-2.1467009969077098</v>
      </c>
      <c r="AH173" s="86">
        <f t="shared" si="79"/>
        <v>103.4103711519102</v>
      </c>
      <c r="AJ173" s="86" t="str">
        <f t="shared" si="80"/>
        <v>15.049999691703-0.00215403551401636j</v>
      </c>
      <c r="AK173" s="86" t="str">
        <f t="shared" si="81"/>
        <v>30.1-8.61614223256584E-11j</v>
      </c>
      <c r="AL173" s="86" t="str">
        <f t="shared" si="95"/>
        <v>10000-233672.506930749j</v>
      </c>
      <c r="AM173" s="86" t="str">
        <f t="shared" si="96"/>
        <v>962.300896946268-72547.4549822213j</v>
      </c>
      <c r="AN173" s="86" t="str">
        <f t="shared" si="97"/>
        <v>10962.3008969463-72547.4549822213j</v>
      </c>
      <c r="AO173" s="86" t="str">
        <f t="shared" si="98"/>
        <v>30.0981502065674-0.0122082343960881j</v>
      </c>
      <c r="AP173" s="86" t="str">
        <f t="shared" si="99"/>
        <v>0.66666666970146+0.0000318056182421497j</v>
      </c>
      <c r="AQ173" s="86" t="str">
        <f t="shared" si="82"/>
        <v>1+5.31341926488579j</v>
      </c>
      <c r="AR173" s="86">
        <f t="shared" si="83"/>
        <v>-4.0530541746240441E-7</v>
      </c>
      <c r="AS173" s="86" t="str">
        <f t="shared" si="84"/>
        <v>0.0000280152008818149j</v>
      </c>
      <c r="AT173" s="86" t="str">
        <f t="shared" si="85"/>
        <v>-4.05305417462404E-07+0.0000280152008818149j</v>
      </c>
      <c r="AU173" s="86" t="str">
        <f t="shared" si="86"/>
        <v>18.9106017431577-3.84307682776112j</v>
      </c>
      <c r="AW173" s="86" t="str">
        <f t="shared" si="100"/>
        <v>12.3857857656247-3.3809437334951j</v>
      </c>
      <c r="AX173" s="86">
        <f t="shared" si="87"/>
        <v>22.170585736741156</v>
      </c>
      <c r="AY173" s="86">
        <f t="shared" si="88"/>
        <v>164.73195576739818</v>
      </c>
      <c r="AZ173" s="86" t="str">
        <f t="shared" si="89"/>
        <v>-141.377590695599-94.6838793138467j</v>
      </c>
      <c r="BA173" s="86">
        <f t="shared" si="90"/>
        <v>44.616884726096288</v>
      </c>
      <c r="BB173" s="86">
        <f t="shared" si="91"/>
        <v>33.811145462128309</v>
      </c>
      <c r="BD173" s="86" t="str">
        <f t="shared" si="92"/>
        <v>-0.325060949777911-10.0222660576134j</v>
      </c>
      <c r="BE173" s="86">
        <f t="shared" si="93"/>
        <v>20.023884739833434</v>
      </c>
      <c r="BF173" s="86">
        <f t="shared" si="94"/>
        <v>88.142326919308232</v>
      </c>
      <c r="BH173" s="86">
        <f t="shared" si="101"/>
        <v>-19.023884739833434</v>
      </c>
      <c r="BI173" s="157">
        <f t="shared" si="102"/>
        <v>-88.142326919308232</v>
      </c>
      <c r="BJ173" s="88"/>
      <c r="BK173" s="88"/>
      <c r="BL173" s="88"/>
      <c r="BM173" s="88"/>
      <c r="BN173" s="42"/>
      <c r="BO173" s="42"/>
      <c r="BP173" s="42"/>
    </row>
    <row r="174" spans="1:68" s="86" customFormat="1">
      <c r="A174" s="86">
        <v>110</v>
      </c>
      <c r="B174" s="86">
        <f t="shared" si="52"/>
        <v>15848.931924611154</v>
      </c>
      <c r="C174" s="86" t="str">
        <f t="shared" si="53"/>
        <v>99581.7762032063j</v>
      </c>
      <c r="D174" s="86">
        <f t="shared" si="54"/>
        <v>0.99974881135684901</v>
      </c>
      <c r="E174" s="86" t="str">
        <f t="shared" si="55"/>
        <v>-0.0248954440508016j</v>
      </c>
      <c r="F174" s="86" t="str">
        <f t="shared" si="56"/>
        <v>0.999748811356849-0.0248954440508016j</v>
      </c>
      <c r="G174" s="86">
        <f t="shared" si="57"/>
        <v>5.1013117968941248E-4</v>
      </c>
      <c r="H174" s="86">
        <f t="shared" si="58"/>
        <v>-1.4264674601666032</v>
      </c>
      <c r="J174" s="86">
        <f t="shared" si="59"/>
        <v>4.8</v>
      </c>
      <c r="K174" s="86" t="str">
        <f t="shared" si="60"/>
        <v>1+4.07140092006809j</v>
      </c>
      <c r="L174" s="86">
        <f t="shared" si="61"/>
        <v>-0.62174934102299551</v>
      </c>
      <c r="M174" s="86" t="str">
        <f t="shared" si="62"/>
        <v>0.56930901455373j</v>
      </c>
      <c r="N174" s="86" t="str">
        <f t="shared" si="63"/>
        <v>-0.621749341022996+0.56930901455373j</v>
      </c>
      <c r="O174" s="86" t="str">
        <f t="shared" si="64"/>
        <v>2.38662123376786-4.3629735624575j</v>
      </c>
      <c r="P174" s="86" t="str">
        <f t="shared" si="65"/>
        <v>11.4557819220857-20.942273099796j</v>
      </c>
      <c r="R174" s="86">
        <f t="shared" si="66"/>
        <v>11.52</v>
      </c>
      <c r="S174" s="86" t="str">
        <f t="shared" si="67"/>
        <v>1+0.00846445097727254j</v>
      </c>
      <c r="T174" s="86" t="str">
        <f t="shared" si="68"/>
        <v>-0.621749341022996+0.56930901455373j</v>
      </c>
      <c r="U174" s="86" t="str">
        <f t="shared" si="69"/>
        <v>-0.868078621728446-0.808476024826318j</v>
      </c>
      <c r="V174" s="86" t="str">
        <f t="shared" si="70"/>
        <v>-10.0002657223117-9.31364380599918j</v>
      </c>
      <c r="X174" s="86" t="str">
        <f t="shared" si="71"/>
        <v>6.74336237656031-13.0913929378401j</v>
      </c>
      <c r="Y174" s="86">
        <f t="shared" si="72"/>
        <v>23.361744571888153</v>
      </c>
      <c r="Z174" s="86">
        <f t="shared" si="73"/>
        <v>117.25294688849326</v>
      </c>
      <c r="AB174" s="86" t="str">
        <f t="shared" si="74"/>
        <v>-8.3363335464419-7.76395782427407j</v>
      </c>
      <c r="AC174" s="86">
        <f t="shared" si="75"/>
        <v>21.131860113672225</v>
      </c>
      <c r="AD174" s="86">
        <f t="shared" si="76"/>
        <v>42.9639556178671</v>
      </c>
      <c r="AF174" s="86" t="str">
        <f t="shared" si="77"/>
        <v>0.160322870800822-0.731608292393317j</v>
      </c>
      <c r="AG174" s="86">
        <f t="shared" si="78"/>
        <v>-2.5107266068506622</v>
      </c>
      <c r="AH174" s="86">
        <f t="shared" si="79"/>
        <v>102.36027816932241</v>
      </c>
      <c r="AJ174" s="86" t="str">
        <f t="shared" si="80"/>
        <v>15.0499996619591-0.00225555207578428j</v>
      </c>
      <c r="AK174" s="86" t="str">
        <f t="shared" si="81"/>
        <v>30.1-9.0222085057867E-11j</v>
      </c>
      <c r="AL174" s="86" t="str">
        <f t="shared" si="95"/>
        <v>10000-223155.511675908j</v>
      </c>
      <c r="AM174" s="86" t="str">
        <f t="shared" si="96"/>
        <v>962.220103854369-69284.8959091907j</v>
      </c>
      <c r="AN174" s="86" t="str">
        <f t="shared" si="97"/>
        <v>10962.2201038544-69284.8959091907j</v>
      </c>
      <c r="AO174" s="86" t="str">
        <f t="shared" si="98"/>
        <v>30.0979762871919-0.0127555175723284j</v>
      </c>
      <c r="AP174" s="86" t="str">
        <f t="shared" si="99"/>
        <v>0.66666666999425+0.0000333045708205094j</v>
      </c>
      <c r="AQ174" s="86" t="str">
        <f t="shared" si="82"/>
        <v>1+5.56383300002554j</v>
      </c>
      <c r="AR174" s="86">
        <f t="shared" si="83"/>
        <v>-4.5405637264055771E-7</v>
      </c>
      <c r="AS174" s="86" t="str">
        <f t="shared" si="84"/>
        <v>0.0000293355166227292j</v>
      </c>
      <c r="AT174" s="86" t="str">
        <f t="shared" si="85"/>
        <v>-4.54056372640558E-07+0.0000293355166227292j</v>
      </c>
      <c r="AU174" s="86" t="str">
        <f t="shared" si="86"/>
        <v>18.9089087093926-3.70151008061831j</v>
      </c>
      <c r="AW174" s="86" t="str">
        <f t="shared" si="100"/>
        <v>12.3782246521221-3.32465380485667j</v>
      </c>
      <c r="AX174" s="86">
        <f t="shared" si="87"/>
        <v>22.155682200245266</v>
      </c>
      <c r="AY174" s="86">
        <f t="shared" si="88"/>
        <v>164.96580791740624</v>
      </c>
      <c r="AZ174" s="86" t="str">
        <f t="shared" si="89"/>
        <v>-129.001481334099-68.3885910947332j</v>
      </c>
      <c r="BA174" s="86">
        <f t="shared" si="90"/>
        <v>43.287542313917484</v>
      </c>
      <c r="BB174" s="86">
        <f t="shared" si="91"/>
        <v>27.929763535273366</v>
      </c>
      <c r="BD174" s="86" t="str">
        <f t="shared" si="92"/>
        <v>-0.447831781324413-9.5890298430134j</v>
      </c>
      <c r="BE174" s="86">
        <f t="shared" si="93"/>
        <v>19.644955593394599</v>
      </c>
      <c r="BF174" s="86">
        <f t="shared" si="94"/>
        <v>87.326086086728651</v>
      </c>
      <c r="BH174" s="86">
        <f t="shared" si="101"/>
        <v>-18.644955593394599</v>
      </c>
      <c r="BI174" s="157">
        <f t="shared" si="102"/>
        <v>-87.326086086728651</v>
      </c>
      <c r="BJ174" s="88"/>
      <c r="BK174" s="88"/>
      <c r="BL174" s="88"/>
      <c r="BM174" s="88"/>
      <c r="BN174" s="42"/>
      <c r="BO174" s="42"/>
      <c r="BP174" s="42"/>
    </row>
    <row r="175" spans="1:68" s="86" customFormat="1">
      <c r="A175" s="86">
        <v>111</v>
      </c>
      <c r="B175" s="86">
        <f t="shared" si="52"/>
        <v>16595.869074375623</v>
      </c>
      <c r="C175" s="86" t="str">
        <f t="shared" si="53"/>
        <v>104274.920727993j</v>
      </c>
      <c r="D175" s="86">
        <f t="shared" si="54"/>
        <v>0.99972457712966623</v>
      </c>
      <c r="E175" s="86" t="str">
        <f t="shared" si="55"/>
        <v>-0.0260687301819982j</v>
      </c>
      <c r="F175" s="86" t="str">
        <f t="shared" si="56"/>
        <v>0.999724577129666-0.0260687301819982j</v>
      </c>
      <c r="G175" s="86">
        <f t="shared" si="57"/>
        <v>5.5937353038947859E-4</v>
      </c>
      <c r="H175" s="86">
        <f t="shared" si="58"/>
        <v>-1.4937012217923522</v>
      </c>
      <c r="J175" s="86">
        <f t="shared" si="59"/>
        <v>4.8</v>
      </c>
      <c r="K175" s="86" t="str">
        <f t="shared" si="60"/>
        <v>1+4.26328013396399j</v>
      </c>
      <c r="L175" s="86">
        <f t="shared" si="61"/>
        <v>-0.77821279204128735</v>
      </c>
      <c r="M175" s="86" t="str">
        <f t="shared" si="62"/>
        <v>0.596139721801936j</v>
      </c>
      <c r="N175" s="86" t="str">
        <f t="shared" si="63"/>
        <v>-0.778212792041287+0.596139721801936j</v>
      </c>
      <c r="O175" s="86" t="str">
        <f t="shared" si="64"/>
        <v>1.83486163252806-4.07272440548049j</v>
      </c>
      <c r="P175" s="86" t="str">
        <f t="shared" si="65"/>
        <v>8.80733583613469-19.5490771463064j</v>
      </c>
      <c r="R175" s="86">
        <f t="shared" si="66"/>
        <v>11.52</v>
      </c>
      <c r="S175" s="86" t="str">
        <f t="shared" si="67"/>
        <v>1+0.00886336826187941j</v>
      </c>
      <c r="T175" s="86" t="str">
        <f t="shared" si="68"/>
        <v>-0.778212792041287+0.596139721801936j</v>
      </c>
      <c r="U175" s="86" t="str">
        <f t="shared" si="69"/>
        <v>-0.804298461890504-0.627511696766225j</v>
      </c>
      <c r="V175" s="86" t="str">
        <f t="shared" si="70"/>
        <v>-9.26551828097861-7.22893474674691j</v>
      </c>
      <c r="X175" s="86" t="str">
        <f t="shared" si="71"/>
        <v>5.11713483908685-12.1975940473713j</v>
      </c>
      <c r="Y175" s="86">
        <f t="shared" si="72"/>
        <v>22.42954580448518</v>
      </c>
      <c r="Z175" s="86">
        <f t="shared" si="73"/>
        <v>112.75902438034505</v>
      </c>
      <c r="AB175" s="86" t="str">
        <f t="shared" si="74"/>
        <v>-7.72383984743132-6.02612099595441j</v>
      </c>
      <c r="AC175" s="86">
        <f t="shared" si="75"/>
        <v>19.821438043188113</v>
      </c>
      <c r="AD175" s="86">
        <f t="shared" si="76"/>
        <v>37.961267818070752</v>
      </c>
      <c r="AF175" s="86" t="str">
        <f t="shared" si="77"/>
        <v>0.141011372902925-0.703944187351745j</v>
      </c>
      <c r="AG175" s="86">
        <f t="shared" si="78"/>
        <v>-2.8783736316230213</v>
      </c>
      <c r="AH175" s="86">
        <f t="shared" si="79"/>
        <v>101.32734748774905</v>
      </c>
      <c r="AJ175" s="86" t="str">
        <f t="shared" si="80"/>
        <v>15.0499996293455-0.00236185296505102j</v>
      </c>
      <c r="AK175" s="86" t="str">
        <f t="shared" si="81"/>
        <v>30.1-9.4474120928769E-11j</v>
      </c>
      <c r="AL175" s="86" t="str">
        <f t="shared" si="95"/>
        <v>10000-213111.859180312j</v>
      </c>
      <c r="AM175" s="86" t="str">
        <f t="shared" si="96"/>
        <v>962.131531582202-66169.2989077752j</v>
      </c>
      <c r="AN175" s="86" t="str">
        <f t="shared" si="97"/>
        <v>10962.1315315822-66169.2989077752j</v>
      </c>
      <c r="AO175" s="86" t="str">
        <f t="shared" si="98"/>
        <v>30.0977864820367-0.0133245858555614j</v>
      </c>
      <c r="AP175" s="86" t="str">
        <f t="shared" si="99"/>
        <v>0.66666667031529+0.0000348741668531506j</v>
      </c>
      <c r="AQ175" s="86" t="str">
        <f t="shared" si="82"/>
        <v>1+5.82604837091442j</v>
      </c>
      <c r="AR175" s="86">
        <f t="shared" si="83"/>
        <v>-5.075107320345531E-7</v>
      </c>
      <c r="AS175" s="86" t="str">
        <f t="shared" si="84"/>
        <v>0.0000307180569274814j</v>
      </c>
      <c r="AT175" s="86" t="str">
        <f t="shared" si="85"/>
        <v>-5.07510732034553E-07+0.0000307180569274814j</v>
      </c>
      <c r="AU175" s="86" t="str">
        <f t="shared" si="86"/>
        <v>18.9072552921871-3.56779190926149j</v>
      </c>
      <c r="AW175" s="86" t="str">
        <f t="shared" si="100"/>
        <v>12.3700755719346-3.2753266575218j</v>
      </c>
      <c r="AX175" s="86">
        <f t="shared" si="87"/>
        <v>22.141721170887742</v>
      </c>
      <c r="AY175" s="86">
        <f t="shared" si="88"/>
        <v>165.16964656533241</v>
      </c>
      <c r="AZ175" s="86" t="str">
        <f t="shared" si="89"/>
        <v>-115.281997357747-49.2454735748569j</v>
      </c>
      <c r="BA175" s="86">
        <f t="shared" si="90"/>
        <v>41.963159214075887</v>
      </c>
      <c r="BB175" s="86">
        <f t="shared" si="91"/>
        <v>23.130914383403052</v>
      </c>
      <c r="BD175" s="86" t="str">
        <f t="shared" si="92"/>
        <v>-0.561325822929275-9.1697011046479j</v>
      </c>
      <c r="BE175" s="86">
        <f t="shared" si="93"/>
        <v>19.26334753926475</v>
      </c>
      <c r="BF175" s="86">
        <f t="shared" si="94"/>
        <v>86.496994053081366</v>
      </c>
      <c r="BH175" s="86">
        <f t="shared" si="101"/>
        <v>-18.26334753926475</v>
      </c>
      <c r="BI175" s="157">
        <f t="shared" si="102"/>
        <v>-86.496994053081366</v>
      </c>
      <c r="BJ175" s="88"/>
      <c r="BK175" s="88"/>
      <c r="BL175" s="88"/>
      <c r="BM175" s="88"/>
      <c r="BN175" s="42"/>
      <c r="BO175" s="42"/>
      <c r="BP175" s="42"/>
    </row>
    <row r="176" spans="1:68" s="86" customFormat="1">
      <c r="A176" s="86">
        <v>112</v>
      </c>
      <c r="B176" s="86">
        <f t="shared" si="52"/>
        <v>17378.008287493769</v>
      </c>
      <c r="C176" s="86" t="str">
        <f t="shared" si="53"/>
        <v>109189.246340026j</v>
      </c>
      <c r="D176" s="86">
        <f t="shared" si="54"/>
        <v>0.99969800482795979</v>
      </c>
      <c r="E176" s="86" t="str">
        <f t="shared" si="55"/>
        <v>-0.0272973115850065j</v>
      </c>
      <c r="F176" s="86" t="str">
        <f t="shared" si="56"/>
        <v>0.99969800482796-0.0272973115850065j</v>
      </c>
      <c r="G176" s="86">
        <f t="shared" si="57"/>
        <v>6.1337191488420174E-4</v>
      </c>
      <c r="H176" s="86">
        <f t="shared" si="58"/>
        <v>-1.5641045638077453</v>
      </c>
      <c r="J176" s="86">
        <f t="shared" si="59"/>
        <v>4.8</v>
      </c>
      <c r="K176" s="86" t="str">
        <f t="shared" si="60"/>
        <v>1+4.46420233661196j</v>
      </c>
      <c r="L176" s="86">
        <f t="shared" si="61"/>
        <v>-0.94977155457617624</v>
      </c>
      <c r="M176" s="86" t="str">
        <f t="shared" si="62"/>
        <v>0.624234921325929j</v>
      </c>
      <c r="N176" s="86" t="str">
        <f t="shared" si="63"/>
        <v>-0.949771554576176+0.624234921325929j</v>
      </c>
      <c r="O176" s="86" t="str">
        <f t="shared" si="64"/>
        <v>1.42207116351442-3.76563799842545j</v>
      </c>
      <c r="P176" s="86" t="str">
        <f t="shared" si="65"/>
        <v>6.82594158486922-18.0750623924422j</v>
      </c>
      <c r="R176" s="86">
        <f t="shared" si="66"/>
        <v>11.52</v>
      </c>
      <c r="S176" s="86" t="str">
        <f t="shared" si="67"/>
        <v>1+0.00928108593890221j</v>
      </c>
      <c r="T176" s="86" t="str">
        <f t="shared" si="68"/>
        <v>-0.949771554576176+0.624234921325929j</v>
      </c>
      <c r="U176" s="86" t="str">
        <f t="shared" si="69"/>
        <v>-0.730782861135768-0.490077077507372j</v>
      </c>
      <c r="V176" s="86" t="str">
        <f t="shared" si="70"/>
        <v>-8.41861856028405-5.64568793288493j</v>
      </c>
      <c r="X176" s="86" t="str">
        <f t="shared" si="71"/>
        <v>3.90509743608833-11.2615796200606j</v>
      </c>
      <c r="Y176" s="86">
        <f t="shared" si="72"/>
        <v>21.525114334649942</v>
      </c>
      <c r="Z176" s="86">
        <f t="shared" si="73"/>
        <v>109.12464580972443</v>
      </c>
      <c r="AB176" s="86" t="str">
        <f t="shared" si="74"/>
        <v>-7.01785475182065-4.70630871364199j</v>
      </c>
      <c r="AC176" s="86">
        <f t="shared" si="75"/>
        <v>18.536959431335983</v>
      </c>
      <c r="AD176" s="86">
        <f t="shared" si="76"/>
        <v>33.846567290007101</v>
      </c>
      <c r="AF176" s="86" t="str">
        <f t="shared" si="77"/>
        <v>0.123123146340152-0.6767954441915j</v>
      </c>
      <c r="AG176" s="86">
        <f t="shared" si="78"/>
        <v>-3.2494481756743321</v>
      </c>
      <c r="AH176" s="86">
        <f t="shared" si="79"/>
        <v>100.31053598016545</v>
      </c>
      <c r="AJ176" s="86" t="str">
        <f t="shared" si="80"/>
        <v>15.0499995935855-0.00247316366012715j</v>
      </c>
      <c r="AK176" s="86" t="str">
        <f t="shared" si="81"/>
        <v>30.1-9.89265490765269E-11j</v>
      </c>
      <c r="AL176" s="86" t="str">
        <f t="shared" si="95"/>
        <v>10000-203520.245510442j</v>
      </c>
      <c r="AM176" s="86" t="str">
        <f t="shared" si="96"/>
        <v>962.034432756908-63194.0553077921j</v>
      </c>
      <c r="AN176" s="86" t="str">
        <f t="shared" si="97"/>
        <v>10962.0344327569-63194.0553077921j</v>
      </c>
      <c r="AO176" s="86" t="str">
        <f t="shared" si="98"/>
        <v>30.0975794312893-0.0139159100535203j</v>
      </c>
      <c r="AP176" s="86" t="str">
        <f t="shared" si="99"/>
        <v>0.666666670667302+0.0000365177356628604j</v>
      </c>
      <c r="AQ176" s="86" t="str">
        <f t="shared" si="82"/>
        <v>1+6.10062157150993j</v>
      </c>
      <c r="AR176" s="86">
        <f t="shared" si="83"/>
        <v>-5.6612227159887556E-7</v>
      </c>
      <c r="AS176" s="86" t="str">
        <f t="shared" si="84"/>
        <v>0.0000321657543494185j</v>
      </c>
      <c r="AT176" s="86" t="str">
        <f t="shared" si="85"/>
        <v>-5.66122271598876E-07+0.0000321657543494185j</v>
      </c>
      <c r="AU176" s="86" t="str">
        <f t="shared" si="86"/>
        <v>18.9056274686033-3.44163844460029j</v>
      </c>
      <c r="AW176" s="86" t="str">
        <f t="shared" si="100"/>
        <v>12.3612711398663-3.23284469129148j</v>
      </c>
      <c r="AX176" s="86">
        <f t="shared" si="87"/>
        <v>22.128593325204044</v>
      </c>
      <c r="AY176" s="86">
        <f t="shared" si="88"/>
        <v>165.34369636559222</v>
      </c>
      <c r="AZ176" s="86" t="str">
        <f t="shared" si="89"/>
        <v>-101.964370547931-35.4883235985659j</v>
      </c>
      <c r="BA176" s="86">
        <f t="shared" si="90"/>
        <v>40.665552756540066</v>
      </c>
      <c r="BB176" s="86">
        <f t="shared" si="91"/>
        <v>19.19026365559921</v>
      </c>
      <c r="BD176" s="86" t="str">
        <f t="shared" si="92"/>
        <v>-0.666015963340708-8.76409000189829j</v>
      </c>
      <c r="BE176" s="86">
        <f t="shared" si="93"/>
        <v>18.879145149529759</v>
      </c>
      <c r="BF176" s="86">
        <f t="shared" si="94"/>
        <v>85.654232345757606</v>
      </c>
      <c r="BH176" s="86">
        <f t="shared" si="101"/>
        <v>-17.879145149529759</v>
      </c>
      <c r="BI176" s="157">
        <f t="shared" si="102"/>
        <v>-85.654232345757606</v>
      </c>
      <c r="BJ176" s="88"/>
      <c r="BK176" s="88"/>
      <c r="BL176" s="88"/>
      <c r="BM176" s="88"/>
      <c r="BN176" s="42"/>
      <c r="BO176" s="42"/>
      <c r="BP176" s="42"/>
    </row>
    <row r="177" spans="1:68" s="86" customFormat="1">
      <c r="A177" s="86">
        <v>113</v>
      </c>
      <c r="B177" s="86">
        <f t="shared" si="52"/>
        <v>18197.008586099848</v>
      </c>
      <c r="C177" s="86" t="str">
        <f t="shared" si="53"/>
        <v>114335.176982803j</v>
      </c>
      <c r="D177" s="86">
        <f t="shared" si="54"/>
        <v>0.99966886887851736</v>
      </c>
      <c r="E177" s="86" t="str">
        <f t="shared" si="55"/>
        <v>-0.0285837942457007j</v>
      </c>
      <c r="F177" s="86" t="str">
        <f t="shared" si="56"/>
        <v>0.999668868878517-0.0285837942457007j</v>
      </c>
      <c r="G177" s="86">
        <f t="shared" si="57"/>
        <v>6.7258624243098693E-4</v>
      </c>
      <c r="H177" s="86">
        <f t="shared" si="58"/>
        <v>-1.6378270046659495</v>
      </c>
      <c r="J177" s="86">
        <f t="shared" si="59"/>
        <v>4.8</v>
      </c>
      <c r="K177" s="86" t="str">
        <f t="shared" si="60"/>
        <v>1+4.6745937109419j</v>
      </c>
      <c r="L177" s="86">
        <f t="shared" si="61"/>
        <v>-1.1378819970529626</v>
      </c>
      <c r="M177" s="86" t="str">
        <f t="shared" si="62"/>
        <v>0.653654206810685j</v>
      </c>
      <c r="N177" s="86" t="str">
        <f t="shared" si="63"/>
        <v>-1.13788199705296+0.653654206810685j</v>
      </c>
      <c r="O177" s="86" t="str">
        <f t="shared" si="64"/>
        <v>1.11361331319991-3.46844021983829j</v>
      </c>
      <c r="P177" s="86" t="str">
        <f t="shared" si="65"/>
        <v>5.34534390335957-16.6485130552238j</v>
      </c>
      <c r="R177" s="86">
        <f t="shared" si="66"/>
        <v>11.52</v>
      </c>
      <c r="S177" s="86" t="str">
        <f t="shared" si="67"/>
        <v>1+0.00971849004353826j</v>
      </c>
      <c r="T177" s="86" t="str">
        <f t="shared" si="68"/>
        <v>-1.13788199705296+0.653654206810685j</v>
      </c>
      <c r="U177" s="86" t="str">
        <f t="shared" si="69"/>
        <v>-0.65708691467284-0.386003221069725j</v>
      </c>
      <c r="V177" s="86" t="str">
        <f t="shared" si="70"/>
        <v>-7.56964125703112-4.44675710672323j</v>
      </c>
      <c r="X177" s="86" t="str">
        <f t="shared" si="71"/>
        <v>3.00274691918836-10.3608577144889j</v>
      </c>
      <c r="Y177" s="86">
        <f t="shared" si="72"/>
        <v>20.658181252715369</v>
      </c>
      <c r="Z177" s="86">
        <f t="shared" si="73"/>
        <v>106.16245731544394</v>
      </c>
      <c r="AB177" s="86" t="str">
        <f t="shared" si="74"/>
        <v>-6.31013776011264-3.70686654445084j</v>
      </c>
      <c r="AC177" s="86">
        <f t="shared" si="75"/>
        <v>17.288300119202084</v>
      </c>
      <c r="AD177" s="86">
        <f t="shared" si="76"/>
        <v>30.431944781296011</v>
      </c>
      <c r="AF177" s="86" t="str">
        <f t="shared" si="77"/>
        <v>0.106577782656505-0.650210806570006j</v>
      </c>
      <c r="AG177" s="86">
        <f t="shared" si="78"/>
        <v>-3.6237728392631388</v>
      </c>
      <c r="AH177" s="86">
        <f t="shared" si="79"/>
        <v>99.308725678128582</v>
      </c>
      <c r="AJ177" s="86" t="str">
        <f t="shared" si="80"/>
        <v>15.0499995543753-0.00258972026577411j</v>
      </c>
      <c r="AK177" s="86" t="str">
        <f t="shared" si="81"/>
        <v>30.1-1.03588813698189E-10j</v>
      </c>
      <c r="AL177" s="86" t="str">
        <f t="shared" si="95"/>
        <v>10000-194360.325567735j</v>
      </c>
      <c r="AM177" s="86" t="str">
        <f t="shared" si="96"/>
        <v>961.927988535599-60352.854136929j</v>
      </c>
      <c r="AN177" s="86" t="str">
        <f t="shared" si="97"/>
        <v>10961.9279885356-60352.854136929j</v>
      </c>
      <c r="AO177" s="86" t="str">
        <f t="shared" si="98"/>
        <v>30.0973536764832-0.0145299100867421j</v>
      </c>
      <c r="AP177" s="86" t="str">
        <f t="shared" si="99"/>
        <v>0.666666671053276+0.0000382387634784798j</v>
      </c>
      <c r="AQ177" s="86" t="str">
        <f t="shared" si="82"/>
        <v>1+6.38813500838317j</v>
      </c>
      <c r="AR177" s="86">
        <f t="shared" si="83"/>
        <v>-6.3038854677353017E-7</v>
      </c>
      <c r="AS177" s="86" t="str">
        <f t="shared" si="84"/>
        <v>0.0000336816796488684j</v>
      </c>
      <c r="AT177" s="86" t="str">
        <f t="shared" si="85"/>
        <v>-6.3038854677353E-07+0.0000336816796488684j</v>
      </c>
      <c r="AU177" s="86" t="str">
        <f t="shared" si="86"/>
        <v>18.9040114353813-3.32278180493591j</v>
      </c>
      <c r="AW177" s="86" t="str">
        <f t="shared" si="100"/>
        <v>12.351738766019-3.1971029216404j</v>
      </c>
      <c r="AX177" s="86">
        <f t="shared" si="87"/>
        <v>22.116194998959919</v>
      </c>
      <c r="AY177" s="86">
        <f t="shared" si="88"/>
        <v>165.48814796366403</v>
      </c>
      <c r="AZ177" s="86" t="str">
        <f t="shared" si="89"/>
        <v>-89.7924070498984-25.6120873287428j</v>
      </c>
      <c r="BA177" s="86">
        <f t="shared" si="90"/>
        <v>39.404495118161989</v>
      </c>
      <c r="BB177" s="86">
        <f t="shared" si="91"/>
        <v>15.920092744960073</v>
      </c>
      <c r="BD177" s="86" t="str">
        <f t="shared" si="92"/>
        <v>-0.762369939732425-8.37197416590829j</v>
      </c>
      <c r="BE177" s="86">
        <f t="shared" si="93"/>
        <v>18.492422159696776</v>
      </c>
      <c r="BF177" s="86">
        <f t="shared" si="94"/>
        <v>84.796873641792629</v>
      </c>
      <c r="BH177" s="86">
        <f t="shared" si="101"/>
        <v>-17.492422159696776</v>
      </c>
      <c r="BI177" s="157">
        <f t="shared" si="102"/>
        <v>-84.796873641792629</v>
      </c>
      <c r="BJ177" s="88"/>
      <c r="BK177" s="88"/>
      <c r="BL177" s="88"/>
      <c r="BM177" s="88"/>
      <c r="BN177" s="42"/>
      <c r="BO177" s="42"/>
      <c r="BP177" s="42"/>
    </row>
    <row r="178" spans="1:68" s="86" customFormat="1">
      <c r="A178" s="86">
        <v>114</v>
      </c>
      <c r="B178" s="86">
        <f t="shared" si="52"/>
        <v>19054.607179632498</v>
      </c>
      <c r="C178" s="86" t="str">
        <f t="shared" si="53"/>
        <v>119723.627865146j</v>
      </c>
      <c r="D178" s="86">
        <f t="shared" si="54"/>
        <v>0.99963692194522991</v>
      </c>
      <c r="E178" s="86" t="str">
        <f t="shared" si="55"/>
        <v>-0.0299309069662865j</v>
      </c>
      <c r="F178" s="86" t="str">
        <f t="shared" si="56"/>
        <v>0.99963692194523-0.0299309069662865j</v>
      </c>
      <c r="G178" s="86">
        <f t="shared" si="57"/>
        <v>7.3752100697367705E-4</v>
      </c>
      <c r="H178" s="86">
        <f t="shared" si="58"/>
        <v>-1.715025130222311</v>
      </c>
      <c r="J178" s="86">
        <f t="shared" si="59"/>
        <v>4.8</v>
      </c>
      <c r="K178" s="86" t="str">
        <f t="shared" si="60"/>
        <v>1+4.89490052526649j</v>
      </c>
      <c r="L178" s="86">
        <f t="shared" si="61"/>
        <v>-1.3441409956956596</v>
      </c>
      <c r="M178" s="86" t="str">
        <f t="shared" si="62"/>
        <v>0.68445998050504j</v>
      </c>
      <c r="N178" s="86" t="str">
        <f t="shared" si="63"/>
        <v>-1.34414099569566+0.68445998050504j</v>
      </c>
      <c r="O178" s="86" t="str">
        <f t="shared" si="64"/>
        <v>0.88177834830811-3.19264016789605j</v>
      </c>
      <c r="P178" s="86" t="str">
        <f t="shared" si="65"/>
        <v>4.23253607187893-15.324672805901j</v>
      </c>
      <c r="R178" s="86">
        <f t="shared" si="66"/>
        <v>11.52</v>
      </c>
      <c r="S178" s="86" t="str">
        <f t="shared" si="67"/>
        <v>1+0.0101765083685374j</v>
      </c>
      <c r="T178" s="86" t="str">
        <f t="shared" si="68"/>
        <v>-1.34414099569566+0.68445998050504j</v>
      </c>
      <c r="U178" s="86" t="str">
        <f t="shared" si="69"/>
        <v>-0.587717695214943-0.306847088139264j</v>
      </c>
      <c r="V178" s="86" t="str">
        <f t="shared" si="70"/>
        <v>-6.77050784887614-3.53487845536432j</v>
      </c>
      <c r="X178" s="86" t="str">
        <f t="shared" si="71"/>
        <v>2.32703843064857-9.52808133853914j</v>
      </c>
      <c r="Y178" s="86">
        <f t="shared" si="72"/>
        <v>19.831725522716752</v>
      </c>
      <c r="Z178" s="86">
        <f t="shared" si="73"/>
        <v>103.72464608400911</v>
      </c>
      <c r="AB178" s="86" t="str">
        <f t="shared" si="74"/>
        <v>-5.64397119779605-2.94671428423168j</v>
      </c>
      <c r="AC178" s="86">
        <f t="shared" si="75"/>
        <v>16.078573468752506</v>
      </c>
      <c r="AD178" s="86">
        <f t="shared" si="76"/>
        <v>27.569036866598225</v>
      </c>
      <c r="AF178" s="86" t="str">
        <f t="shared" si="77"/>
        <v>0.091296053612747-0.624230258475535j</v>
      </c>
      <c r="AG178" s="86">
        <f t="shared" si="78"/>
        <v>-4.0011869020338562</v>
      </c>
      <c r="AH178" s="86">
        <f t="shared" si="79"/>
        <v>98.320733396241891</v>
      </c>
      <c r="AJ178" s="86" t="str">
        <f t="shared" si="80"/>
        <v>15.0499995113823-0.0027117700140114j</v>
      </c>
      <c r="AK178" s="86" t="str">
        <f t="shared" si="81"/>
        <v>30.1-1.08470804082101E-10j</v>
      </c>
      <c r="AL178" s="86" t="str">
        <f t="shared" si="95"/>
        <v>10000-185612.669933898j</v>
      </c>
      <c r="AM178" s="86" t="str">
        <f t="shared" si="96"/>
        <v>961.811301838011-57639.6687327753j</v>
      </c>
      <c r="AN178" s="86" t="str">
        <f t="shared" si="97"/>
        <v>10961.811301838-57639.6687327753j</v>
      </c>
      <c r="AO178" s="86" t="str">
        <f t="shared" si="98"/>
        <v>30.0971076568372-0.0151669439809628j</v>
      </c>
      <c r="AP178" s="86" t="str">
        <f t="shared" si="99"/>
        <v>0.666666671476488+0.0000400409008296453j</v>
      </c>
      <c r="AQ178" s="86" t="str">
        <f t="shared" si="82"/>
        <v>1+6.68919853608144j</v>
      </c>
      <c r="AR178" s="86">
        <f t="shared" si="83"/>
        <v>-7.0085511624989543E-7</v>
      </c>
      <c r="AS178" s="86" t="str">
        <f t="shared" si="84"/>
        <v>0.0000352690483066353j</v>
      </c>
      <c r="AT178" s="86" t="str">
        <f t="shared" si="85"/>
        <v>-7.00855116249895E-07+0.0000352690483066353j</v>
      </c>
      <c r="AU178" s="86" t="str">
        <f t="shared" si="86"/>
        <v>18.9023934922845-3.21096952216685j</v>
      </c>
      <c r="AW178" s="86" t="str">
        <f t="shared" si="100"/>
        <v>12.3414001109173-3.16800848557156j</v>
      </c>
      <c r="AX178" s="86">
        <f t="shared" si="87"/>
        <v>22.104427548634202</v>
      </c>
      <c r="AY178" s="86">
        <f t="shared" si="88"/>
        <v>165.6031555118501</v>
      </c>
      <c r="AZ178" s="86" t="str">
        <f t="shared" si="89"/>
        <v>-78.9897226234951-18.4864313473191j</v>
      </c>
      <c r="BA178" s="86">
        <f t="shared" si="90"/>
        <v>38.183001017386701</v>
      </c>
      <c r="BB178" s="86">
        <f t="shared" si="91"/>
        <v>13.172192378448329</v>
      </c>
      <c r="BD178" s="86" t="str">
        <f t="shared" si="92"/>
        <v>-0.850845629618354-7.99310205373228j</v>
      </c>
      <c r="BE178" s="86">
        <f t="shared" si="93"/>
        <v>18.103240646600341</v>
      </c>
      <c r="BF178" s="86">
        <f t="shared" si="94"/>
        <v>83.923888908091982</v>
      </c>
      <c r="BH178" s="86">
        <f t="shared" si="101"/>
        <v>-17.103240646600341</v>
      </c>
      <c r="BI178" s="157">
        <f t="shared" si="102"/>
        <v>-83.923888908091982</v>
      </c>
      <c r="BJ178" s="88"/>
      <c r="BK178" s="88"/>
      <c r="BL178" s="88"/>
      <c r="BM178" s="88"/>
      <c r="BN178" s="42"/>
      <c r="BO178" s="42"/>
      <c r="BP178" s="42"/>
    </row>
    <row r="179" spans="1:68" s="86" customFormat="1">
      <c r="A179" s="86">
        <v>115</v>
      </c>
      <c r="B179" s="86">
        <f t="shared" si="52"/>
        <v>19952.623149688818</v>
      </c>
      <c r="C179" s="86" t="str">
        <f t="shared" si="53"/>
        <v>125366.028613816j</v>
      </c>
      <c r="D179" s="86">
        <f t="shared" si="54"/>
        <v>0.99960189282944645</v>
      </c>
      <c r="E179" s="86" t="str">
        <f t="shared" si="55"/>
        <v>-0.031341507153454j</v>
      </c>
      <c r="F179" s="86" t="str">
        <f t="shared" si="56"/>
        <v>0.999601892829446-0.031341507153454j</v>
      </c>
      <c r="G179" s="86">
        <f t="shared" si="57"/>
        <v>8.0872963170068243E-4</v>
      </c>
      <c r="H179" s="86">
        <f t="shared" si="58"/>
        <v>-1.7958629298852202</v>
      </c>
      <c r="J179" s="86">
        <f t="shared" si="59"/>
        <v>4.8</v>
      </c>
      <c r="K179" s="86" t="str">
        <f t="shared" si="60"/>
        <v>1+5.12559007987587j</v>
      </c>
      <c r="L179" s="86">
        <f t="shared" si="61"/>
        <v>-1.5702994904656324</v>
      </c>
      <c r="M179" s="86" t="str">
        <f t="shared" si="62"/>
        <v>0.716717585585186j</v>
      </c>
      <c r="N179" s="86" t="str">
        <f t="shared" si="63"/>
        <v>-1.57029949046563+0.716717585585186j</v>
      </c>
      <c r="O179" s="86" t="str">
        <f t="shared" si="64"/>
        <v>0.705918341901694-2.94188848579322j</v>
      </c>
      <c r="P179" s="86" t="str">
        <f t="shared" si="65"/>
        <v>3.38840804112813-14.1210647318075j</v>
      </c>
      <c r="R179" s="86">
        <f t="shared" si="66"/>
        <v>11.52</v>
      </c>
      <c r="S179" s="86" t="str">
        <f t="shared" si="67"/>
        <v>1+0.0106561124321744j</v>
      </c>
      <c r="T179" s="86" t="str">
        <f t="shared" si="68"/>
        <v>-1.57029949046563+0.716717585585186j</v>
      </c>
      <c r="U179" s="86" t="str">
        <f t="shared" si="69"/>
        <v>-0.524466914615099-0.246163725799719j</v>
      </c>
      <c r="V179" s="86" t="str">
        <f t="shared" si="70"/>
        <v>-6.04185885636594-2.83580612121276j</v>
      </c>
      <c r="X179" s="86" t="str">
        <f t="shared" si="71"/>
        <v>1.81637036829781-8.77293616927384j</v>
      </c>
      <c r="Y179" s="86">
        <f t="shared" si="72"/>
        <v>19.045186908780021</v>
      </c>
      <c r="Z179" s="86">
        <f t="shared" si="73"/>
        <v>101.69738622072164</v>
      </c>
      <c r="AB179" s="86" t="str">
        <f t="shared" si="74"/>
        <v>-5.03656123404963-2.36395975426205j</v>
      </c>
      <c r="AC179" s="86">
        <f t="shared" si="75"/>
        <v>14.907343829208603</v>
      </c>
      <c r="AD179" s="86">
        <f t="shared" si="76"/>
        <v>25.143476639102289</v>
      </c>
      <c r="AF179" s="86" t="str">
        <f t="shared" si="77"/>
        <v>0.0772005643314453-0.59888576805677j</v>
      </c>
      <c r="AG179" s="86">
        <f t="shared" si="78"/>
        <v>-4.3815464137267268</v>
      </c>
      <c r="AH179" s="86">
        <f t="shared" si="79"/>
        <v>97.345319703334354</v>
      </c>
      <c r="AJ179" s="86" t="str">
        <f t="shared" si="80"/>
        <v>15.0499994642413-0.00283957178852535j</v>
      </c>
      <c r="AK179" s="86" t="str">
        <f t="shared" si="81"/>
        <v>30.1-1.13582875584403E-10j</v>
      </c>
      <c r="AL179" s="86" t="str">
        <f t="shared" si="95"/>
        <v>10000-177258.723658518j</v>
      </c>
      <c r="AM179" s="86" t="str">
        <f t="shared" si="96"/>
        <v>961.683389951965-55048.743957693j</v>
      </c>
      <c r="AN179" s="86" t="str">
        <f t="shared" si="97"/>
        <v>10961.683389952-55048.743957693j</v>
      </c>
      <c r="AO179" s="86" t="str">
        <f t="shared" si="98"/>
        <v>30.096839706216-0.0158272955727979j</v>
      </c>
      <c r="AP179" s="86" t="str">
        <f t="shared" si="99"/>
        <v>0.666666671940531+0.0000419279702900274j</v>
      </c>
      <c r="AQ179" s="86" t="str">
        <f t="shared" si="82"/>
        <v>1+7.00445075071113j</v>
      </c>
      <c r="AR179" s="86">
        <f t="shared" si="83"/>
        <v>-7.7812017323771432E-7</v>
      </c>
      <c r="AS179" s="86" t="str">
        <f t="shared" si="84"/>
        <v>0.0000369312273444639j</v>
      </c>
      <c r="AT179" s="86" t="str">
        <f t="shared" si="85"/>
        <v>-7.78120173237714E-07+0.0000369312273444639j</v>
      </c>
      <c r="AU179" s="86" t="str">
        <f t="shared" si="86"/>
        <v>18.9007599264206-3.10596399947336j</v>
      </c>
      <c r="AW179" s="86" t="str">
        <f t="shared" si="100"/>
        <v>12.3301705058744-3.14548013488079j</v>
      </c>
      <c r="AX179" s="86">
        <f t="shared" si="87"/>
        <v>22.093196720961359</v>
      </c>
      <c r="AY179" s="86">
        <f t="shared" si="88"/>
        <v>165.68883450371214</v>
      </c>
      <c r="AZ179" s="86" t="str">
        <f t="shared" si="89"/>
        <v>-69.5374472257981-13.3056235292623j</v>
      </c>
      <c r="BA179" s="86">
        <f t="shared" si="90"/>
        <v>37.000540550169973</v>
      </c>
      <c r="BB179" s="86">
        <f t="shared" si="91"/>
        <v>10.83231114281449</v>
      </c>
      <c r="BD179" s="86" t="str">
        <f t="shared" si="92"/>
        <v>-0.931887165128943-7.62719647518767j</v>
      </c>
      <c r="BE179" s="86">
        <f t="shared" si="93"/>
        <v>17.711650307234635</v>
      </c>
      <c r="BF179" s="86">
        <f t="shared" si="94"/>
        <v>83.034154207046555</v>
      </c>
      <c r="BH179" s="86">
        <f t="shared" si="101"/>
        <v>-16.711650307234635</v>
      </c>
      <c r="BI179" s="157">
        <f t="shared" si="102"/>
        <v>-83.034154207046555</v>
      </c>
      <c r="BJ179" s="88"/>
      <c r="BK179" s="88"/>
      <c r="BL179" s="88"/>
      <c r="BM179" s="88"/>
      <c r="BN179" s="42"/>
      <c r="BO179" s="42"/>
      <c r="BP179" s="42"/>
    </row>
    <row r="180" spans="1:68" s="86" customFormat="1">
      <c r="A180" s="86">
        <v>116</v>
      </c>
      <c r="B180" s="86">
        <f t="shared" si="52"/>
        <v>20892.961308540394</v>
      </c>
      <c r="C180" s="86" t="str">
        <f t="shared" si="53"/>
        <v>131274.347517293j</v>
      </c>
      <c r="D180" s="86">
        <f t="shared" si="54"/>
        <v>0.99956348416775986</v>
      </c>
      <c r="E180" s="86" t="str">
        <f t="shared" si="55"/>
        <v>-0.0328185868793232j</v>
      </c>
      <c r="F180" s="86" t="str">
        <f t="shared" si="56"/>
        <v>0.99956348416776-0.0328185868793232j</v>
      </c>
      <c r="G180" s="86">
        <f t="shared" si="57"/>
        <v>8.86819241573141E-4</v>
      </c>
      <c r="H180" s="86">
        <f t="shared" si="58"/>
        <v>-1.8805121490627033</v>
      </c>
      <c r="J180" s="86">
        <f t="shared" si="59"/>
        <v>4.8</v>
      </c>
      <c r="K180" s="86" t="str">
        <f t="shared" si="60"/>
        <v>1+5.36715169824452j</v>
      </c>
      <c r="L180" s="86">
        <f t="shared" si="61"/>
        <v>-1.8182773488535218</v>
      </c>
      <c r="M180" s="86" t="str">
        <f t="shared" si="62"/>
        <v>0.750495444756364j</v>
      </c>
      <c r="N180" s="86" t="str">
        <f t="shared" si="63"/>
        <v>-1.81827734885352+0.750495444756364j</v>
      </c>
      <c r="O180" s="86" t="str">
        <f t="shared" si="64"/>
        <v>0.571085775070126-2.71606222703217j</v>
      </c>
      <c r="P180" s="86" t="str">
        <f t="shared" si="65"/>
        <v>2.7412117203366-13.0370986897544j</v>
      </c>
      <c r="R180" s="86">
        <f t="shared" si="66"/>
        <v>11.52</v>
      </c>
      <c r="S180" s="86" t="str">
        <f t="shared" si="67"/>
        <v>1+0.0111583195389699j</v>
      </c>
      <c r="T180" s="86" t="str">
        <f t="shared" si="68"/>
        <v>-1.81827734885352+0.750495444756364j</v>
      </c>
      <c r="U180" s="86" t="str">
        <f t="shared" si="69"/>
        <v>-0.467750643419643-0.199201209285069j</v>
      </c>
      <c r="V180" s="86" t="str">
        <f t="shared" si="70"/>
        <v>-5.38848741219429-2.29479793096399j</v>
      </c>
      <c r="X180" s="86" t="str">
        <f t="shared" si="71"/>
        <v>1.42630495722964-8.09420986889677j</v>
      </c>
      <c r="Y180" s="86">
        <f t="shared" si="72"/>
        <v>18.296290773627049</v>
      </c>
      <c r="Z180" s="86">
        <f t="shared" si="73"/>
        <v>99.993665866576492</v>
      </c>
      <c r="AB180" s="86" t="str">
        <f t="shared" si="74"/>
        <v>-4.4919034779879-1.91296926555851j</v>
      </c>
      <c r="AC180" s="86">
        <f t="shared" si="75"/>
        <v>13.772451880780093</v>
      </c>
      <c r="AD180" s="86">
        <f t="shared" si="76"/>
        <v>23.067725089990546</v>
      </c>
      <c r="AF180" s="86" t="str">
        <f t="shared" si="77"/>
        <v>0.0642162778288051-0.574202031637245j</v>
      </c>
      <c r="AG180" s="86">
        <f t="shared" si="78"/>
        <v>-4.7647242143079884</v>
      </c>
      <c r="AH180" s="86">
        <f t="shared" si="79"/>
        <v>96.381197251669477</v>
      </c>
      <c r="AJ180" s="86" t="str">
        <f t="shared" si="80"/>
        <v>15.0499994125523-0.00297339667379276j</v>
      </c>
      <c r="AK180" s="86" t="str">
        <f t="shared" si="81"/>
        <v>30.1-1.18935871594143E-10j</v>
      </c>
      <c r="AL180" s="86" t="str">
        <f t="shared" si="95"/>
        <v>10000-169280.766901506j</v>
      </c>
      <c r="AM180" s="86" t="str">
        <f t="shared" si="96"/>
        <v>961.543176456296-52574.5839893602j</v>
      </c>
      <c r="AN180" s="86" t="str">
        <f t="shared" si="97"/>
        <v>10961.5431764563-52574.5839893602j</v>
      </c>
      <c r="AO180" s="86" t="str">
        <f t="shared" si="98"/>
        <v>30.0965480509104-0.0165111608638115j</v>
      </c>
      <c r="AP180" s="86" t="str">
        <f t="shared" si="99"/>
        <v>0.666666672449344+0.0000439039745855009j</v>
      </c>
      <c r="AQ180" s="86" t="str">
        <f t="shared" si="82"/>
        <v>1+7.33456034448619j</v>
      </c>
      <c r="AR180" s="86">
        <f t="shared" si="83"/>
        <v>-8.6283962354863634E-7</v>
      </c>
      <c r="AS180" s="86" t="str">
        <f t="shared" si="84"/>
        <v>0.0000386717424669463j</v>
      </c>
      <c r="AT180" s="86" t="str">
        <f t="shared" si="85"/>
        <v>-8.62839623548636E-07+0.0000386717424669463j</v>
      </c>
      <c r="AU180" s="86" t="str">
        <f t="shared" si="86"/>
        <v>18.8990968965752-3.00754199920163j</v>
      </c>
      <c r="AW180" s="86" t="str">
        <f t="shared" si="100"/>
        <v>12.317958336396-3.12944771066406j</v>
      </c>
      <c r="AX180" s="86">
        <f t="shared" si="87"/>
        <v>22.082412030965735</v>
      </c>
      <c r="AY180" s="86">
        <f t="shared" si="88"/>
        <v>165.74525989449154</v>
      </c>
      <c r="AZ180" s="86" t="str">
        <f t="shared" si="89"/>
        <v>-61.3176171816401-9.50669865624262j</v>
      </c>
      <c r="BA180" s="86">
        <f t="shared" si="90"/>
        <v>35.854863911745838</v>
      </c>
      <c r="BB180" s="86">
        <f t="shared" si="91"/>
        <v>8.8129849844820569</v>
      </c>
      <c r="BD180" s="86" t="str">
        <f t="shared" si="92"/>
        <v>-1.00592179855218-7.27395818602026j</v>
      </c>
      <c r="BE180" s="86">
        <f t="shared" si="93"/>
        <v>17.317687816657767</v>
      </c>
      <c r="BF180" s="86">
        <f t="shared" si="94"/>
        <v>82.126457146161002</v>
      </c>
      <c r="BH180" s="86">
        <f t="shared" si="101"/>
        <v>-16.317687816657767</v>
      </c>
      <c r="BI180" s="157">
        <f t="shared" si="102"/>
        <v>-82.126457146161002</v>
      </c>
      <c r="BJ180" s="88"/>
      <c r="BK180" s="88"/>
      <c r="BL180" s="88"/>
      <c r="BM180" s="88"/>
      <c r="BN180" s="42"/>
      <c r="BO180" s="42"/>
      <c r="BP180" s="42"/>
    </row>
    <row r="181" spans="1:68" s="86" customFormat="1">
      <c r="A181" s="86">
        <v>117</v>
      </c>
      <c r="B181" s="86">
        <f t="shared" si="52"/>
        <v>21877.616239495524</v>
      </c>
      <c r="C181" s="86" t="str">
        <f t="shared" si="53"/>
        <v>137461.116912112j</v>
      </c>
      <c r="D181" s="86">
        <f t="shared" si="54"/>
        <v>0.99952136990767737</v>
      </c>
      <c r="E181" s="86" t="str">
        <f t="shared" si="55"/>
        <v>-0.034365279228028j</v>
      </c>
      <c r="F181" s="86" t="str">
        <f t="shared" si="56"/>
        <v>0.999521369907677-0.034365279228028j</v>
      </c>
      <c r="G181" s="86">
        <f t="shared" si="57"/>
        <v>9.7245590665472959E-4</v>
      </c>
      <c r="H181" s="86">
        <f t="shared" si="58"/>
        <v>-1.9691526587387036</v>
      </c>
      <c r="J181" s="86">
        <f t="shared" si="59"/>
        <v>4.8</v>
      </c>
      <c r="K181" s="86" t="str">
        <f t="shared" si="60"/>
        <v>1+5.6200977649517j</v>
      </c>
      <c r="L181" s="86">
        <f t="shared" si="61"/>
        <v>-2.0901796637020955</v>
      </c>
      <c r="M181" s="86" t="str">
        <f t="shared" si="62"/>
        <v>0.785865205386544j</v>
      </c>
      <c r="N181" s="86" t="str">
        <f t="shared" si="63"/>
        <v>-2.0901796637021+0.785865205386544j</v>
      </c>
      <c r="O181" s="86" t="str">
        <f t="shared" si="64"/>
        <v>0.466557681346369-2.51339461774828j</v>
      </c>
      <c r="P181" s="86" t="str">
        <f t="shared" si="65"/>
        <v>2.23947687046257-12.0642941651917j</v>
      </c>
      <c r="R181" s="86">
        <f t="shared" si="66"/>
        <v>11.52</v>
      </c>
      <c r="S181" s="86" t="str">
        <f t="shared" si="67"/>
        <v>1+0.0116841949375295j</v>
      </c>
      <c r="T181" s="86" t="str">
        <f t="shared" si="68"/>
        <v>-2.0901796637021+0.785865205386544j</v>
      </c>
      <c r="U181" s="86" t="str">
        <f t="shared" si="69"/>
        <v>-0.417331700875137-0.162498307517977j</v>
      </c>
      <c r="V181" s="86" t="str">
        <f t="shared" si="70"/>
        <v>-4.80766119408158-1.8719805026071j</v>
      </c>
      <c r="X181" s="86" t="str">
        <f t="shared" si="71"/>
        <v>1.12505917998201-7.48604139581145j</v>
      </c>
      <c r="Y181" s="86">
        <f t="shared" si="72"/>
        <v>17.582044450275799</v>
      </c>
      <c r="Z181" s="86">
        <f t="shared" si="73"/>
        <v>98.54688048188946</v>
      </c>
      <c r="AB181" s="86" t="str">
        <f t="shared" si="74"/>
        <v>-4.00772023514637-1.56050392014597j</v>
      </c>
      <c r="AC181" s="86">
        <f t="shared" si="75"/>
        <v>12.671011549333294</v>
      </c>
      <c r="AD181" s="86">
        <f t="shared" si="76"/>
        <v>21.274668145682142</v>
      </c>
      <c r="AF181" s="86" t="str">
        <f t="shared" si="77"/>
        <v>0.0522709241193797-0.550197203637817j</v>
      </c>
      <c r="AG181" s="86">
        <f t="shared" si="78"/>
        <v>-5.1506099035890394</v>
      </c>
      <c r="AH181" s="86">
        <f t="shared" si="79"/>
        <v>95.427038494918619</v>
      </c>
      <c r="AJ181" s="86" t="str">
        <f t="shared" si="80"/>
        <v>15.0499993558764-0.00311352853008292j</v>
      </c>
      <c r="AK181" s="86" t="str">
        <f t="shared" si="81"/>
        <v>30.1-1.24541146533543E-10j</v>
      </c>
      <c r="AL181" s="86" t="str">
        <f t="shared" si="95"/>
        <v>10000-161661.877346962j</v>
      </c>
      <c r="AM181" s="86" t="str">
        <f t="shared" si="96"/>
        <v>961.389482401477-50211.940661069j</v>
      </c>
      <c r="AN181" s="86" t="str">
        <f t="shared" si="97"/>
        <v>10961.3894824015-50211.940661069j</v>
      </c>
      <c r="AO181" s="86" t="str">
        <f t="shared" si="98"/>
        <v>30.0962308084617-0.0172186329729465j</v>
      </c>
      <c r="AP181" s="86" t="str">
        <f t="shared" si="99"/>
        <v>0.666666673007246+0.0000459731050844335j</v>
      </c>
      <c r="AQ181" s="86" t="str">
        <f t="shared" si="82"/>
        <v>1+7.68022752411352j</v>
      </c>
      <c r="AR181" s="86">
        <f t="shared" si="83"/>
        <v>-9.5573265360378773E-7</v>
      </c>
      <c r="AS181" s="86" t="str">
        <f t="shared" si="84"/>
        <v>0.0000404942855400117j</v>
      </c>
      <c r="AT181" s="86" t="str">
        <f t="shared" si="85"/>
        <v>-9.55732653603788E-07+0.0000404942855400117j</v>
      </c>
      <c r="AU181" s="86" t="str">
        <f t="shared" si="86"/>
        <v>18.8973903166018-2.9154941597085j</v>
      </c>
      <c r="AW181" s="86" t="str">
        <f t="shared" si="100"/>
        <v>12.304664386629-3.11985159223821j</v>
      </c>
      <c r="AX181" s="86">
        <f t="shared" si="87"/>
        <v>22.071986148296133</v>
      </c>
      <c r="AY181" s="86">
        <f t="shared" si="88"/>
        <v>165.77246447856913</v>
      </c>
      <c r="AZ181" s="86" t="str">
        <f t="shared" si="89"/>
        <v>-54.1821930889392-6.69798465454832j</v>
      </c>
      <c r="BA181" s="86">
        <f t="shared" si="90"/>
        <v>34.742997697629413</v>
      </c>
      <c r="BB181" s="86">
        <f t="shared" si="91"/>
        <v>7.0471326242512475</v>
      </c>
      <c r="BD181" s="86" t="str">
        <f t="shared" si="92"/>
        <v>-1.07335744334654-6.9330694630667j</v>
      </c>
      <c r="BE181" s="86">
        <f t="shared" si="93"/>
        <v>16.921376244707073</v>
      </c>
      <c r="BF181" s="86">
        <f t="shared" si="94"/>
        <v>81.199502973487697</v>
      </c>
      <c r="BH181" s="86">
        <f t="shared" si="101"/>
        <v>-15.921376244707073</v>
      </c>
      <c r="BI181" s="157">
        <f t="shared" si="102"/>
        <v>-81.199502973487697</v>
      </c>
      <c r="BJ181" s="88"/>
      <c r="BK181" s="88"/>
      <c r="BL181" s="88"/>
      <c r="BM181" s="88"/>
      <c r="BN181" s="42"/>
      <c r="BO181" s="42"/>
      <c r="BP181" s="42"/>
    </row>
    <row r="182" spans="1:68" s="86" customFormat="1">
      <c r="A182" s="86">
        <v>118</v>
      </c>
      <c r="B182" s="86">
        <f t="shared" si="52"/>
        <v>22908.676527677744</v>
      </c>
      <c r="C182" s="86" t="str">
        <f t="shared" si="53"/>
        <v>143939.459765635j</v>
      </c>
      <c r="D182" s="86">
        <f t="shared" si="54"/>
        <v>0.99947519253975026</v>
      </c>
      <c r="E182" s="86" t="str">
        <f t="shared" si="55"/>
        <v>-0.0359848649414087j</v>
      </c>
      <c r="F182" s="86" t="str">
        <f t="shared" si="56"/>
        <v>0.99947519253975-0.0359848649414087j</v>
      </c>
      <c r="G182" s="86">
        <f t="shared" si="57"/>
        <v>1.0663704040496066E-3</v>
      </c>
      <c r="H182" s="86">
        <f t="shared" si="58"/>
        <v>-2.0619728430630055</v>
      </c>
      <c r="J182" s="86">
        <f t="shared" si="59"/>
        <v>4.8</v>
      </c>
      <c r="K182" s="86" t="str">
        <f t="shared" si="60"/>
        <v>1+5.88496481251799j</v>
      </c>
      <c r="L182" s="86">
        <f t="shared" si="61"/>
        <v>-2.3883146234144488</v>
      </c>
      <c r="M182" s="86" t="str">
        <f t="shared" si="62"/>
        <v>0.822901891480135j</v>
      </c>
      <c r="N182" s="86" t="str">
        <f t="shared" si="63"/>
        <v>-2.38831462341445+0.822901891480135j</v>
      </c>
      <c r="O182" s="86" t="str">
        <f t="shared" si="64"/>
        <v>0.384634326756862-2.33153891991862j</v>
      </c>
      <c r="P182" s="86" t="str">
        <f t="shared" si="65"/>
        <v>1.84624476843294-11.1913868156094j</v>
      </c>
      <c r="R182" s="86">
        <f t="shared" si="66"/>
        <v>11.52</v>
      </c>
      <c r="S182" s="86" t="str">
        <f t="shared" si="67"/>
        <v>1+0.012234854080079j</v>
      </c>
      <c r="T182" s="86" t="str">
        <f t="shared" si="68"/>
        <v>-2.38831462341445+0.822901891480135j</v>
      </c>
      <c r="U182" s="86" t="str">
        <f t="shared" si="69"/>
        <v>-0.3726949825967-0.133536116672981j</v>
      </c>
      <c r="V182" s="86" t="str">
        <f t="shared" si="70"/>
        <v>-4.29344619951398-1.53833606407274j</v>
      </c>
      <c r="X182" s="86" t="str">
        <f t="shared" si="71"/>
        <v>0.889872393906558-6.94101639472288j</v>
      </c>
      <c r="Y182" s="86">
        <f t="shared" si="72"/>
        <v>16.89926392227887</v>
      </c>
      <c r="Z182" s="86">
        <f t="shared" si="73"/>
        <v>97.305747328368284</v>
      </c>
      <c r="AB182" s="86" t="str">
        <f t="shared" si="74"/>
        <v>-3.5790648545465-1.28237417811999j</v>
      </c>
      <c r="AC182" s="86">
        <f t="shared" si="75"/>
        <v>11.599937221262886</v>
      </c>
      <c r="AD182" s="86">
        <f t="shared" si="76"/>
        <v>19.712534443167215</v>
      </c>
      <c r="AF182" s="86" t="str">
        <f t="shared" si="77"/>
        <v>0.0412953072910756-0.526883601452695j</v>
      </c>
      <c r="AG182" s="86">
        <f t="shared" si="78"/>
        <v>-5.5391097780469609</v>
      </c>
      <c r="AH182" s="86">
        <f t="shared" si="79"/>
        <v>94.481482841494071</v>
      </c>
      <c r="AJ182" s="86" t="str">
        <f t="shared" si="80"/>
        <v>15.0499992937325-0.00326026459555864j</v>
      </c>
      <c r="AK182" s="86" t="str">
        <f t="shared" si="81"/>
        <v>30.1-1.30410589942263E-10j</v>
      </c>
      <c r="AL182" s="86" t="str">
        <f t="shared" si="95"/>
        <v>10000-154385.894308655j</v>
      </c>
      <c r="AM182" s="86" t="str">
        <f t="shared" si="96"/>
        <v>961.221016683927-47955.8023269865j</v>
      </c>
      <c r="AN182" s="86" t="str">
        <f t="shared" si="97"/>
        <v>10961.2210166839-47955.8023269865j</v>
      </c>
      <c r="AO182" s="86" t="str">
        <f t="shared" si="98"/>
        <v>30.0958859877997-0.0179496856631619j</v>
      </c>
      <c r="AP182" s="86" t="str">
        <f t="shared" si="99"/>
        <v>0.666666673618974+0.0000481397506881093j</v>
      </c>
      <c r="AQ182" s="86" t="str">
        <f t="shared" si="82"/>
        <v>1+8.04218549602556j</v>
      </c>
      <c r="AR182" s="86">
        <f t="shared" si="83"/>
        <v>-1.0575878356329465E-6</v>
      </c>
      <c r="AS182" s="86" t="str">
        <f t="shared" si="84"/>
        <v>0.0000424027224218711j</v>
      </c>
      <c r="AT182" s="86" t="str">
        <f t="shared" si="85"/>
        <v>-1.05758783563295E-06+0.0000424027224218711j</v>
      </c>
      <c r="AU182" s="86" t="str">
        <f t="shared" si="86"/>
        <v>18.8956257369083-2.82962453995973j</v>
      </c>
      <c r="AW182" s="86" t="str">
        <f t="shared" si="100"/>
        <v>12.2901811431298-3.11664211291012j</v>
      </c>
      <c r="AX182" s="86">
        <f t="shared" si="87"/>
        <v>22.061834291141523</v>
      </c>
      <c r="AY182" s="86">
        <f t="shared" si="88"/>
        <v>165.7704374988584</v>
      </c>
      <c r="AZ182" s="86" t="str">
        <f t="shared" si="89"/>
        <v>-47.9840567534232-4.60594669185072j</v>
      </c>
      <c r="BA182" s="86">
        <f t="shared" si="90"/>
        <v>33.6617715124044</v>
      </c>
      <c r="BB182" s="86">
        <f t="shared" si="91"/>
        <v>5.4829719420255856</v>
      </c>
      <c r="BD182" s="86" t="str">
        <f t="shared" si="92"/>
        <v>-1.13458081392069-6.60419759696715j</v>
      </c>
      <c r="BE182" s="86">
        <f t="shared" si="93"/>
        <v>16.522724513094552</v>
      </c>
      <c r="BF182" s="86">
        <f t="shared" si="94"/>
        <v>80.251920340352484</v>
      </c>
      <c r="BH182" s="86">
        <f t="shared" si="101"/>
        <v>-15.522724513094552</v>
      </c>
      <c r="BI182" s="157">
        <f t="shared" si="102"/>
        <v>-80.251920340352484</v>
      </c>
      <c r="BJ182" s="88"/>
      <c r="BK182" s="88"/>
      <c r="BL182" s="88"/>
      <c r="BM182" s="88"/>
      <c r="BN182" s="42"/>
      <c r="BO182" s="42"/>
      <c r="BP182" s="42"/>
    </row>
    <row r="183" spans="1:68" s="86" customFormat="1">
      <c r="A183" s="86">
        <v>119</v>
      </c>
      <c r="B183" s="86">
        <f t="shared" si="52"/>
        <v>23988.329190194912</v>
      </c>
      <c r="C183" s="86" t="str">
        <f t="shared" si="53"/>
        <v>150723.11751162j</v>
      </c>
      <c r="D183" s="86">
        <f t="shared" si="54"/>
        <v>0.99942456006266289</v>
      </c>
      <c r="E183" s="86" t="str">
        <f t="shared" si="55"/>
        <v>-0.037680779377905j</v>
      </c>
      <c r="F183" s="86" t="str">
        <f t="shared" si="56"/>
        <v>0.999424560062663-0.037680779377905j</v>
      </c>
      <c r="G183" s="86">
        <f t="shared" si="57"/>
        <v>1.1693645507619105E-3</v>
      </c>
      <c r="H183" s="86">
        <f t="shared" si="58"/>
        <v>-2.1591700058908301</v>
      </c>
      <c r="J183" s="86">
        <f t="shared" si="59"/>
        <v>4.8</v>
      </c>
      <c r="K183" s="86" t="str">
        <f t="shared" si="60"/>
        <v>1+6.16231465946258j</v>
      </c>
      <c r="L183" s="86">
        <f t="shared" si="61"/>
        <v>-2.7152131062470284</v>
      </c>
      <c r="M183" s="86" t="str">
        <f t="shared" si="62"/>
        <v>0.861684062813931j</v>
      </c>
      <c r="N183" s="86" t="str">
        <f t="shared" si="63"/>
        <v>-2.71521310624703+0.861684062813931j</v>
      </c>
      <c r="O183" s="86" t="str">
        <f t="shared" si="64"/>
        <v>0.319752689207903-2.16807618141876j</v>
      </c>
      <c r="P183" s="86" t="str">
        <f t="shared" si="65"/>
        <v>1.53481290819793-10.40676567081j</v>
      </c>
      <c r="R183" s="86">
        <f t="shared" si="66"/>
        <v>11.52</v>
      </c>
      <c r="S183" s="86" t="str">
        <f t="shared" si="67"/>
        <v>1+0.0128114649884877j</v>
      </c>
      <c r="T183" s="86" t="str">
        <f t="shared" si="68"/>
        <v>-2.71521310624703+0.861684062813931j</v>
      </c>
      <c r="U183" s="86" t="str">
        <f t="shared" si="69"/>
        <v>-0.333236366492514-0.110472334733132j</v>
      </c>
      <c r="V183" s="86" t="str">
        <f t="shared" si="70"/>
        <v>-3.83888294199376-1.27264129612568j</v>
      </c>
      <c r="X183" s="86" t="str">
        <f t="shared" si="71"/>
        <v>0.704341496301601-6.45162680069645j</v>
      </c>
      <c r="Y183" s="86">
        <f t="shared" si="72"/>
        <v>16.244840867629748</v>
      </c>
      <c r="Z183" s="86">
        <f t="shared" si="73"/>
        <v>96.230459999227406</v>
      </c>
      <c r="AB183" s="86" t="str">
        <f t="shared" si="74"/>
        <v>-3.20013583027156-1.06088804278566j</v>
      </c>
      <c r="AC183" s="86">
        <f t="shared" si="75"/>
        <v>10.556211308873262</v>
      </c>
      <c r="AD183" s="86">
        <f t="shared" si="76"/>
        <v>18.341052740471298</v>
      </c>
      <c r="AF183" s="86" t="str">
        <f t="shared" si="77"/>
        <v>0.0312235236797322-0.504268377239131j</v>
      </c>
      <c r="AG183" s="86">
        <f t="shared" si="78"/>
        <v>-5.9301467501434244</v>
      </c>
      <c r="AH183" s="86">
        <f t="shared" si="79"/>
        <v>93.543143302608229</v>
      </c>
      <c r="AJ183" s="86" t="str">
        <f t="shared" si="80"/>
        <v>15.0499992255931-0.00341391611675243j</v>
      </c>
      <c r="AK183" s="86" t="str">
        <f t="shared" si="81"/>
        <v>30.1-1.36556651696703E-10j</v>
      </c>
      <c r="AL183" s="86" t="str">
        <f t="shared" si="95"/>
        <v>10000-147437.384451055j</v>
      </c>
      <c r="AM183" s="86" t="str">
        <f t="shared" si="96"/>
        <v>961.036365544833-45801.3832287243j</v>
      </c>
      <c r="AN183" s="86" t="str">
        <f t="shared" si="97"/>
        <v>10961.0363655448-45801.3832287243j</v>
      </c>
      <c r="AO183" s="86" t="str">
        <f t="shared" si="98"/>
        <v>30.0955114909829-0.0187041554463839j</v>
      </c>
      <c r="AP183" s="86" t="str">
        <f t="shared" si="99"/>
        <v>0.66666667428972+0.000050408507140138j</v>
      </c>
      <c r="AQ183" s="86" t="str">
        <f t="shared" si="82"/>
        <v>1+8.42120202160923j</v>
      </c>
      <c r="AR183" s="86">
        <f t="shared" si="83"/>
        <v>-1.1692698218920998E-6</v>
      </c>
      <c r="AS183" s="86" t="str">
        <f t="shared" si="84"/>
        <v>0.0000444011011630191j</v>
      </c>
      <c r="AT183" s="86" t="str">
        <f t="shared" si="85"/>
        <v>-0.0000011692698218921+0.0000444011011630191j</v>
      </c>
      <c r="AU183" s="86" t="str">
        <f t="shared" si="86"/>
        <v>18.89378822307-2.74975019070348j</v>
      </c>
      <c r="AW183" s="86" t="str">
        <f t="shared" si="100"/>
        <v>12.2743920566026-3.11977893421888j</v>
      </c>
      <c r="AX183" s="86">
        <f t="shared" si="87"/>
        <v>22.051873626585635</v>
      </c>
      <c r="AY183" s="86">
        <f t="shared" si="88"/>
        <v>165.73912346692981</v>
      </c>
      <c r="AZ183" s="86" t="str">
        <f t="shared" si="89"/>
        <v>-42.589457982582-3.03803941539276j</v>
      </c>
      <c r="BA183" s="86">
        <f t="shared" si="90"/>
        <v>32.608084935458898</v>
      </c>
      <c r="BB183" s="86">
        <f t="shared" si="91"/>
        <v>4.0801762074011663</v>
      </c>
      <c r="BD183" s="86" t="str">
        <f t="shared" si="92"/>
        <v>-1.18995608946973-6.28699825540798j</v>
      </c>
      <c r="BE183" s="86">
        <f t="shared" si="93"/>
        <v>16.121726876442203</v>
      </c>
      <c r="BF183" s="86">
        <f t="shared" si="94"/>
        <v>79.282266769538069</v>
      </c>
      <c r="BH183" s="86">
        <f t="shared" si="101"/>
        <v>-15.121726876442203</v>
      </c>
      <c r="BI183" s="157">
        <f t="shared" si="102"/>
        <v>-79.282266769538069</v>
      </c>
      <c r="BJ183" s="88"/>
      <c r="BK183" s="88"/>
      <c r="BL183" s="88"/>
      <c r="BM183" s="88"/>
      <c r="BN183" s="42"/>
      <c r="BO183" s="42"/>
      <c r="BP183" s="42"/>
    </row>
    <row r="184" spans="1:68" s="86" customFormat="1">
      <c r="A184" s="86">
        <v>120</v>
      </c>
      <c r="B184" s="86">
        <f t="shared" si="52"/>
        <v>25118.864315095805</v>
      </c>
      <c r="C184" s="86" t="str">
        <f t="shared" si="53"/>
        <v>157826.479197648j</v>
      </c>
      <c r="D184" s="86">
        <f t="shared" si="54"/>
        <v>0.99936904265551985</v>
      </c>
      <c r="E184" s="86" t="str">
        <f t="shared" si="55"/>
        <v>-0.039456619799412j</v>
      </c>
      <c r="F184" s="86" t="str">
        <f t="shared" si="56"/>
        <v>0.99936904265552-0.039456619799412j</v>
      </c>
      <c r="G184" s="86">
        <f t="shared" si="57"/>
        <v>1.2823181657925463E-3</v>
      </c>
      <c r="H184" s="86">
        <f t="shared" si="58"/>
        <v>-2.260950797265258</v>
      </c>
      <c r="J184" s="86">
        <f t="shared" si="59"/>
        <v>4.8</v>
      </c>
      <c r="K184" s="86" t="str">
        <f t="shared" si="60"/>
        <v>1+6.45273560199584j</v>
      </c>
      <c r="L184" s="86">
        <f t="shared" si="61"/>
        <v>-3.0736501650252723</v>
      </c>
      <c r="M184" s="86" t="str">
        <f t="shared" si="62"/>
        <v>0.902293981572953j</v>
      </c>
      <c r="N184" s="86" t="str">
        <f t="shared" si="63"/>
        <v>-3.07365016502527+0.902293981572953j</v>
      </c>
      <c r="O184" s="86" t="str">
        <f t="shared" si="64"/>
        <v>0.26785802370985-2.02074035293973j</v>
      </c>
      <c r="P184" s="86" t="str">
        <f t="shared" si="65"/>
        <v>1.28571851380728-9.6995536941107j</v>
      </c>
      <c r="R184" s="86">
        <f t="shared" si="66"/>
        <v>11.52</v>
      </c>
      <c r="S184" s="86" t="str">
        <f t="shared" si="67"/>
        <v>1+0.0134152507318001j</v>
      </c>
      <c r="T184" s="86" t="str">
        <f t="shared" si="68"/>
        <v>-3.07365016502527+0.902293981572953j</v>
      </c>
      <c r="U184" s="86" t="str">
        <f t="shared" si="69"/>
        <v>-0.298353814642449-0.0919486886565346j</v>
      </c>
      <c r="V184" s="86" t="str">
        <f t="shared" si="70"/>
        <v>-3.43703594468101-1.05924889332328j</v>
      </c>
      <c r="X184" s="86" t="str">
        <f t="shared" si="71"/>
        <v>0.556539514565112-6.01090464243732j</v>
      </c>
      <c r="Y184" s="86">
        <f t="shared" si="72"/>
        <v>15.61586840199424</v>
      </c>
      <c r="Z184" s="86">
        <f t="shared" si="73"/>
        <v>95.289838031438492</v>
      </c>
      <c r="AB184" s="86" t="str">
        <f t="shared" si="74"/>
        <v>-2.86515167112455-0.883001745017739j</v>
      </c>
      <c r="AC184" s="86">
        <f t="shared" si="75"/>
        <v>9.5370104981891668</v>
      </c>
      <c r="AD184" s="86">
        <f t="shared" si="76"/>
        <v>17.12860404192719</v>
      </c>
      <c r="AF184" s="86" t="str">
        <f t="shared" si="77"/>
        <v>0.021993103653354-0.482354151077211j</v>
      </c>
      <c r="AG184" s="86">
        <f t="shared" si="78"/>
        <v>-6.323660263022032</v>
      </c>
      <c r="AH184" s="86">
        <f t="shared" si="79"/>
        <v>92.610612704441252</v>
      </c>
      <c r="AJ184" s="86" t="str">
        <f t="shared" si="80"/>
        <v>15.0499991508797-0.00357480900875596j</v>
      </c>
      <c r="AK184" s="86" t="str">
        <f t="shared" si="81"/>
        <v>30.1-1.42992368417861E-10j</v>
      </c>
      <c r="AL184" s="86" t="str">
        <f t="shared" si="95"/>
        <v>10000-140801.609053149j</v>
      </c>
      <c r="AM184" s="86" t="str">
        <f t="shared" si="96"/>
        <v>960.833981119823-43744.1133405981j</v>
      </c>
      <c r="AN184" s="86" t="str">
        <f t="shared" si="97"/>
        <v>10960.8339811198-43744.1133405981j</v>
      </c>
      <c r="AO184" s="86" t="str">
        <f t="shared" si="98"/>
        <v>30.0951051168746-0.019481722314097j</v>
      </c>
      <c r="AP184" s="86" t="str">
        <f t="shared" si="99"/>
        <v>0.666666675025179+0.0000527841867746045j</v>
      </c>
      <c r="AQ184" s="86" t="str">
        <f t="shared" si="82"/>
        <v>1+8.81808104573099j</v>
      </c>
      <c r="AR184" s="86">
        <f t="shared" si="83"/>
        <v>-1.291726684727235E-6</v>
      </c>
      <c r="AS184" s="86" t="str">
        <f t="shared" si="84"/>
        <v>0.0000464936605926934j</v>
      </c>
      <c r="AT184" s="86" t="str">
        <f t="shared" si="85"/>
        <v>-1.29172668472724E-06+0.0000464936605926934j</v>
      </c>
      <c r="AU184" s="86" t="str">
        <f t="shared" si="86"/>
        <v>18.8918622305821-2.67570075106076j</v>
      </c>
      <c r="AW184" s="86" t="str">
        <f t="shared" si="100"/>
        <v>12.2571707607375-3.12923036938752j</v>
      </c>
      <c r="AX184" s="86">
        <f t="shared" si="87"/>
        <v>22.042022675914374</v>
      </c>
      <c r="AY184" s="86">
        <f t="shared" si="88"/>
        <v>165.67842117658657</v>
      </c>
      <c r="AZ184" s="86" t="str">
        <f t="shared" si="89"/>
        <v>-37.8817691651177-1.85738354852728j</v>
      </c>
      <c r="BA184" s="86">
        <f t="shared" si="90"/>
        <v>31.579033174103536</v>
      </c>
      <c r="BB184" s="86">
        <f t="shared" si="91"/>
        <v>2.8070252185137576</v>
      </c>
      <c r="BD184" s="86" t="str">
        <f t="shared" si="92"/>
        <v>-1.23982403131318-5.98111868477312j</v>
      </c>
      <c r="BE184" s="86">
        <f t="shared" si="93"/>
        <v>15.718362412892349</v>
      </c>
      <c r="BF184" s="86">
        <f t="shared" si="94"/>
        <v>78.289033881027891</v>
      </c>
      <c r="BH184" s="86">
        <f t="shared" si="101"/>
        <v>-14.718362412892349</v>
      </c>
      <c r="BI184" s="157">
        <f t="shared" si="102"/>
        <v>-78.289033881027891</v>
      </c>
      <c r="BJ184" s="88"/>
      <c r="BK184" s="88"/>
      <c r="BL184" s="88"/>
      <c r="BM184" s="88"/>
      <c r="BN184" s="42"/>
      <c r="BO184" s="42"/>
      <c r="BP184" s="42"/>
    </row>
    <row r="185" spans="1:68" s="86" customFormat="1">
      <c r="A185" s="86">
        <v>121</v>
      </c>
      <c r="B185" s="86">
        <f t="shared" si="52"/>
        <v>26302.679918953818</v>
      </c>
      <c r="C185" s="86" t="str">
        <f t="shared" si="53"/>
        <v>165264.612006218j</v>
      </c>
      <c r="D185" s="86">
        <f t="shared" si="54"/>
        <v>0.99930816902908104</v>
      </c>
      <c r="E185" s="86" t="str">
        <f t="shared" si="55"/>
        <v>-0.0413161530015545j</v>
      </c>
      <c r="F185" s="86" t="str">
        <f t="shared" si="56"/>
        <v>0.999308169029081-0.0413161530015545j</v>
      </c>
      <c r="G185" s="86">
        <f t="shared" si="57"/>
        <v>1.4061967257955916E-3</v>
      </c>
      <c r="H185" s="86">
        <f t="shared" si="58"/>
        <v>-2.3675316608967765</v>
      </c>
      <c r="J185" s="86">
        <f t="shared" si="59"/>
        <v>4.8</v>
      </c>
      <c r="K185" s="86" t="str">
        <f t="shared" si="60"/>
        <v>1+6.75684366187422j</v>
      </c>
      <c r="L185" s="86">
        <f t="shared" si="61"/>
        <v>-3.4666685846652703</v>
      </c>
      <c r="M185" s="86" t="str">
        <f t="shared" si="62"/>
        <v>0.944817786839548j</v>
      </c>
      <c r="N185" s="86" t="str">
        <f t="shared" si="63"/>
        <v>-3.46666858466527+0.944817786839548j</v>
      </c>
      <c r="O185" s="86" t="str">
        <f t="shared" si="64"/>
        <v>0.225965212722607-1.88750310272844j</v>
      </c>
      <c r="P185" s="86" t="str">
        <f t="shared" si="65"/>
        <v>1.08463302106851-9.06001489309651j</v>
      </c>
      <c r="R185" s="86">
        <f t="shared" si="66"/>
        <v>11.52</v>
      </c>
      <c r="S185" s="86" t="str">
        <f t="shared" si="67"/>
        <v>1+0.0140474920205285j</v>
      </c>
      <c r="T185" s="86" t="str">
        <f t="shared" si="68"/>
        <v>-3.46666858466527+0.944817786839548j</v>
      </c>
      <c r="U185" s="86" t="str">
        <f t="shared" si="69"/>
        <v>-0.26748800025073-0.0769542590842495j</v>
      </c>
      <c r="V185" s="86" t="str">
        <f t="shared" si="70"/>
        <v>-3.08146176288841-0.886513064650554j</v>
      </c>
      <c r="X185" s="86" t="str">
        <f t="shared" si="71"/>
        <v>0.43770646953681-5.61264940059491j</v>
      </c>
      <c r="Y185" s="86">
        <f t="shared" si="72"/>
        <v>15.009691093213162</v>
      </c>
      <c r="Z185" s="86">
        <f t="shared" si="73"/>
        <v>94.45922687510766</v>
      </c>
      <c r="AB185" s="86" t="str">
        <f t="shared" si="74"/>
        <v>-2.56874104942348-0.739007222949778j</v>
      </c>
      <c r="AC185" s="86">
        <f t="shared" si="75"/>
        <v>8.5397562483437763</v>
      </c>
      <c r="AD185" s="86">
        <f t="shared" si="76"/>
        <v>16.05012375652629</v>
      </c>
      <c r="AF185" s="86" t="str">
        <f t="shared" si="77"/>
        <v>0.0135450886563939-0.461139602046208j</v>
      </c>
      <c r="AG185" s="86">
        <f t="shared" si="78"/>
        <v>-6.7196062110678234</v>
      </c>
      <c r="AH185" s="86">
        <f t="shared" si="79"/>
        <v>91.68246954151266</v>
      </c>
      <c r="AJ185" s="86" t="str">
        <f t="shared" si="80"/>
        <v>15.0499990689581-0.00374328454652209j</v>
      </c>
      <c r="AK185" s="86" t="str">
        <f t="shared" si="81"/>
        <v>30.1-1.49731391123754E-10j</v>
      </c>
      <c r="AL185" s="86" t="str">
        <f t="shared" si="95"/>
        <v>10000-134464.492745647j</v>
      </c>
      <c r="AM185" s="86" t="str">
        <f t="shared" si="96"/>
        <v>960.612168960553-41779.6286719774j</v>
      </c>
      <c r="AN185" s="86" t="str">
        <f t="shared" si="97"/>
        <v>10960.6121689606-41779.6286719774j</v>
      </c>
      <c r="AO185" s="86" t="str">
        <f t="shared" si="98"/>
        <v>30.094664567116-0.0202818891900965j</v>
      </c>
      <c r="AP185" s="86" t="str">
        <f t="shared" si="99"/>
        <v>0.666666675831593+0.000055271828723623j</v>
      </c>
      <c r="AQ185" s="86" t="str">
        <f t="shared" si="82"/>
        <v>1+9.23366440201141j</v>
      </c>
      <c r="AR185" s="86">
        <f t="shared" si="83"/>
        <v>-1.4259979647940441E-6</v>
      </c>
      <c r="AS185" s="86" t="str">
        <f t="shared" si="84"/>
        <v>0.0000486848393099981j</v>
      </c>
      <c r="AT185" s="86" t="str">
        <f t="shared" si="85"/>
        <v>-1.42599796479404E-06+0.0000486848393099981j</v>
      </c>
      <c r="AU185" s="86" t="str">
        <f t="shared" si="86"/>
        <v>18.8898314747392-2.60731806938946j</v>
      </c>
      <c r="AW185" s="86" t="str">
        <f t="shared" si="100"/>
        <v>12.238380247901-3.14497264575783j</v>
      </c>
      <c r="AX185" s="86">
        <f t="shared" si="87"/>
        <v>22.03220072312628</v>
      </c>
      <c r="AY185" s="86">
        <f t="shared" si="88"/>
        <v>165.5881828975356</v>
      </c>
      <c r="AZ185" s="86" t="str">
        <f t="shared" si="89"/>
        <v>-33.7613872224313-0.965631065932623j</v>
      </c>
      <c r="BA185" s="86">
        <f t="shared" si="90"/>
        <v>30.571956971470055</v>
      </c>
      <c r="BB185" s="86">
        <f t="shared" si="91"/>
        <v>1.6383066540618927</v>
      </c>
      <c r="BD185" s="86" t="str">
        <f t="shared" si="92"/>
        <v>-1.2845014888425-5.68620073051597j</v>
      </c>
      <c r="BE185" s="86">
        <f t="shared" si="93"/>
        <v>15.312594512058467</v>
      </c>
      <c r="BF185" s="86">
        <f t="shared" si="94"/>
        <v>77.270652439048234</v>
      </c>
      <c r="BH185" s="86">
        <f t="shared" si="101"/>
        <v>-14.312594512058467</v>
      </c>
      <c r="BI185" s="157">
        <f t="shared" si="102"/>
        <v>-77.270652439048234</v>
      </c>
      <c r="BJ185" s="88"/>
      <c r="BK185" s="88"/>
      <c r="BL185" s="88"/>
      <c r="BM185" s="88"/>
      <c r="BN185" s="42"/>
      <c r="BO185" s="42"/>
      <c r="BP185" s="42"/>
    </row>
    <row r="186" spans="1:68" s="86" customFormat="1">
      <c r="A186" s="86">
        <v>122</v>
      </c>
      <c r="B186" s="86">
        <f t="shared" si="52"/>
        <v>27542.287033381683</v>
      </c>
      <c r="C186" s="86" t="str">
        <f t="shared" si="53"/>
        <v>173053.293214267j</v>
      </c>
      <c r="D186" s="86">
        <f t="shared" si="54"/>
        <v>0.99924142242497083</v>
      </c>
      <c r="E186" s="86" t="str">
        <f t="shared" si="55"/>
        <v>-0.0432633233035667j</v>
      </c>
      <c r="F186" s="86" t="str">
        <f t="shared" si="56"/>
        <v>0.999241422424971-0.0432633233035667j</v>
      </c>
      <c r="G186" s="86">
        <f t="shared" si="57"/>
        <v>1.5420597856160715E-3</v>
      </c>
      <c r="H186" s="86">
        <f t="shared" si="58"/>
        <v>-2.4791393037607179</v>
      </c>
      <c r="J186" s="86">
        <f t="shared" si="59"/>
        <v>4.8</v>
      </c>
      <c r="K186" s="86" t="str">
        <f t="shared" si="60"/>
        <v>1+7.07528389306531j</v>
      </c>
      <c r="L186" s="86">
        <f t="shared" si="61"/>
        <v>-3.8976047124832487</v>
      </c>
      <c r="M186" s="86" t="str">
        <f t="shared" si="62"/>
        <v>0.989345677305964j</v>
      </c>
      <c r="N186" s="86" t="str">
        <f t="shared" si="63"/>
        <v>-3.89760471248325+0.989345677305964j</v>
      </c>
      <c r="O186" s="86" t="str">
        <f t="shared" si="64"/>
        <v>0.19185357993808-1.76659125052499j</v>
      </c>
      <c r="P186" s="86" t="str">
        <f t="shared" si="65"/>
        <v>0.920897183702784-8.47963800251995j</v>
      </c>
      <c r="R186" s="86">
        <f t="shared" si="66"/>
        <v>11.52</v>
      </c>
      <c r="S186" s="86" t="str">
        <f t="shared" si="67"/>
        <v>1+0.0147095299232127j</v>
      </c>
      <c r="T186" s="86" t="str">
        <f t="shared" si="68"/>
        <v>-3.89760471248325+0.989345677305964j</v>
      </c>
      <c r="U186" s="86" t="str">
        <f t="shared" si="69"/>
        <v>-0.240137372776006-0.0647290888249226j</v>
      </c>
      <c r="V186" s="86" t="str">
        <f t="shared" si="70"/>
        <v>-2.76638253437959-0.745679103263108j</v>
      </c>
      <c r="X186" s="86" t="str">
        <f t="shared" si="71"/>
        <v>0.341340909969211-5.25146256484438j</v>
      </c>
      <c r="Y186" s="86">
        <f t="shared" si="72"/>
        <v>14.423915322646064</v>
      </c>
      <c r="Z186" s="86">
        <f t="shared" si="73"/>
        <v>93.718948812027506</v>
      </c>
      <c r="AB186" s="86" t="str">
        <f t="shared" si="74"/>
        <v>-2.30608747447448-0.62160645487088j</v>
      </c>
      <c r="AC186" s="86">
        <f t="shared" si="75"/>
        <v>7.5621256160995358</v>
      </c>
      <c r="AD186" s="86">
        <f t="shared" si="76"/>
        <v>15.085554522063262</v>
      </c>
      <c r="AF186" s="86" t="str">
        <f t="shared" si="77"/>
        <v>0.00582405415426268-0.440620015472211j</v>
      </c>
      <c r="AG186" s="86">
        <f t="shared" si="78"/>
        <v>-7.1179568744787751</v>
      </c>
      <c r="AH186" s="86">
        <f t="shared" si="79"/>
        <v>90.757283554080331</v>
      </c>
      <c r="AJ186" s="86" t="str">
        <f t="shared" si="80"/>
        <v>15.0499989791329-0.00391970008874651j</v>
      </c>
      <c r="AK186" s="86" t="str">
        <f t="shared" si="81"/>
        <v>30.1-1.56788014185058E-10j</v>
      </c>
      <c r="AL186" s="86" t="str">
        <f t="shared" si="95"/>
        <v>9999.99999999999-128412.593655225j</v>
      </c>
      <c r="AM186" s="86" t="str">
        <f t="shared" si="96"/>
        <v>960.369074444312-39903.7620060803j</v>
      </c>
      <c r="AN186" s="86" t="str">
        <f t="shared" si="97"/>
        <v>10960.3690744443-39903.7620060803j</v>
      </c>
      <c r="AO186" s="86" t="str">
        <f t="shared" si="98"/>
        <v>30.0941874547845-0.0211039602655297j</v>
      </c>
      <c r="AP186" s="86" t="str">
        <f t="shared" si="99"/>
        <v>0.666666676715808+0.000057876709605959j</v>
      </c>
      <c r="AQ186" s="86" t="str">
        <f t="shared" si="82"/>
        <v>1+9.66883359846753j</v>
      </c>
      <c r="AR186" s="86">
        <f t="shared" si="83"/>
        <v>-1.5732234957555587E-6</v>
      </c>
      <c r="AS186" s="86" t="str">
        <f t="shared" si="84"/>
        <v>0.0000509792850987699j</v>
      </c>
      <c r="AT186" s="86" t="str">
        <f t="shared" si="85"/>
        <v>-1.57322349575556E-06+0.0000509792850987699j</v>
      </c>
      <c r="AU186" s="86" t="str">
        <f t="shared" si="86"/>
        <v>18.8876787945998-2.5444558472845j</v>
      </c>
      <c r="AW186" s="86" t="str">
        <f t="shared" si="100"/>
        <v>12.2178720022159-3.16698909494668j</v>
      </c>
      <c r="AX186" s="86">
        <f t="shared" si="87"/>
        <v>22.022327224700724</v>
      </c>
      <c r="AY186" s="86">
        <f t="shared" si="88"/>
        <v>165.46821373971144</v>
      </c>
      <c r="AZ186" s="86" t="str">
        <f t="shared" si="89"/>
        <v>-30.1441024529671-0.291354217709793j</v>
      </c>
      <c r="BA186" s="86">
        <f t="shared" si="90"/>
        <v>29.584452840800274</v>
      </c>
      <c r="BB186" s="86">
        <f t="shared" si="91"/>
        <v>0.55376826177470662</v>
      </c>
      <c r="BD186" s="86" t="str">
        <f t="shared" si="92"/>
        <v>-1.32428123582498-5.4018836666488j</v>
      </c>
      <c r="BE186" s="86">
        <f t="shared" si="93"/>
        <v>14.904370350221964</v>
      </c>
      <c r="BF186" s="86">
        <f t="shared" si="94"/>
        <v>76.225497293791747</v>
      </c>
      <c r="BH186" s="86">
        <f t="shared" si="101"/>
        <v>-13.904370350221964</v>
      </c>
      <c r="BI186" s="157">
        <f t="shared" si="102"/>
        <v>-76.225497293791747</v>
      </c>
      <c r="BJ186" s="88"/>
      <c r="BK186" s="88"/>
      <c r="BL186" s="88"/>
      <c r="BM186" s="88"/>
      <c r="BN186" s="42"/>
      <c r="BO186" s="42"/>
      <c r="BP186" s="42"/>
    </row>
    <row r="187" spans="1:68" s="86" customFormat="1">
      <c r="A187" s="86">
        <v>123</v>
      </c>
      <c r="B187" s="86">
        <f t="shared" si="52"/>
        <v>28840.315031266073</v>
      </c>
      <c r="C187" s="86" t="str">
        <f t="shared" si="53"/>
        <v>181209.043658882j</v>
      </c>
      <c r="D187" s="86">
        <f t="shared" si="54"/>
        <v>0.99916823622889728</v>
      </c>
      <c r="E187" s="86" t="str">
        <f t="shared" si="55"/>
        <v>-0.0453022609147205j</v>
      </c>
      <c r="F187" s="86" t="str">
        <f t="shared" si="56"/>
        <v>0.999168236228897-0.0453022609147205j</v>
      </c>
      <c r="G187" s="86">
        <f t="shared" si="57"/>
        <v>1.6910702427998703E-3</v>
      </c>
      <c r="H187" s="86">
        <f t="shared" si="58"/>
        <v>-2.5960111890046687</v>
      </c>
      <c r="J187" s="86">
        <f t="shared" si="59"/>
        <v>4.8</v>
      </c>
      <c r="K187" s="86" t="str">
        <f t="shared" si="60"/>
        <v>1+7.40873174999339j</v>
      </c>
      <c r="L187" s="86">
        <f t="shared" si="61"/>
        <v>-4.37011678056599</v>
      </c>
      <c r="M187" s="86" t="str">
        <f t="shared" si="62"/>
        <v>1.03597210259783j</v>
      </c>
      <c r="N187" s="86" t="str">
        <f t="shared" si="63"/>
        <v>-4.37011678056599+1.03597210259783j</v>
      </c>
      <c r="O187" s="86" t="str">
        <f t="shared" si="64"/>
        <v>0.163853879137216-1.65647374333261j</v>
      </c>
      <c r="P187" s="86" t="str">
        <f t="shared" si="65"/>
        <v>0.786498619858637-7.95107396799653j</v>
      </c>
      <c r="R187" s="86">
        <f t="shared" si="66"/>
        <v>11.52</v>
      </c>
      <c r="S187" s="86" t="str">
        <f t="shared" si="67"/>
        <v>1+0.015402768711005j</v>
      </c>
      <c r="T187" s="86" t="str">
        <f t="shared" si="68"/>
        <v>-4.37011678056599+1.03597210259783j</v>
      </c>
      <c r="U187" s="86" t="str">
        <f t="shared" si="69"/>
        <v>-0.215860673611345-0.0546961137705286j</v>
      </c>
      <c r="V187" s="86" t="str">
        <f t="shared" si="70"/>
        <v>-2.48671496000269-0.630099230636489j</v>
      </c>
      <c r="X187" s="86" t="str">
        <f t="shared" si="71"/>
        <v>0.262567256084649-4.92269684196959j</v>
      </c>
      <c r="Y187" s="86">
        <f t="shared" si="72"/>
        <v>13.856399750062794</v>
      </c>
      <c r="Z187" s="86">
        <f t="shared" si="73"/>
        <v>93.053154381750488</v>
      </c>
      <c r="AB187" s="86" t="str">
        <f t="shared" si="74"/>
        <v>-2.07295345115263-0.525257778123115j</v>
      </c>
      <c r="AC187" s="86">
        <f t="shared" si="75"/>
        <v>6.6020421608661302</v>
      </c>
      <c r="AD187" s="86">
        <f t="shared" si="76"/>
        <v>14.21869929130898</v>
      </c>
      <c r="AF187" s="86" t="str">
        <f t="shared" si="77"/>
        <v>-0.00122191197015623-0.420787785965002j</v>
      </c>
      <c r="AG187" s="86">
        <f t="shared" si="78"/>
        <v>-7.5187008736991636</v>
      </c>
      <c r="AH187" s="86">
        <f t="shared" si="79"/>
        <v>89.833621116448057</v>
      </c>
      <c r="AJ187" s="86" t="str">
        <f t="shared" si="80"/>
        <v>15.0499988806415-0.00410442983586357j</v>
      </c>
      <c r="AK187" s="86" t="str">
        <f t="shared" si="81"/>
        <v>30.1-1.64177205645384E-10j</v>
      </c>
      <c r="AL187" s="86" t="str">
        <f t="shared" si="95"/>
        <v>10000-122633.074892523j</v>
      </c>
      <c r="AM187" s="86" t="str">
        <f t="shared" si="96"/>
        <v>960.102667982481-38112.5340554906j</v>
      </c>
      <c r="AN187" s="86" t="str">
        <f t="shared" si="97"/>
        <v>10960.1026679825-38112.5340554906j</v>
      </c>
      <c r="AO187" s="86" t="str">
        <f t="shared" si="98"/>
        <v>30.0936713161457-0.0219470184496093j</v>
      </c>
      <c r="AP187" s="86" t="str">
        <f t="shared" si="99"/>
        <v>0.666666677685331+0.0000606043547193795j</v>
      </c>
      <c r="AQ187" s="86" t="str">
        <f t="shared" si="82"/>
        <v>1+10.1245116873091j</v>
      </c>
      <c r="AR187" s="86">
        <f t="shared" si="83"/>
        <v>-1.7346530803704475E-6</v>
      </c>
      <c r="AS187" s="86" t="str">
        <f t="shared" si="84"/>
        <v>0.0000533818647861478j</v>
      </c>
      <c r="AT187" s="86" t="str">
        <f t="shared" si="85"/>
        <v>-1.73465308037045E-06+0.0000533818647861478j</v>
      </c>
      <c r="AU187" s="86" t="str">
        <f t="shared" si="86"/>
        <v>18.885386009956-2.48697930557505j</v>
      </c>
      <c r="AW187" s="86" t="str">
        <f t="shared" si="100"/>
        <v>12.1954850915535-3.19526925836256j</v>
      </c>
      <c r="AX187" s="86">
        <f t="shared" si="87"/>
        <v>22.012321218550884</v>
      </c>
      <c r="AY187" s="86">
        <f t="shared" si="88"/>
        <v>165.31827118272182</v>
      </c>
      <c r="AZ187" s="86" t="str">
        <f t="shared" si="89"/>
        <v>-26.9590129401688+0.217871034161592j</v>
      </c>
      <c r="BA187" s="86">
        <f t="shared" si="90"/>
        <v>28.614363379416986</v>
      </c>
      <c r="BB187" s="86">
        <f t="shared" si="91"/>
        <v>-0.46302952596914793</v>
      </c>
      <c r="BD187" s="86" t="str">
        <f t="shared" si="92"/>
        <v>-1.35943208600364-5.12780683268931j</v>
      </c>
      <c r="BE187" s="86">
        <f t="shared" si="93"/>
        <v>14.493620344851701</v>
      </c>
      <c r="BF187" s="86">
        <f t="shared" si="94"/>
        <v>75.15189229916993</v>
      </c>
      <c r="BH187" s="86">
        <f t="shared" si="101"/>
        <v>-13.493620344851701</v>
      </c>
      <c r="BI187" s="157">
        <f t="shared" si="102"/>
        <v>-75.15189229916993</v>
      </c>
      <c r="BJ187" s="88"/>
      <c r="BK187" s="88"/>
      <c r="BL187" s="88"/>
      <c r="BM187" s="88"/>
      <c r="BN187" s="42"/>
      <c r="BO187" s="42"/>
      <c r="BP187" s="42"/>
    </row>
    <row r="188" spans="1:68" s="86" customFormat="1">
      <c r="A188" s="86">
        <v>124</v>
      </c>
      <c r="B188" s="86">
        <f t="shared" si="52"/>
        <v>30199.517204020169</v>
      </c>
      <c r="C188" s="86" t="str">
        <f t="shared" si="53"/>
        <v>189749.162780217j</v>
      </c>
      <c r="D188" s="86">
        <f t="shared" si="54"/>
        <v>0.99908798916064412</v>
      </c>
      <c r="E188" s="86" t="str">
        <f t="shared" si="55"/>
        <v>-0.0474372906950543j</v>
      </c>
      <c r="F188" s="86" t="str">
        <f t="shared" si="56"/>
        <v>0.999087989160644-0.0474372906950543j</v>
      </c>
      <c r="G188" s="86">
        <f t="shared" si="57"/>
        <v>1.8545045339267915E-3</v>
      </c>
      <c r="H188" s="86">
        <f t="shared" si="58"/>
        <v>-2.7183960534362814</v>
      </c>
      <c r="J188" s="86">
        <f t="shared" si="59"/>
        <v>4.8</v>
      </c>
      <c r="K188" s="86" t="str">
        <f t="shared" si="60"/>
        <v>1+7.75789452026917j</v>
      </c>
      <c r="L188" s="86">
        <f t="shared" si="61"/>
        <v>-4.8882159606332358</v>
      </c>
      <c r="M188" s="86" t="str">
        <f t="shared" si="62"/>
        <v>1.0847959636145j</v>
      </c>
      <c r="N188" s="86" t="str">
        <f t="shared" si="63"/>
        <v>-4.88821596063324+1.0847959636145j</v>
      </c>
      <c r="O188" s="86" t="str">
        <f t="shared" si="64"/>
        <v>0.140698621393154-1.55583658433752j</v>
      </c>
      <c r="P188" s="86" t="str">
        <f t="shared" si="65"/>
        <v>0.675353382687139-7.4680156048201j</v>
      </c>
      <c r="R188" s="86">
        <f t="shared" si="66"/>
        <v>11.52</v>
      </c>
      <c r="S188" s="86" t="str">
        <f t="shared" si="67"/>
        <v>1+0.0161286788363184j</v>
      </c>
      <c r="T188" s="86" t="str">
        <f t="shared" si="68"/>
        <v>-4.88821596063324+1.0847959636145j</v>
      </c>
      <c r="U188" s="86" t="str">
        <f t="shared" si="69"/>
        <v>-0.194273647978367-0.0464128323762776j</v>
      </c>
      <c r="V188" s="86" t="str">
        <f t="shared" si="70"/>
        <v>-2.23803242471079-0.534675828974718j</v>
      </c>
      <c r="X188" s="86" t="str">
        <f t="shared" si="71"/>
        <v>0.19769216337221-4.62237312854165j</v>
      </c>
      <c r="Y188" s="86">
        <f t="shared" si="72"/>
        <v>13.305236629591704</v>
      </c>
      <c r="Z188" s="86">
        <f t="shared" si="73"/>
        <v>92.448964557702226</v>
      </c>
      <c r="AB188" s="86" t="str">
        <f t="shared" si="74"/>
        <v>-1.86564890356018-0.445711761399398j</v>
      </c>
      <c r="AC188" s="86">
        <f t="shared" si="75"/>
        <v>5.6576576769222306</v>
      </c>
      <c r="AD188" s="86">
        <f t="shared" si="76"/>
        <v>13.436364957784036</v>
      </c>
      <c r="AF188" s="86" t="str">
        <f t="shared" si="77"/>
        <v>-0.00764126712738334-0.401632876917749j</v>
      </c>
      <c r="AG188" s="86">
        <f t="shared" si="78"/>
        <v>-7.9218431473270847</v>
      </c>
      <c r="AH188" s="86">
        <f t="shared" si="79"/>
        <v>88.910050525693265</v>
      </c>
      <c r="AJ188" s="86" t="str">
        <f t="shared" si="80"/>
        <v>15.0499987726478-0.00429786562376458j</v>
      </c>
      <c r="AK188" s="86" t="str">
        <f t="shared" si="81"/>
        <v>30.1-1.71914638970504E-10j</v>
      </c>
      <c r="AL188" s="86" t="str">
        <f t="shared" si="95"/>
        <v>10000-117113.677323371j</v>
      </c>
      <c r="AM188" s="86" t="str">
        <f t="shared" si="96"/>
        <v>959.810728933898-36402.1450155354j</v>
      </c>
      <c r="AN188" s="86" t="str">
        <f t="shared" si="97"/>
        <v>10959.8107289339-36402.1450155354j</v>
      </c>
      <c r="AO188" s="86" t="str">
        <f t="shared" si="98"/>
        <v>30.0931136259248-0.0228099022618586j</v>
      </c>
      <c r="AP188" s="86" t="str">
        <f t="shared" si="99"/>
        <v>0.666666678748392+0.0000634605497604781j</v>
      </c>
      <c r="AQ188" s="86" t="str">
        <f t="shared" si="82"/>
        <v>1+10.6016652228563j</v>
      </c>
      <c r="AR188" s="86">
        <f t="shared" si="83"/>
        <v>-1.9116571001131234E-6</v>
      </c>
      <c r="AS188" s="86" t="str">
        <f t="shared" si="84"/>
        <v>0.0000558976745657683j</v>
      </c>
      <c r="AT188" s="86" t="str">
        <f t="shared" si="85"/>
        <v>-1.91165710011312E-06+0.0000558976745657683j</v>
      </c>
      <c r="AU188" s="86" t="str">
        <f t="shared" si="86"/>
        <v>18.8829337701814-2.43476487116835j</v>
      </c>
      <c r="AW188" s="86" t="str">
        <f t="shared" si="100"/>
        <v>12.1710452211708-3.22980789456912j</v>
      </c>
      <c r="AX188" s="86">
        <f t="shared" si="87"/>
        <v>22.00210073001778</v>
      </c>
      <c r="AY188" s="86">
        <f t="shared" si="88"/>
        <v>165.1380647687815</v>
      </c>
      <c r="AZ188" s="86" t="str">
        <f t="shared" si="89"/>
        <v>-24.1464605377287+0.600909553613122j</v>
      </c>
      <c r="BA188" s="86">
        <f t="shared" si="90"/>
        <v>27.659758406939993</v>
      </c>
      <c r="BB188" s="86">
        <f t="shared" si="91"/>
        <v>-1.4255702734344595</v>
      </c>
      <c r="BD188" s="86" t="str">
        <f t="shared" si="92"/>
        <v>-1.39019924434188-4.86361208238231j</v>
      </c>
      <c r="BE188" s="86">
        <f t="shared" si="93"/>
        <v>14.08025758269069</v>
      </c>
      <c r="BF188" s="86">
        <f t="shared" si="94"/>
        <v>74.048115294474755</v>
      </c>
      <c r="BH188" s="86">
        <f t="shared" si="101"/>
        <v>-13.08025758269069</v>
      </c>
      <c r="BI188" s="157">
        <f t="shared" si="102"/>
        <v>-74.048115294474755</v>
      </c>
      <c r="BJ188" s="88"/>
      <c r="BK188" s="88"/>
      <c r="BL188" s="88"/>
      <c r="BM188" s="88"/>
      <c r="BN188" s="42"/>
      <c r="BO188" s="42"/>
      <c r="BP188" s="42"/>
    </row>
    <row r="189" spans="1:68" s="86" customFormat="1">
      <c r="A189" s="86">
        <v>125</v>
      </c>
      <c r="B189" s="86">
        <f t="shared" si="52"/>
        <v>31622.776601683825</v>
      </c>
      <c r="C189" s="86" t="str">
        <f t="shared" si="53"/>
        <v>198691.765315922j</v>
      </c>
      <c r="D189" s="86">
        <f t="shared" si="54"/>
        <v>0.999</v>
      </c>
      <c r="E189" s="86" t="str">
        <f t="shared" si="55"/>
        <v>-0.0496729413289805j</v>
      </c>
      <c r="F189" s="86" t="str">
        <f t="shared" si="56"/>
        <v>0.999-0.0496729413289805j</v>
      </c>
      <c r="G189" s="86">
        <f t="shared" si="57"/>
        <v>2.0337638602158166E-3</v>
      </c>
      <c r="H189" s="86">
        <f t="shared" si="58"/>
        <v>-2.8465544509458782</v>
      </c>
      <c r="J189" s="86">
        <f t="shared" si="59"/>
        <v>4.8</v>
      </c>
      <c r="K189" s="86" t="str">
        <f t="shared" si="60"/>
        <v>1+8.12351282494147j</v>
      </c>
      <c r="L189" s="86">
        <f t="shared" si="61"/>
        <v>-5.4563004150166083</v>
      </c>
      <c r="M189" s="86" t="str">
        <f t="shared" si="62"/>
        <v>1.13592082231113j</v>
      </c>
      <c r="N189" s="86" t="str">
        <f t="shared" si="63"/>
        <v>-5.45630041501661+1.13592082231113j</v>
      </c>
      <c r="O189" s="86" t="str">
        <f t="shared" si="64"/>
        <v>0.121416005993822-1.46355465208507j</v>
      </c>
      <c r="P189" s="86" t="str">
        <f t="shared" si="65"/>
        <v>0.582796828770346-7.02506233000834j</v>
      </c>
      <c r="R189" s="86">
        <f t="shared" si="66"/>
        <v>11.52</v>
      </c>
      <c r="S189" s="86" t="str">
        <f t="shared" si="67"/>
        <v>1+0.0168888000518534j</v>
      </c>
      <c r="T189" s="86" t="str">
        <f t="shared" si="68"/>
        <v>-5.45630041501661+1.13592082231113j</v>
      </c>
      <c r="U189" s="86" t="str">
        <f t="shared" si="69"/>
        <v>-0.175043406329375-0.0395367251986255j</v>
      </c>
      <c r="V189" s="86" t="str">
        <f t="shared" si="70"/>
        <v>-2.0165000409144-0.455463074288166j</v>
      </c>
      <c r="X189" s="86" t="str">
        <f t="shared" si="71"/>
        <v>0.143890719417367-4.3470907054575j</v>
      </c>
      <c r="Y189" s="86">
        <f t="shared" si="72"/>
        <v>12.768729745989733</v>
      </c>
      <c r="Z189" s="86">
        <f t="shared" si="73"/>
        <v>91.89582470860698</v>
      </c>
      <c r="AB189" s="86" t="str">
        <f t="shared" si="74"/>
        <v>-1.68097702643748-0.37967912161401j</v>
      </c>
      <c r="AC189" s="86">
        <f t="shared" si="75"/>
        <v>4.7273305217580397</v>
      </c>
      <c r="AD189" s="86">
        <f t="shared" si="76"/>
        <v>12.727717588644964</v>
      </c>
      <c r="AF189" s="86" t="str">
        <f t="shared" si="77"/>
        <v>-0.0134791004917143-0.38314323793334j</v>
      </c>
      <c r="AG189" s="86">
        <f t="shared" si="78"/>
        <v>-8.3274049548871769</v>
      </c>
      <c r="AH189" s="86">
        <f t="shared" si="79"/>
        <v>87.985147281687645</v>
      </c>
      <c r="AJ189" s="86" t="str">
        <f t="shared" si="80"/>
        <v>15.0499986542351-0.0045004177549214j</v>
      </c>
      <c r="AK189" s="86" t="str">
        <f t="shared" si="81"/>
        <v>30.1-1.80016726293878E-10j</v>
      </c>
      <c r="AL189" s="86" t="str">
        <f t="shared" si="95"/>
        <v>10000-111842.693565527j</v>
      </c>
      <c r="AM189" s="86" t="str">
        <f t="shared" si="96"/>
        <v>959.490828124114-34768.9664975083j</v>
      </c>
      <c r="AN189" s="86" t="str">
        <f t="shared" si="97"/>
        <v>10959.4908281241-34768.9664975083j</v>
      </c>
      <c r="AO189" s="86" t="str">
        <f t="shared" si="98"/>
        <v>30.0925118165097-0.0236911825870353j</v>
      </c>
      <c r="AP189" s="86" t="str">
        <f t="shared" si="99"/>
        <v>0.666666679914015+0.0000664513530968297j</v>
      </c>
      <c r="AQ189" s="86" t="str">
        <f t="shared" si="82"/>
        <v>1+11.1013063117312j</v>
      </c>
      <c r="AR189" s="86">
        <f t="shared" si="83"/>
        <v>-2.1057381483906566E-6</v>
      </c>
      <c r="AS189" s="86" t="str">
        <f t="shared" si="84"/>
        <v>0.0000585320508074746j</v>
      </c>
      <c r="AT189" s="86" t="str">
        <f t="shared" si="85"/>
        <v>-2.10573814839066E-06+0.0000585320508074746j</v>
      </c>
      <c r="AU189" s="86" t="str">
        <f t="shared" si="86"/>
        <v>18.8803013937837-2.38769988356801j</v>
      </c>
      <c r="AW189" s="86" t="str">
        <f t="shared" si="100"/>
        <v>12.1443637532123-3.27060387379583j</v>
      </c>
      <c r="AX189" s="86">
        <f t="shared" si="87"/>
        <v>21.991582172754939</v>
      </c>
      <c r="AY189" s="86">
        <f t="shared" si="88"/>
        <v>164.92725596141565</v>
      </c>
      <c r="AZ189" s="86" t="str">
        <f t="shared" si="89"/>
        <v>-21.6561764758001+0.886848612047551j</v>
      </c>
      <c r="BA189" s="86">
        <f t="shared" si="90"/>
        <v>26.718912694512976</v>
      </c>
      <c r="BB189" s="86">
        <f t="shared" si="91"/>
        <v>-2.3450264499393825</v>
      </c>
      <c r="BD189" s="86" t="str">
        <f t="shared" si="92"/>
        <v>-1.41680485764094-4.60894605276257j</v>
      </c>
      <c r="BE189" s="86">
        <f t="shared" si="93"/>
        <v>13.664177217867771</v>
      </c>
      <c r="BF189" s="86">
        <f t="shared" si="94"/>
        <v>72.912403243103341</v>
      </c>
      <c r="BH189" s="86">
        <f t="shared" si="101"/>
        <v>-12.664177217867771</v>
      </c>
      <c r="BI189" s="157">
        <f t="shared" si="102"/>
        <v>-72.912403243103341</v>
      </c>
      <c r="BJ189" s="88"/>
      <c r="BK189" s="88"/>
      <c r="BL189" s="88"/>
      <c r="BM189" s="88"/>
      <c r="BN189" s="42"/>
      <c r="BO189" s="42"/>
      <c r="BP189" s="42"/>
    </row>
    <row r="190" spans="1:68" s="86" customFormat="1">
      <c r="A190" s="86">
        <v>126</v>
      </c>
      <c r="B190" s="86">
        <f t="shared" si="52"/>
        <v>33113.112148259133</v>
      </c>
      <c r="C190" s="86" t="str">
        <f t="shared" si="53"/>
        <v>208055.819724932j</v>
      </c>
      <c r="D190" s="86">
        <f t="shared" si="54"/>
        <v>0.99890352180385678</v>
      </c>
      <c r="E190" s="86" t="str">
        <f t="shared" si="55"/>
        <v>-0.052013954931233j</v>
      </c>
      <c r="F190" s="86" t="str">
        <f t="shared" si="56"/>
        <v>0.998903521803857-0.052013954931233j</v>
      </c>
      <c r="G190" s="86">
        <f t="shared" si="57"/>
        <v>2.2303865510489565E-3</v>
      </c>
      <c r="H190" s="86">
        <f t="shared" si="58"/>
        <v>-2.9807593233104615</v>
      </c>
      <c r="J190" s="86">
        <f t="shared" si="59"/>
        <v>4.8</v>
      </c>
      <c r="K190" s="86" t="str">
        <f t="shared" si="60"/>
        <v>1+8.50636218945384j</v>
      </c>
      <c r="L190" s="86">
        <f t="shared" si="61"/>
        <v>-6.0791926328159471</v>
      </c>
      <c r="M190" s="86" t="str">
        <f t="shared" si="62"/>
        <v>1.18945512136744j</v>
      </c>
      <c r="N190" s="86" t="str">
        <f t="shared" si="63"/>
        <v>-6.07919263281595+1.18945512136744j</v>
      </c>
      <c r="O190" s="86" t="str">
        <f t="shared" si="64"/>
        <v>0.10525403954576-1.3786645265737j</v>
      </c>
      <c r="P190" s="86" t="str">
        <f t="shared" si="65"/>
        <v>0.505219389819648-6.61758972755376j</v>
      </c>
      <c r="R190" s="86">
        <f t="shared" si="66"/>
        <v>11.52</v>
      </c>
      <c r="S190" s="86" t="str">
        <f t="shared" si="67"/>
        <v>1+0.0176847446766192j</v>
      </c>
      <c r="T190" s="86" t="str">
        <f t="shared" si="68"/>
        <v>-6.07919263281595+1.18945512136744j</v>
      </c>
      <c r="U190" s="86" t="str">
        <f t="shared" si="69"/>
        <v>-0.157882160822643-0.0338002925471519j</v>
      </c>
      <c r="V190" s="86" t="str">
        <f t="shared" si="70"/>
        <v>-1.81880249267685-0.38937937014319j</v>
      </c>
      <c r="X190" s="86" t="str">
        <f t="shared" si="71"/>
        <v>0.0989823493745682-4.09394213573392j</v>
      </c>
      <c r="Y190" s="86">
        <f t="shared" si="72"/>
        <v>12.245371987745424</v>
      </c>
      <c r="Z190" s="86">
        <f t="shared" si="73"/>
        <v>91.385013757197655</v>
      </c>
      <c r="AB190" s="86" t="str">
        <f t="shared" si="74"/>
        <v>-1.5161741352758-0.324591005454477j</v>
      </c>
      <c r="AC190" s="86">
        <f t="shared" si="75"/>
        <v>3.809603557055298</v>
      </c>
      <c r="AD190" s="86">
        <f t="shared" si="76"/>
        <v>12.083792706163422</v>
      </c>
      <c r="AF190" s="86" t="str">
        <f t="shared" si="77"/>
        <v>-0.0187772419282034-0.365305182203965j</v>
      </c>
      <c r="AG190" s="86">
        <f t="shared" si="78"/>
        <v>-8.7354239036622694</v>
      </c>
      <c r="AH190" s="86">
        <f t="shared" si="79"/>
        <v>87.057499449464686</v>
      </c>
      <c r="AJ190" s="86" t="str">
        <f t="shared" si="80"/>
        <v>15.0499985243981-0.00471251586867827j</v>
      </c>
      <c r="AK190" s="86" t="str">
        <f t="shared" si="81"/>
        <v>30.1-1.88500653228986E-10j</v>
      </c>
      <c r="AL190" s="86" t="str">
        <f t="shared" si="95"/>
        <v>10000-106808.943155745j</v>
      </c>
      <c r="AM190" s="86" t="str">
        <f t="shared" si="96"/>
        <v>959.14030886728-33209.5338244979j</v>
      </c>
      <c r="AN190" s="86" t="str">
        <f t="shared" si="97"/>
        <v>10959.1403088673-33209.5338244979j</v>
      </c>
      <c r="AO190" s="86" t="str">
        <f t="shared" si="98"/>
        <v>30.0918633014854-0.0245891398318728j</v>
      </c>
      <c r="AP190" s="86" t="str">
        <f t="shared" si="99"/>
        <v>0.666666681192095+0.0000695831086175026j</v>
      </c>
      <c r="AQ190" s="86" t="str">
        <f t="shared" si="82"/>
        <v>1+11.6244947596714j</v>
      </c>
      <c r="AR190" s="86">
        <f t="shared" si="83"/>
        <v>-2.318543786111609E-6</v>
      </c>
      <c r="AS190" s="86" t="str">
        <f t="shared" si="84"/>
        <v>0.0000612905813764725j</v>
      </c>
      <c r="AT190" s="86" t="str">
        <f t="shared" si="85"/>
        <v>-2.31854378611161E-06+0.0000612905813764725j</v>
      </c>
      <c r="AU190" s="86" t="str">
        <f t="shared" si="86"/>
        <v>18.8774666974259-2.34568231986185j</v>
      </c>
      <c r="AW190" s="86" t="str">
        <f t="shared" si="100"/>
        <v>12.1152366980901-3.31765894370189j</v>
      </c>
      <c r="AX190" s="86">
        <f t="shared" si="87"/>
        <v>21.980679742402739</v>
      </c>
      <c r="AY190" s="86">
        <f t="shared" si="88"/>
        <v>164.68545817613122</v>
      </c>
      <c r="AZ190" s="86" t="str">
        <f t="shared" si="89"/>
        <v>-19.4456907766796+1.0976518189552j</v>
      </c>
      <c r="BA190" s="86">
        <f t="shared" si="90"/>
        <v>25.790283299458025</v>
      </c>
      <c r="BB190" s="86">
        <f t="shared" si="91"/>
        <v>-3.2307491177053578</v>
      </c>
      <c r="BD190" s="86" t="str">
        <f t="shared" si="92"/>
        <v>-1.43944873541712-4.3634622648188j</v>
      </c>
      <c r="BE190" s="86">
        <f t="shared" si="93"/>
        <v>13.245255838740455</v>
      </c>
      <c r="BF190" s="86">
        <f t="shared" si="94"/>
        <v>71.742957625595849</v>
      </c>
      <c r="BH190" s="86">
        <f t="shared" si="101"/>
        <v>-12.245255838740455</v>
      </c>
      <c r="BI190" s="157">
        <f t="shared" si="102"/>
        <v>-71.742957625595849</v>
      </c>
      <c r="BJ190" s="88"/>
      <c r="BK190" s="88"/>
      <c r="BL190" s="88"/>
      <c r="BM190" s="88"/>
      <c r="BN190" s="42"/>
      <c r="BO190" s="42"/>
      <c r="BP190" s="42"/>
    </row>
    <row r="191" spans="1:68" s="86" customFormat="1">
      <c r="A191" s="86">
        <v>127</v>
      </c>
      <c r="B191" s="86">
        <f t="shared" si="52"/>
        <v>34673.68504525318</v>
      </c>
      <c r="C191" s="86" t="str">
        <f t="shared" si="53"/>
        <v>217861.188422107j</v>
      </c>
      <c r="D191" s="86">
        <f t="shared" si="54"/>
        <v>0.99879773556538254</v>
      </c>
      <c r="E191" s="86" t="str">
        <f t="shared" si="55"/>
        <v>-0.0544652971055267j</v>
      </c>
      <c r="F191" s="86" t="str">
        <f t="shared" si="56"/>
        <v>0.998797735565383-0.0544652971055267j</v>
      </c>
      <c r="G191" s="86">
        <f t="shared" si="57"/>
        <v>2.446061686087794E-3</v>
      </c>
      <c r="H191" s="86">
        <f t="shared" si="58"/>
        <v>-3.1212965999256097</v>
      </c>
      <c r="J191" s="86">
        <f t="shared" si="59"/>
        <v>4.8</v>
      </c>
      <c r="K191" s="86" t="str">
        <f t="shared" si="60"/>
        <v>1+8.90725468863784j</v>
      </c>
      <c r="L191" s="86">
        <f t="shared" si="61"/>
        <v>-6.7621803681801005</v>
      </c>
      <c r="M191" s="86" t="str">
        <f t="shared" si="62"/>
        <v>1.24551241420919j</v>
      </c>
      <c r="N191" s="86" t="str">
        <f t="shared" si="63"/>
        <v>-6.7621803681801+1.24551241420919j</v>
      </c>
      <c r="O191" s="86" t="str">
        <f t="shared" si="64"/>
        <v>0.0916257179327804-1.30034001471898j</v>
      </c>
      <c r="P191" s="86" t="str">
        <f t="shared" si="65"/>
        <v>0.439803446077346-6.2416320706511j</v>
      </c>
      <c r="R191" s="86">
        <f t="shared" si="66"/>
        <v>11.52</v>
      </c>
      <c r="S191" s="86" t="str">
        <f t="shared" si="67"/>
        <v>1+0.0185182010158791j</v>
      </c>
      <c r="T191" s="86" t="str">
        <f t="shared" si="68"/>
        <v>-6.7621803681801+1.24551241420919j</v>
      </c>
      <c r="U191" s="86" t="str">
        <f t="shared" si="69"/>
        <v>-0.142541158911774-0.0289928652153096j</v>
      </c>
      <c r="V191" s="86" t="str">
        <f t="shared" si="70"/>
        <v>-1.64207415066364-0.333997807280367j</v>
      </c>
      <c r="X191" s="86" t="str">
        <f t="shared" si="71"/>
        <v>0.0612691999454291-3.86043738144411j</v>
      </c>
      <c r="Y191" s="86">
        <f t="shared" si="72"/>
        <v>11.733824054527908</v>
      </c>
      <c r="Z191" s="86">
        <f t="shared" si="73"/>
        <v>90.909267919131452</v>
      </c>
      <c r="AB191" s="86" t="str">
        <f t="shared" si="74"/>
        <v>-1.36885140935615-0.278424314171696j</v>
      </c>
      <c r="AC191" s="86">
        <f t="shared" si="75"/>
        <v>2.9031832001084363</v>
      </c>
      <c r="AD191" s="86">
        <f t="shared" si="76"/>
        <v>11.497120027623566</v>
      </c>
      <c r="AF191" s="86" t="str">
        <f t="shared" si="77"/>
        <v>-0.0235743880509819-0.348103726243419j</v>
      </c>
      <c r="AG191" s="86">
        <f t="shared" si="78"/>
        <v>-9.1459539965660763</v>
      </c>
      <c r="AH191" s="86">
        <f t="shared" si="79"/>
        <v>86.125713194009393</v>
      </c>
      <c r="AJ191" s="86" t="str">
        <f t="shared" si="80"/>
        <v>15.0499983820347-0.00493460985255762j</v>
      </c>
      <c r="AK191" s="86" t="str">
        <f t="shared" si="81"/>
        <v>30.1-1.97384415322313E-10j</v>
      </c>
      <c r="AL191" s="86" t="str">
        <f t="shared" si="95"/>
        <v>10000-102001.748834522j</v>
      </c>
      <c r="AM191" s="86" t="str">
        <f t="shared" si="96"/>
        <v>958.756266383232-31720.5386733487j</v>
      </c>
      <c r="AN191" s="86" t="str">
        <f t="shared" si="97"/>
        <v>10958.7562663832-31720.5386733487j</v>
      </c>
      <c r="AO191" s="86" t="str">
        <f t="shared" si="98"/>
        <v>30.0911655038498-0.025501742142863j</v>
      </c>
      <c r="AP191" s="86" t="str">
        <f t="shared" si="99"/>
        <v>0.666666682593482+0.0000728624591891879j</v>
      </c>
      <c r="AQ191" s="86" t="str">
        <f t="shared" si="82"/>
        <v>1+12.17234031952j</v>
      </c>
      <c r="AR191" s="86">
        <f t="shared" si="83"/>
        <v>-2.5518805278889482E-6</v>
      </c>
      <c r="AS191" s="86" t="str">
        <f t="shared" si="84"/>
        <v>0.0000641791174859409j</v>
      </c>
      <c r="AT191" s="86" t="str">
        <f t="shared" si="85"/>
        <v>-2.55188052788895E-06+0.0000641791174859409j</v>
      </c>
      <c r="AU191" s="86" t="str">
        <f t="shared" si="86"/>
        <v>18.8744058131196-2.30862053692825j</v>
      </c>
      <c r="AW191" s="86" t="str">
        <f t="shared" si="100"/>
        <v>12.0834436859159-3.37097634933241j</v>
      </c>
      <c r="AX191" s="86">
        <f t="shared" si="87"/>
        <v>21.969304801067622</v>
      </c>
      <c r="AY191" s="86">
        <f t="shared" si="88"/>
        <v>164.4122369932042</v>
      </c>
      <c r="AZ191" s="86" t="str">
        <f t="shared" si="89"/>
        <v>-17.4790006974936+1.25004120560648j</v>
      </c>
      <c r="BA191" s="86">
        <f t="shared" si="90"/>
        <v>24.872488001176091</v>
      </c>
      <c r="BB191" s="86">
        <f t="shared" si="91"/>
        <v>-4.0906429791722587</v>
      </c>
      <c r="BD191" s="86" t="str">
        <f t="shared" si="92"/>
        <v>-1.45830921872502-4.12682306835001j</v>
      </c>
      <c r="BE191" s="86">
        <f t="shared" si="93"/>
        <v>12.82335080450158</v>
      </c>
      <c r="BF191" s="86">
        <f t="shared" si="94"/>
        <v>70.537950187213639</v>
      </c>
      <c r="BH191" s="86">
        <f t="shared" si="101"/>
        <v>-11.82335080450158</v>
      </c>
      <c r="BI191" s="157">
        <f t="shared" si="102"/>
        <v>-70.537950187213639</v>
      </c>
      <c r="BJ191" s="88"/>
      <c r="BK191" s="88"/>
      <c r="BL191" s="88"/>
      <c r="BM191" s="88"/>
      <c r="BN191" s="42"/>
      <c r="BO191" s="42"/>
      <c r="BP191" s="42"/>
    </row>
    <row r="192" spans="1:68" s="86" customFormat="1">
      <c r="A192" s="86">
        <v>128</v>
      </c>
      <c r="B192" s="86">
        <f t="shared" ref="B192:B255" si="103">Fstart*10^(Step*A192)</f>
        <v>36307.805477010152</v>
      </c>
      <c r="C192" s="86" t="str">
        <f t="shared" ref="C192:C255" si="104">COMPLEX(0,2*PI()*B192,"j")</f>
        <v>228128.669909085j</v>
      </c>
      <c r="D192" s="86">
        <f t="shared" ref="D192:D255" si="105">(IMPRODUCT(C192,C192))/wn^2 + 1</f>
        <v>0.99868174326144354</v>
      </c>
      <c r="E192" s="86" t="str">
        <f t="shared" ref="E192:E255" si="106">IMDIV(C192,wn*Qn)</f>
        <v>-0.0570321674772713j</v>
      </c>
      <c r="F192" s="86" t="str">
        <f t="shared" ref="F192:F255" si="107">IMSUM(D192,E192)</f>
        <v>0.998681743261444-0.0570321674772713j</v>
      </c>
      <c r="G192" s="86">
        <f t="shared" ref="G192:G255" si="108">20*LOG(IMABS(F192),10)</f>
        <v>2.6826441107863372E-3</v>
      </c>
      <c r="H192" s="86">
        <f t="shared" ref="H192:H255" si="109">(IMARGUMENT(F192)*(180/PI()))</f>
        <v>-3.268465828121506</v>
      </c>
      <c r="J192" s="86">
        <f t="shared" ref="J192:J255" si="110">Vin/(Rout+DCR/1000)</f>
        <v>4.8</v>
      </c>
      <c r="K192" s="86" t="str">
        <f t="shared" ref="K192:K255" si="111">IMSUM(1,IMPRODUCT(C192,ncap*(Cap*10^-6)*(Rout+(ESR/(ncap*1000)))))</f>
        <v>1+9.32704066923294j</v>
      </c>
      <c r="L192" s="86">
        <f t="shared" ref="L192:L255" si="112">(IMPRODUCT(C192,C192))/Gdo^2 + 1</f>
        <v>-7.5110615282402158</v>
      </c>
      <c r="M192" s="86" t="str">
        <f t="shared" ref="M192:M255" si="113">IMDIV(C192,Q*Gdo)</f>
        <v>1.30421160587024j</v>
      </c>
      <c r="N192" s="86" t="str">
        <f t="shared" ref="N192:N255" si="114">IMSUM(L192,M192)</f>
        <v>-7.51106152824022+1.30421160587024j</v>
      </c>
      <c r="O192" s="86" t="str">
        <f t="shared" ref="O192:O255" si="115">IMDIV(K192,N192)</f>
        <v>0.0800690349566308-1.22787087682564j</v>
      </c>
      <c r="P192" s="86" t="str">
        <f t="shared" ref="P192:P255" si="116">IMPRODUCT(J192,O192)</f>
        <v>0.384331367791828-5.89378020876307j</v>
      </c>
      <c r="R192" s="86">
        <f t="shared" ref="R192:R255" si="117">Vin/(1+((DCR*10^-3)/Rout))</f>
        <v>11.52</v>
      </c>
      <c r="S192" s="86" t="str">
        <f t="shared" ref="S192:S255" si="118">IMSUM(1,IMPRODUCT(C192,ncap*(Cap*10^-6)*(ESR/(ncap*1000))))</f>
        <v>1+0.0193909369422722j</v>
      </c>
      <c r="T192" s="86" t="str">
        <f t="shared" ref="T192:T255" si="119">IMSUM(L192,M192)</f>
        <v>-7.51106152824022+1.30421160587024j</v>
      </c>
      <c r="U192" s="86" t="str">
        <f t="shared" ref="U192:U255" si="120">IMDIV(S192,T192)</f>
        <v>-0.12880516791626-0.0249472236554326j</v>
      </c>
      <c r="V192" s="86" t="str">
        <f t="shared" ref="V192:V255" si="121">IMPRODUCT(R192,U192)</f>
        <v>-1.48383553439532-0.287392016510584j</v>
      </c>
      <c r="X192" s="86" t="str">
        <f t="shared" ref="X192:X255" si="122">IMPRODUCT(Fm,Dmax,P192,F192)</f>
        <v>0.0294184300788902-3.644438278363j</v>
      </c>
      <c r="Y192" s="86">
        <f t="shared" ref="Y192:Y255" si="123">20*LOG(IMABS(X192),10)</f>
        <v>11.232894964590736</v>
      </c>
      <c r="Z192" s="86">
        <f t="shared" ref="Z192:Z255" si="124">IF((IMARGUMENT(X192)*(180/PI()))&lt;0,(IMARGUMENT(X192)*(180/PI()))+180,(IMARGUMENT(X192)*(180/PI()))-180)</f>
        <v>90.462489729885007</v>
      </c>
      <c r="AB192" s="86" t="str">
        <f t="shared" ref="AB192:AB255" si="125">IMPRODUCT(Fm,V192)</f>
        <v>-1.23694192597142-0.239573204827096j</v>
      </c>
      <c r="AC192" s="86">
        <f t="shared" ref="AC192:AC255" si="126">20*LOG(IMABS(AB192),10)</f>
        <v>2.0069202518017888</v>
      </c>
      <c r="AD192" s="86">
        <f t="shared" ref="AD192:AD255" si="127">IF((IMARGUMENT(AB192)*(180/PI()))&lt;0,(IMARGUMENT(AB192)*(180/PI()))+180,(IMARGUMENT(AB192)*(180/PI()))-180)</f>
        <v>10.961433395868596</v>
      </c>
      <c r="AF192" s="86" t="str">
        <f t="shared" ref="AF192:AF255" si="128">IMDIV(AB192,IMSUM(1,X192))</f>
        <v>-0.0279062409857869-0.331522894586963j</v>
      </c>
      <c r="AG192" s="86">
        <f t="shared" ref="AG192:AG255" si="129">20*LOG(IMABS(AF192),10)</f>
        <v>-9.559065695803822</v>
      </c>
      <c r="AH192" s="86">
        <f t="shared" ref="AH192:AH255" si="130">IF((IMARGUMENT(AF192)*(180/PI()))&lt;0,(IMARGUMENT(AF192)*(180/PI()))+180,(IMARGUMENT(AF192)*(180/PI()))-180)</f>
        <v>85.188418575331482</v>
      </c>
      <c r="AJ192" s="86" t="str">
        <f t="shared" ref="AJ192:AJ255" si="131">IMDIV(_Rfb1,IMSUM(1,IMPRODUCT(C192,_Cfb1*_Rfb1)))</f>
        <v>15.0499982259364-0.00516717079651252j</v>
      </c>
      <c r="AK192" s="86" t="str">
        <f t="shared" ref="AK192:AK255" si="132">IMDIV(_Rfb2,IMSUM(1,IMPRODUCT(C192,_Cfb2*_Rfb2)))</f>
        <v>30.1-2.0668685622433E-10j</v>
      </c>
      <c r="AL192" s="86" t="str">
        <f t="shared" si="95"/>
        <v>10000-97410.9138981891j</v>
      </c>
      <c r="AM192" s="86" t="str">
        <f t="shared" si="96"/>
        <v>958.335525499508-30298.8220469838j</v>
      </c>
      <c r="AN192" s="86" t="str">
        <f t="shared" si="97"/>
        <v>10958.3355254995-30298.8220469838j</v>
      </c>
      <c r="AO192" s="86" t="str">
        <f t="shared" si="98"/>
        <v>30.0904158891896-0.0264266254744387j</v>
      </c>
      <c r="AP192" s="86" t="str">
        <f t="shared" si="99"/>
        <v>0.666666684130072+0.0000762963607464835j</v>
      </c>
      <c r="AQ192" s="86" t="str">
        <f t="shared" ref="AQ192:AQ255" si="133">IMSUM(1,IMPRODUCT(C192,_res1*_Cap1))</f>
        <v>1+12.7460050451604j</v>
      </c>
      <c r="AR192" s="86">
        <f t="shared" ref="AR192:AR255" si="134">(IMPRODUCT(C192,C192))*_res1*_Cap1*_cap2 + (1/Roerr)</f>
        <v>-2.8077291776069301E-6</v>
      </c>
      <c r="AS192" s="86" t="str">
        <f t="shared" ref="AS192:AS255" si="135">IMPRODUCT(C192,(_Cap1+_cap2+(_Cap1*_res1/Roerr)))</f>
        <v>0.0000672037861082416j</v>
      </c>
      <c r="AT192" s="86" t="str">
        <f t="shared" ref="AT192:AT255" si="136">IMSUM(AR192,AS192)</f>
        <v>-2.80772917760693E-06+0.0000672037861082416j</v>
      </c>
      <c r="AU192" s="86" t="str">
        <f t="shared" ref="AU192:AU255" si="137">IMPRODUCT(EA_BW,IMDIV(AQ192,AT192))</f>
        <v>18.8710929922232-2.27643302954976j</v>
      </c>
      <c r="AW192" s="86" t="str">
        <f t="shared" si="100"/>
        <v>12.0487469287204-3.4305592891129j</v>
      </c>
      <c r="AX192" s="86">
        <f t="shared" ref="AX192:AX255" si="138">20*LOG(IMABS(AW192),10)</f>
        <v>21.957365250798876</v>
      </c>
      <c r="AY192" s="86">
        <f t="shared" ref="AY192:AY255" si="139">IF((IMARGUMENT(AW192)*(180/PI()))&lt;0,(IMARGUMENT(AW192)*(180/PI()))+180,(IMARGUMENT(AW192)*(180/PI()))-180)</f>
        <v>164.1071105667024</v>
      </c>
      <c r="AZ192" s="86" t="str">
        <f t="shared" ref="AZ192:AZ255" si="140">IMPRODUCT(AW192,Fm,V192)</f>
        <v>-15.7254703147958+1.3568456983703j</v>
      </c>
      <c r="BA192" s="86">
        <f t="shared" ref="BA192:BA255" si="141">20*LOG(IMABS(AZ192),10)</f>
        <v>23.964285502600671</v>
      </c>
      <c r="BB192" s="86">
        <f t="shared" ref="BB192:BB255" si="142">IF((IMARGUMENT(AZ192)*(180/PI()))&lt;0,(IMARGUMENT(AZ192)*(180/PI()))+180,(IMARGUMENT(AZ192)*(180/PI()))-180)</f>
        <v>-4.9314560374290863</v>
      </c>
      <c r="BD192" s="86" t="str">
        <f t="shared" ref="BD192:BD255" si="143">IMDIV(AZ192,IMSUM(1,X192))</f>
        <v>-1.47354418094854-3.89870144371715j</v>
      </c>
      <c r="BE192" s="86">
        <f t="shared" ref="BE192:BE255" si="144">20*LOG(IMABS(BD192),10)</f>
        <v>12.398299554995049</v>
      </c>
      <c r="BF192" s="86">
        <f t="shared" ref="BF192:BF255" si="145">IF((IMARGUMENT(BD192)*(180/PI()))&lt;0,(IMARGUMENT(BD192)*(180/PI()))+180,(IMARGUMENT(BD192)*(180/PI()))-180)</f>
        <v>69.295529142033786</v>
      </c>
      <c r="BH192" s="86">
        <f t="shared" si="101"/>
        <v>-11.398299554995049</v>
      </c>
      <c r="BI192" s="157">
        <f t="shared" si="102"/>
        <v>-69.295529142033786</v>
      </c>
      <c r="BJ192" s="88"/>
      <c r="BK192" s="88"/>
      <c r="BL192" s="88"/>
      <c r="BM192" s="88"/>
      <c r="BN192" s="42"/>
      <c r="BO192" s="42"/>
      <c r="BP192" s="42"/>
    </row>
    <row r="193" spans="1:68" s="86" customFormat="1">
      <c r="A193" s="86">
        <v>129</v>
      </c>
      <c r="B193" s="86">
        <f t="shared" si="103"/>
        <v>38018.939632056165</v>
      </c>
      <c r="C193" s="86" t="str">
        <f t="shared" si="104"/>
        <v>238880.042890683j</v>
      </c>
      <c r="D193" s="86">
        <f t="shared" si="105"/>
        <v>0.99855456022925404</v>
      </c>
      <c r="E193" s="86" t="str">
        <f t="shared" si="106"/>
        <v>-0.0597200107226707j</v>
      </c>
      <c r="F193" s="86" t="str">
        <f t="shared" si="107"/>
        <v>0.998554560229254-0.0597200107226707j</v>
      </c>
      <c r="G193" s="86">
        <f t="shared" si="108"/>
        <v>2.9421709956513721E-3</v>
      </c>
      <c r="H193" s="86">
        <f t="shared" si="109"/>
        <v>-3.42258083583781</v>
      </c>
      <c r="J193" s="86">
        <f t="shared" si="110"/>
        <v>4.8</v>
      </c>
      <c r="K193" s="86" t="str">
        <f t="shared" si="111"/>
        <v>1+9.76661055358557j</v>
      </c>
      <c r="L193" s="86">
        <f t="shared" si="112"/>
        <v>-8.3321933917484685</v>
      </c>
      <c r="M193" s="86" t="str">
        <f t="shared" si="113"/>
        <v>1.36567720520603j</v>
      </c>
      <c r="N193" s="86" t="str">
        <f t="shared" si="114"/>
        <v>-8.33219339174847+1.36567720520603j</v>
      </c>
      <c r="O193" s="86" t="str">
        <f t="shared" si="115"/>
        <v>0.0702175260744346-1.16064469751708j</v>
      </c>
      <c r="P193" s="86" t="str">
        <f t="shared" si="116"/>
        <v>0.337044125157286-5.57109454808198j</v>
      </c>
      <c r="R193" s="86">
        <f t="shared" si="117"/>
        <v>11.52</v>
      </c>
      <c r="S193" s="86" t="str">
        <f t="shared" si="118"/>
        <v>1+0.0203048036457081j</v>
      </c>
      <c r="T193" s="86" t="str">
        <f t="shared" si="119"/>
        <v>-8.33219339174847+1.36567720520603j</v>
      </c>
      <c r="U193" s="86" t="str">
        <f t="shared" si="120"/>
        <v>-0.116487626601955-0.0215296611048661j</v>
      </c>
      <c r="V193" s="86" t="str">
        <f t="shared" si="121"/>
        <v>-1.34193745845452-0.248021695928057j</v>
      </c>
      <c r="X193" s="86" t="str">
        <f t="shared" si="122"/>
        <v>0.00237565046607724-3.4441029572072j</v>
      </c>
      <c r="Y193" s="86">
        <f t="shared" si="123"/>
        <v>10.741524579781498</v>
      </c>
      <c r="Z193" s="86">
        <f t="shared" si="124"/>
        <v>90.039521096032402</v>
      </c>
      <c r="AB193" s="86" t="str">
        <f t="shared" si="125"/>
        <v>-1.11865410007879-0.206753664494879j</v>
      </c>
      <c r="AC193" s="86">
        <f t="shared" si="126"/>
        <v>1.1197927194606674</v>
      </c>
      <c r="AD193" s="86">
        <f t="shared" si="127"/>
        <v>10.47144465908454</v>
      </c>
      <c r="AF193" s="86" t="str">
        <f t="shared" si="128"/>
        <v>-0.0318056562216876-0.315545992160563j</v>
      </c>
      <c r="AG193" s="86">
        <f t="shared" si="129"/>
        <v>-9.9748459947899075</v>
      </c>
      <c r="AH193" s="86">
        <f t="shared" si="130"/>
        <v>84.244275688101311</v>
      </c>
      <c r="AJ193" s="86" t="str">
        <f t="shared" si="131"/>
        <v>15.049998054778-0.00541069199214923j</v>
      </c>
      <c r="AK193" s="86" t="str">
        <f t="shared" si="132"/>
        <v>30.1-2.16427707659388E-10j</v>
      </c>
      <c r="AL193" s="86" t="str">
        <f t="shared" ref="AL193:AL256" si="146">IMDIV(IMSUM(1,IMPRODUCT(C193,10000,0.000000000045)),IMPRODUCT(C193,0.000000000045))</f>
        <v>10000-93026.7005703431j</v>
      </c>
      <c r="AM193" s="86" t="str">
        <f t="shared" ref="AM193:AM256" si="147">IMDIV(AL193,IMSUM(1,IMPRODUCT(C193,AL193,0.0000000001)))</f>
        <v>957.874616525515-28941.3675620138j</v>
      </c>
      <c r="AN193" s="86" t="str">
        <f t="shared" ref="AN193:AN256" si="148">IMSUM(10000,AM193)</f>
        <v>10957.8746165255-28941.3675620138j</v>
      </c>
      <c r="AO193" s="86" t="str">
        <f t="shared" ref="AO193:AO256" si="149">IMDIV(IMPRODUCT(AN193,AK193),IMSUM(AN193,AK193))</f>
        <v>30.0896120039856-0.0273610764261233j</v>
      </c>
      <c r="AP193" s="86" t="str">
        <f t="shared" ref="AP193:AP256" si="150">IMDIV(AK193,IMSUM(AJ193,AK193))</f>
        <v>0.666666685814909+0.000079892097046217j</v>
      </c>
      <c r="AQ193" s="86" t="str">
        <f t="shared" si="133"/>
        <v>1+13.3467057563882j</v>
      </c>
      <c r="AR193" s="86">
        <f t="shared" si="134"/>
        <v>-3.0882616435353452E-6</v>
      </c>
      <c r="AS193" s="86" t="str">
        <f t="shared" si="135"/>
        <v>0.0000703710029710462j</v>
      </c>
      <c r="AT193" s="86" t="str">
        <f t="shared" si="136"/>
        <v>-3.08826164353535E-06+0.0000703710029710462j</v>
      </c>
      <c r="AU193" s="86" t="str">
        <f t="shared" si="137"/>
        <v>18.8675003948029-2.24904820304716j</v>
      </c>
      <c r="AW193" s="86" t="str">
        <f t="shared" ref="AW193:AW256" si="151">IMDIV(IMPRODUCT(AP193,AU193),IMPRODUCT(IMSUM(1,IMPRODUCT(C193,1/1500000)),IMSUM(1,IMPRODUCT(C193,1/35000000))))</f>
        <v>12.0108901872177-3.4964091877722j</v>
      </c>
      <c r="AX193" s="86">
        <f t="shared" si="138"/>
        <v>21.944764894506594</v>
      </c>
      <c r="AY193" s="86">
        <f t="shared" si="139"/>
        <v>163.76955024785335</v>
      </c>
      <c r="AZ193" s="86" t="str">
        <f t="shared" si="140"/>
        <v>-14.1589269656727+1.42797691340169j</v>
      </c>
      <c r="BA193" s="86">
        <f t="shared" si="141"/>
        <v>23.064557613967288</v>
      </c>
      <c r="BB193" s="86">
        <f t="shared" si="142"/>
        <v>-5.759005093062143</v>
      </c>
      <c r="BD193" s="86" t="str">
        <f t="shared" si="143"/>
        <v>-1.48529215036598-3.67878267222056j</v>
      </c>
      <c r="BE193" s="86">
        <f t="shared" si="144"/>
        <v>11.969918899716721</v>
      </c>
      <c r="BF193" s="86">
        <f t="shared" si="145"/>
        <v>68.013825935954642</v>
      </c>
      <c r="BH193" s="86">
        <f t="shared" ref="BH193:BH256" si="152">1-BE193</f>
        <v>-10.969918899716721</v>
      </c>
      <c r="BI193" s="157">
        <f t="shared" ref="BI193:BI256" si="153">+-1*BF193</f>
        <v>-68.013825935954642</v>
      </c>
      <c r="BJ193" s="88"/>
      <c r="BK193" s="88"/>
      <c r="BL193" s="88"/>
      <c r="BM193" s="88"/>
      <c r="BN193" s="42"/>
      <c r="BO193" s="42"/>
      <c r="BP193" s="42"/>
    </row>
    <row r="194" spans="1:68" s="86" customFormat="1">
      <c r="A194" s="86">
        <v>130</v>
      </c>
      <c r="B194" s="86">
        <f t="shared" si="103"/>
        <v>39810.717055349764</v>
      </c>
      <c r="C194" s="86" t="str">
        <f t="shared" si="104"/>
        <v>250138.112470457j</v>
      </c>
      <c r="D194" s="86">
        <f t="shared" si="105"/>
        <v>0.99841510680753887</v>
      </c>
      <c r="E194" s="86" t="str">
        <f t="shared" si="106"/>
        <v>-0.0625345281176143j</v>
      </c>
      <c r="F194" s="86" t="str">
        <f t="shared" si="107"/>
        <v>0.998415106807539-0.0625345281176143j</v>
      </c>
      <c r="G194" s="86">
        <f t="shared" si="108"/>
        <v>3.2268801072653664E-3</v>
      </c>
      <c r="H194" s="86">
        <f t="shared" si="109"/>
        <v>-3.5839704285639669</v>
      </c>
      <c r="J194" s="86">
        <f t="shared" si="110"/>
        <v>4.8</v>
      </c>
      <c r="K194" s="86" t="str">
        <f t="shared" si="111"/>
        <v>1+10.2268967283546j</v>
      </c>
      <c r="L194" s="86">
        <f t="shared" si="112"/>
        <v>-9.2325465762436814</v>
      </c>
      <c r="M194" s="86" t="str">
        <f t="shared" si="113"/>
        <v>1.4300395889936j</v>
      </c>
      <c r="N194" s="86" t="str">
        <f t="shared" si="114"/>
        <v>-9.23254657624368+1.4300395889936j</v>
      </c>
      <c r="O194" s="86" t="str">
        <f t="shared" si="115"/>
        <v>0.0617783693956167-1.09813160763932j</v>
      </c>
      <c r="P194" s="86" t="str">
        <f t="shared" si="116"/>
        <v>0.29653617309896-5.27103171666874j</v>
      </c>
      <c r="R194" s="86">
        <f t="shared" si="117"/>
        <v>11.52</v>
      </c>
      <c r="S194" s="86" t="str">
        <f t="shared" si="118"/>
        <v>1+0.0212617395599888j</v>
      </c>
      <c r="T194" s="86" t="str">
        <f t="shared" si="119"/>
        <v>-9.23254657624368+1.4300395889936j</v>
      </c>
      <c r="U194" s="86" t="str">
        <f t="shared" si="120"/>
        <v>-0.105426463637524-0.0186325359822048j</v>
      </c>
      <c r="V194" s="86" t="str">
        <f t="shared" si="121"/>
        <v>-1.21451286110428-0.214646814514999j</v>
      </c>
      <c r="X194" s="86" t="str">
        <f t="shared" si="122"/>
        <v>-0.0206993262394892-3.25783917021369j</v>
      </c>
      <c r="Y194" s="86">
        <f t="shared" si="123"/>
        <v>10.258768132491378</v>
      </c>
      <c r="Z194" s="86">
        <f t="shared" si="124"/>
        <v>89.63596481854249</v>
      </c>
      <c r="AB194" s="86" t="str">
        <f t="shared" si="125"/>
        <v>-1.01243152809627-0.178931989425641j</v>
      </c>
      <c r="AC194" s="86">
        <f t="shared" si="126"/>
        <v>0.24089061969048223</v>
      </c>
      <c r="AD194" s="86">
        <f t="shared" si="127"/>
        <v>10.022665967560869</v>
      </c>
      <c r="AF194" s="86" t="str">
        <f t="shared" si="128"/>
        <v>-0.0353027966606922-0.300155847004775j</v>
      </c>
      <c r="AG194" s="86">
        <f t="shared" si="129"/>
        <v>-10.393398488461962</v>
      </c>
      <c r="AH194" s="86">
        <f t="shared" si="130"/>
        <v>83.291981224948088</v>
      </c>
      <c r="AJ194" s="86" t="str">
        <f t="shared" si="131"/>
        <v>15.0499978671065-0.00566568997903944j</v>
      </c>
      <c r="AK194" s="86" t="str">
        <f t="shared" si="132"/>
        <v>30.1-2.26627631279359E-10j</v>
      </c>
      <c r="AL194" s="86" t="str">
        <f t="shared" si="146"/>
        <v>10000-88839.8093467134j</v>
      </c>
      <c r="AM194" s="86" t="str">
        <f t="shared" si="147"/>
        <v>957.369749185662-27645.2950371862j</v>
      </c>
      <c r="AN194" s="86" t="str">
        <f t="shared" si="148"/>
        <v>10957.3697491857-27645.2950371862j</v>
      </c>
      <c r="AO194" s="86" t="str">
        <f t="shared" si="149"/>
        <v>30.088751519074-0.0283020188901745j</v>
      </c>
      <c r="AP194" s="86" t="str">
        <f t="shared" si="150"/>
        <v>0.666666687662297+0.0000836572951171042j</v>
      </c>
      <c r="AQ194" s="86" t="str">
        <f t="shared" si="133"/>
        <v>1+13.9757166199494j</v>
      </c>
      <c r="AR194" s="86">
        <f t="shared" si="134"/>
        <v>-3.3958593757361319E-6</v>
      </c>
      <c r="AS194" s="86" t="str">
        <f t="shared" si="135"/>
        <v>0.000073687486165957j</v>
      </c>
      <c r="AT194" s="86" t="str">
        <f t="shared" si="136"/>
        <v>-3.39585937573613E-06+0.000073687486165957j</v>
      </c>
      <c r="AU194" s="86" t="str">
        <f t="shared" si="137"/>
        <v>18.8635978628317-2.22640415895211j</v>
      </c>
      <c r="AW194" s="86" t="str">
        <f t="shared" si="151"/>
        <v>11.9695977594083-3.56852376634042j</v>
      </c>
      <c r="AX194" s="86">
        <f t="shared" si="138"/>
        <v>21.931402783097731</v>
      </c>
      <c r="AY194" s="86">
        <f t="shared" si="139"/>
        <v>163.39898144488751</v>
      </c>
      <c r="AZ194" s="86" t="str">
        <f t="shared" si="140"/>
        <v>-12.7569212070794+1.47114203008825j</v>
      </c>
      <c r="BA194" s="86">
        <f t="shared" si="141"/>
        <v>22.172293402788206</v>
      </c>
      <c r="BB194" s="86">
        <f t="shared" si="142"/>
        <v>-6.5783525875515352</v>
      </c>
      <c r="BD194" s="86" t="str">
        <f t="shared" si="143"/>
        <v>-1.49367354945324-3.46676588487969j</v>
      </c>
      <c r="BE194" s="86">
        <f t="shared" si="144"/>
        <v>11.53800429463576</v>
      </c>
      <c r="BF194" s="86">
        <f t="shared" si="145"/>
        <v>66.690962669835685</v>
      </c>
      <c r="BH194" s="86">
        <f t="shared" si="152"/>
        <v>-10.53800429463576</v>
      </c>
      <c r="BI194" s="157">
        <f t="shared" si="153"/>
        <v>-66.690962669835685</v>
      </c>
      <c r="BJ194" s="88"/>
      <c r="BK194" s="88"/>
      <c r="BL194" s="88"/>
      <c r="BM194" s="88"/>
      <c r="BN194" s="42"/>
      <c r="BO194" s="42"/>
      <c r="BP194" s="42"/>
    </row>
    <row r="195" spans="1:68" s="86" customFormat="1">
      <c r="A195" s="86">
        <v>131</v>
      </c>
      <c r="B195" s="86">
        <f t="shared" si="103"/>
        <v>41686.938347033574</v>
      </c>
      <c r="C195" s="86" t="str">
        <f t="shared" si="104"/>
        <v>261926.758523383j</v>
      </c>
      <c r="D195" s="86">
        <f t="shared" si="105"/>
        <v>0.99826219917125059</v>
      </c>
      <c r="E195" s="86" t="str">
        <f t="shared" si="106"/>
        <v>-0.0654816896308457j</v>
      </c>
      <c r="F195" s="86" t="str">
        <f t="shared" si="107"/>
        <v>0.998262199171251-0.0654816896308457j</v>
      </c>
      <c r="G195" s="86">
        <f t="shared" si="108"/>
        <v>3.5392299792365556E-3</v>
      </c>
      <c r="H195" s="86">
        <f t="shared" si="109"/>
        <v>-3.7529791225932927</v>
      </c>
      <c r="J195" s="86">
        <f t="shared" si="110"/>
        <v>4.8</v>
      </c>
      <c r="K195" s="86" t="str">
        <f t="shared" si="111"/>
        <v>1+10.7088755222285j</v>
      </c>
      <c r="L195" s="86">
        <f t="shared" si="112"/>
        <v>-10.21976421187086</v>
      </c>
      <c r="M195" s="86" t="str">
        <f t="shared" si="113"/>
        <v>1.49743527847818j</v>
      </c>
      <c r="N195" s="86" t="str">
        <f t="shared" si="114"/>
        <v>-10.2197642118709+1.49743527847818j</v>
      </c>
      <c r="O195" s="86" t="str">
        <f t="shared" si="115"/>
        <v>0.0545159592014206-1.0398714864024j</v>
      </c>
      <c r="P195" s="86" t="str">
        <f t="shared" si="116"/>
        <v>0.261676604166819-4.99138313473152j</v>
      </c>
      <c r="R195" s="86">
        <f t="shared" si="117"/>
        <v>11.52</v>
      </c>
      <c r="S195" s="86" t="str">
        <f t="shared" si="118"/>
        <v>1+0.0222637744744876j</v>
      </c>
      <c r="T195" s="86" t="str">
        <f t="shared" si="119"/>
        <v>-10.2197642118709+1.49743527847818j</v>
      </c>
      <c r="U195" s="86" t="str">
        <f t="shared" si="120"/>
        <v>-0.0954805304428648-0.0161686400724888j</v>
      </c>
      <c r="V195" s="86" t="str">
        <f t="shared" si="121"/>
        <v>-1.0999357107018-0.186262733635071j</v>
      </c>
      <c r="X195" s="86" t="str">
        <f t="shared" si="122"/>
        <v>-0.0404806025286105-3.08426530265022j</v>
      </c>
      <c r="Y195" s="86">
        <f t="shared" si="123"/>
        <v>9.783782625107202</v>
      </c>
      <c r="Z195" s="86">
        <f t="shared" si="124"/>
        <v>89.248043121043025</v>
      </c>
      <c r="AB195" s="86" t="str">
        <f t="shared" si="125"/>
        <v>-0.916918731828776-0.155270701596425j</v>
      </c>
      <c r="AC195" s="86">
        <f t="shared" si="126"/>
        <v>-0.63059736737946004</v>
      </c>
      <c r="AD195" s="86">
        <f t="shared" si="127"/>
        <v>9.6112690385810708</v>
      </c>
      <c r="AF195" s="86" t="str">
        <f t="shared" si="128"/>
        <v>-0.0384252906092738-0.285335025939403j</v>
      </c>
      <c r="AG195" s="86">
        <f t="shared" si="129"/>
        <v>-10.814843429750798</v>
      </c>
      <c r="AH195" s="86">
        <f t="shared" si="130"/>
        <v>82.330275535470349</v>
      </c>
      <c r="AJ195" s="86" t="str">
        <f t="shared" si="131"/>
        <v>15.0499976613288-0.00593270564034059j</v>
      </c>
      <c r="AK195" s="86" t="str">
        <f t="shared" si="132"/>
        <v>30.1-2.3730826248977E-10j</v>
      </c>
      <c r="AL195" s="86" t="str">
        <f t="shared" si="146"/>
        <v>10000-84841.3592696694j</v>
      </c>
      <c r="AM195" s="86" t="str">
        <f t="shared" si="147"/>
        <v>956.816784499085-26407.8543688553j</v>
      </c>
      <c r="AN195" s="86" t="str">
        <f t="shared" si="148"/>
        <v>10956.8167844991-26407.8543688553j</v>
      </c>
      <c r="AO195" s="86" t="str">
        <f t="shared" si="149"/>
        <v>30.0878322781027-0.029246005659412j</v>
      </c>
      <c r="AP195" s="86" t="str">
        <f t="shared" si="150"/>
        <v>0.666666689687918+0.0000875999414375064j</v>
      </c>
      <c r="AQ195" s="86" t="str">
        <f t="shared" si="133"/>
        <v>1+14.6343718522185j</v>
      </c>
      <c r="AR195" s="86">
        <f t="shared" si="134"/>
        <v>-3.7331335822774168E-6</v>
      </c>
      <c r="AS195" s="86" t="str">
        <f t="shared" si="135"/>
        <v>0.0000771602703984795j</v>
      </c>
      <c r="AT195" s="86" t="str">
        <f t="shared" si="136"/>
        <v>-3.73313358227742E-06+0.0000771602703984795j</v>
      </c>
      <c r="AU195" s="86" t="str">
        <f t="shared" si="137"/>
        <v>18.8593526756206-2.20844849212362j</v>
      </c>
      <c r="AW195" s="86" t="str">
        <f t="shared" si="151"/>
        <v>11.9245735123928-3.64689488893892j</v>
      </c>
      <c r="AX195" s="86">
        <f t="shared" si="138"/>
        <v>21.917172548020716</v>
      </c>
      <c r="AY195" s="86">
        <f t="shared" si="139"/>
        <v>162.99478474546984</v>
      </c>
      <c r="AZ195" s="86" t="str">
        <f t="shared" si="140"/>
        <v>-11.5001207506362+1.49236934117135j</v>
      </c>
      <c r="BA195" s="86">
        <f t="shared" si="141"/>
        <v>21.286575180641265</v>
      </c>
      <c r="BB195" s="86">
        <f t="shared" si="142"/>
        <v>-7.3939462159491143</v>
      </c>
      <c r="BD195" s="86" t="str">
        <f t="shared" si="143"/>
        <v>-1.49879205033901-3.26236549654597j</v>
      </c>
      <c r="BE195" s="86">
        <f t="shared" si="144"/>
        <v>11.102329118269934</v>
      </c>
      <c r="BF195" s="86">
        <f t="shared" si="145"/>
        <v>65.325060280940136</v>
      </c>
      <c r="BH195" s="86">
        <f t="shared" si="152"/>
        <v>-10.102329118269934</v>
      </c>
      <c r="BI195" s="157">
        <f t="shared" si="153"/>
        <v>-65.325060280940136</v>
      </c>
      <c r="BJ195" s="88"/>
      <c r="BK195" s="88"/>
      <c r="BL195" s="88"/>
      <c r="BM195" s="88"/>
      <c r="BN195" s="42"/>
      <c r="BO195" s="42"/>
      <c r="BP195" s="42"/>
    </row>
    <row r="196" spans="1:68" s="86" customFormat="1">
      <c r="A196" s="86">
        <v>132</v>
      </c>
      <c r="B196" s="86">
        <f t="shared" si="103"/>
        <v>43651.58322401662</v>
      </c>
      <c r="C196" s="86" t="str">
        <f t="shared" si="104"/>
        <v>274270.986348268j</v>
      </c>
      <c r="D196" s="86">
        <f t="shared" si="105"/>
        <v>0.99809453928203673</v>
      </c>
      <c r="E196" s="86" t="str">
        <f t="shared" si="106"/>
        <v>-0.068567746587067j</v>
      </c>
      <c r="F196" s="86" t="str">
        <f t="shared" si="107"/>
        <v>0.998094539282037-0.068567746587067j</v>
      </c>
      <c r="G196" s="86">
        <f t="shared" si="108"/>
        <v>3.8819221939911672E-3</v>
      </c>
      <c r="H196" s="86">
        <f t="shared" si="109"/>
        <v>-3.9299679167970947</v>
      </c>
      <c r="J196" s="86">
        <f t="shared" si="110"/>
        <v>4.8</v>
      </c>
      <c r="K196" s="86" t="str">
        <f t="shared" si="111"/>
        <v>1+11.2135692768489j</v>
      </c>
      <c r="L196" s="86">
        <f t="shared" si="112"/>
        <v>-11.302226824183967</v>
      </c>
      <c r="M196" s="86" t="str">
        <f t="shared" si="113"/>
        <v>1.56800722895305j</v>
      </c>
      <c r="N196" s="86" t="str">
        <f t="shared" si="114"/>
        <v>-11.302226824184+1.56800722895305j</v>
      </c>
      <c r="O196" s="86" t="str">
        <f t="shared" si="115"/>
        <v>0.0482394790476664-0.985463271817266j</v>
      </c>
      <c r="P196" s="86" t="str">
        <f t="shared" si="116"/>
        <v>0.231549499428799-4.73022370472288j</v>
      </c>
      <c r="R196" s="86">
        <f t="shared" si="117"/>
        <v>11.52</v>
      </c>
      <c r="S196" s="86" t="str">
        <f t="shared" si="118"/>
        <v>1+0.0233130338396028j</v>
      </c>
      <c r="T196" s="86" t="str">
        <f t="shared" si="119"/>
        <v>-11.302226824184+1.56800722895305j</v>
      </c>
      <c r="U196" s="86" t="str">
        <f t="shared" si="120"/>
        <v>-0.0865265765074627-0.0140669032548232j</v>
      </c>
      <c r="V196" s="86" t="str">
        <f t="shared" si="121"/>
        <v>-0.99678616136597-0.162050725495563j</v>
      </c>
      <c r="X196" s="86" t="str">
        <f t="shared" si="122"/>
        <v>-0.0575125392679474-2.92217787990372j</v>
      </c>
      <c r="Y196" s="86">
        <f t="shared" si="123"/>
        <v>9.3158149245869595</v>
      </c>
      <c r="Z196" s="86">
        <f t="shared" si="124"/>
        <v>88.87248465809536</v>
      </c>
      <c r="AB196" s="86" t="str">
        <f t="shared" si="125"/>
        <v>-0.830932111842256-0.135087300346418j</v>
      </c>
      <c r="AC196" s="86">
        <f t="shared" si="126"/>
        <v>-1.4953955689300407</v>
      </c>
      <c r="AD196" s="86">
        <f t="shared" si="127"/>
        <v>9.2339728809915869</v>
      </c>
      <c r="AF196" s="86" t="str">
        <f t="shared" si="128"/>
        <v>-0.041198392004656-0.271066025591037j</v>
      </c>
      <c r="AG196" s="86">
        <f t="shared" si="129"/>
        <v>-11.239317757544555</v>
      </c>
      <c r="AH196" s="86">
        <f t="shared" si="130"/>
        <v>81.357950243747595</v>
      </c>
      <c r="AJ196" s="86" t="str">
        <f t="shared" si="131"/>
        <v>15.049997435698-0.00621230535004784j</v>
      </c>
      <c r="AK196" s="86" t="str">
        <f t="shared" si="132"/>
        <v>30.1-2.48492256341394E-10j</v>
      </c>
      <c r="AL196" s="86" t="str">
        <f t="shared" si="146"/>
        <v>10000-81022.869090515j</v>
      </c>
      <c r="AM196" s="86" t="str">
        <f t="shared" si="147"/>
        <v>956.211204497249-25226.4196802266j</v>
      </c>
      <c r="AN196" s="86" t="str">
        <f t="shared" si="148"/>
        <v>10956.2112044972-25226.4196802266j</v>
      </c>
      <c r="AO196" s="86" t="str">
        <f t="shared" si="149"/>
        <v>30.0868523505934-0.0301892162238669j</v>
      </c>
      <c r="AP196" s="86" t="str">
        <f t="shared" si="150"/>
        <v>0.666666691908968+0.0000917283988756002j</v>
      </c>
      <c r="AQ196" s="86" t="str">
        <f t="shared" si="133"/>
        <v>1+15.3240685492504j</v>
      </c>
      <c r="AR196" s="86">
        <f t="shared" si="134"/>
        <v>-4.1029473958713871E-6</v>
      </c>
      <c r="AS196" s="86" t="str">
        <f t="shared" si="135"/>
        <v>0.0000807967219095745j</v>
      </c>
      <c r="AT196" s="86" t="str">
        <f t="shared" si="136"/>
        <v>-4.10294739587139E-06+0.0000807967219095745j</v>
      </c>
      <c r="AU196" s="86" t="str">
        <f t="shared" si="137"/>
        <v>18.8547292857866-2.19513809757622j</v>
      </c>
      <c r="AW196" s="86" t="str">
        <f t="shared" si="151"/>
        <v>11.8754999834571-3.73150616608043j</v>
      </c>
      <c r="AX196" s="86">
        <f t="shared" si="138"/>
        <v>21.901961718931958</v>
      </c>
      <c r="AY196" s="86">
        <f t="shared" si="139"/>
        <v>162.55629733179467</v>
      </c>
      <c r="AZ196" s="86" t="str">
        <f t="shared" si="140"/>
        <v>-10.3718133746385+1.49639906590446j</v>
      </c>
      <c r="BA196" s="86">
        <f t="shared" si="141"/>
        <v>20.406566150001915</v>
      </c>
      <c r="BB196" s="86">
        <f t="shared" si="142"/>
        <v>-8.2097297872137744</v>
      </c>
      <c r="BD196" s="86" t="str">
        <f t="shared" si="143"/>
        <v>-1.50073604947762-3.06531252862417j</v>
      </c>
      <c r="BE196" s="86">
        <f t="shared" si="144"/>
        <v>10.662643961387403</v>
      </c>
      <c r="BF196" s="86">
        <f t="shared" si="145"/>
        <v>63.914247575542305</v>
      </c>
      <c r="BH196" s="86">
        <f t="shared" si="152"/>
        <v>-9.6626439613874027</v>
      </c>
      <c r="BI196" s="157">
        <f t="shared" si="153"/>
        <v>-63.914247575542305</v>
      </c>
      <c r="BJ196" s="88"/>
      <c r="BK196" s="88"/>
      <c r="BL196" s="88"/>
      <c r="BM196" s="88"/>
      <c r="BN196" s="42"/>
      <c r="BO196" s="42"/>
      <c r="BP196" s="42"/>
    </row>
    <row r="197" spans="1:68" s="86" customFormat="1">
      <c r="A197" s="86">
        <v>133</v>
      </c>
      <c r="B197" s="86">
        <f t="shared" si="103"/>
        <v>45708.818961487559</v>
      </c>
      <c r="C197" s="86" t="str">
        <f t="shared" si="104"/>
        <v>287196.97970735j</v>
      </c>
      <c r="D197" s="86">
        <f t="shared" si="105"/>
        <v>0.99791070386914593</v>
      </c>
      <c r="E197" s="86" t="str">
        <f t="shared" si="106"/>
        <v>-0.0717992449268375j</v>
      </c>
      <c r="F197" s="86" t="str">
        <f t="shared" si="107"/>
        <v>0.997910703869146-0.0717992449268375j</v>
      </c>
      <c r="G197" s="86">
        <f t="shared" si="108"/>
        <v>4.2579260121237954E-3</v>
      </c>
      <c r="H197" s="86">
        <f t="shared" si="109"/>
        <v>-4.1153151052968138</v>
      </c>
      <c r="J197" s="86">
        <f t="shared" si="110"/>
        <v>4.8</v>
      </c>
      <c r="K197" s="86" t="str">
        <f t="shared" si="111"/>
        <v>1+11.742048515335j</v>
      </c>
      <c r="L197" s="86">
        <f t="shared" si="112"/>
        <v>-12.489123476725545</v>
      </c>
      <c r="M197" s="86" t="str">
        <f t="shared" si="113"/>
        <v>1.64190513298692j</v>
      </c>
      <c r="N197" s="86" t="str">
        <f t="shared" si="114"/>
        <v>-12.4891234767255+1.64190513298692j</v>
      </c>
      <c r="O197" s="86" t="str">
        <f t="shared" si="115"/>
        <v>0.042793424152334-0.934556039446044j</v>
      </c>
      <c r="P197" s="86" t="str">
        <f t="shared" si="116"/>
        <v>0.205408435931203-4.48586898934101j</v>
      </c>
      <c r="R197" s="86">
        <f t="shared" si="117"/>
        <v>11.52</v>
      </c>
      <c r="S197" s="86" t="str">
        <f t="shared" si="118"/>
        <v>1+0.0244117432751248j</v>
      </c>
      <c r="T197" s="86" t="str">
        <f t="shared" si="119"/>
        <v>-12.4891234767255+1.64190513298692j</v>
      </c>
      <c r="U197" s="86" t="str">
        <f t="shared" si="120"/>
        <v>-0.0784566922403731-0.0122690907226056j</v>
      </c>
      <c r="V197" s="86" t="str">
        <f t="shared" si="121"/>
        <v>-0.903821094609098-0.141339925124417j</v>
      </c>
      <c r="X197" s="86" t="str">
        <f t="shared" si="122"/>
        <v>-0.0722374289363358-2.77052449975196j</v>
      </c>
      <c r="Y197" s="86">
        <f t="shared" si="123"/>
        <v>8.8541913623006234</v>
      </c>
      <c r="Z197" s="86">
        <f t="shared" si="124"/>
        <v>88.506433613175219</v>
      </c>
      <c r="AB197" s="86" t="str">
        <f t="shared" si="125"/>
        <v>-0.753435390637794-0.11782254511872j</v>
      </c>
      <c r="AC197" s="86">
        <f t="shared" si="126"/>
        <v>-2.3541515043198826</v>
      </c>
      <c r="AD197" s="86">
        <f t="shared" si="127"/>
        <v>8.8879536041338838</v>
      </c>
      <c r="AF197" s="86" t="str">
        <f t="shared" si="128"/>
        <v>-0.0436451416333887-0.257331440990828j</v>
      </c>
      <c r="AG197" s="86">
        <f t="shared" si="129"/>
        <v>-11.666975079065994</v>
      </c>
      <c r="AH197" s="86">
        <f t="shared" si="130"/>
        <v>80.373856475277492</v>
      </c>
      <c r="AJ197" s="86" t="str">
        <f t="shared" si="131"/>
        <v>15.0499971882989-0.00650508217431074j</v>
      </c>
      <c r="AK197" s="86" t="str">
        <f t="shared" si="132"/>
        <v>30.1-2.60203335584656E-10j</v>
      </c>
      <c r="AL197" s="86" t="str">
        <f t="shared" si="146"/>
        <v>9999.99999999992-77376.2392796271j</v>
      </c>
      <c r="AM197" s="86" t="str">
        <f t="shared" si="147"/>
        <v>955.54807967643-24098.4837316786j</v>
      </c>
      <c r="AN197" s="86" t="str">
        <f t="shared" si="148"/>
        <v>10955.5480796764-24098.4837316786j</v>
      </c>
      <c r="AO197" s="86" t="str">
        <f t="shared" si="149"/>
        <v>30.0858100889509-0.0311274620243834j</v>
      </c>
      <c r="AP197" s="86" t="str">
        <f t="shared" si="150"/>
        <v>0.666666694344298+0.0000960514244278897j</v>
      </c>
      <c r="AQ197" s="86" t="str">
        <f t="shared" si="133"/>
        <v>1+16.0462696502091j</v>
      </c>
      <c r="AR197" s="86">
        <f t="shared" si="134"/>
        <v>-4.5084401791097569E-6</v>
      </c>
      <c r="AS197" s="86" t="str">
        <f t="shared" si="135"/>
        <v>0.0000846045541004451j</v>
      </c>
      <c r="AT197" s="86" t="str">
        <f t="shared" si="136"/>
        <v>-4.50844017910976E-06+0.0000846045541004451j</v>
      </c>
      <c r="AU197" s="86" t="str">
        <f t="shared" si="137"/>
        <v>18.8496890339713-2.18643898512678j</v>
      </c>
      <c r="AW197" s="86" t="str">
        <f t="shared" si="151"/>
        <v>11.8220375817821-3.82233029477779j</v>
      </c>
      <c r="AX197" s="86">
        <f t="shared" si="138"/>
        <v>21.885651026818405</v>
      </c>
      <c r="AY197" s="86">
        <f t="shared" si="139"/>
        <v>162.08281472224635</v>
      </c>
      <c r="AZ197" s="86" t="str">
        <f t="shared" si="140"/>
        <v>-9.35749818717979+1.48697636241785j</v>
      </c>
      <c r="BA197" s="86">
        <f t="shared" si="141"/>
        <v>19.531499522498528</v>
      </c>
      <c r="BB197" s="86">
        <f t="shared" si="142"/>
        <v>-9.0292316736197336</v>
      </c>
      <c r="BD197" s="86" t="str">
        <f t="shared" si="143"/>
        <v>-1.49958026735019-2.87535581928254j</v>
      </c>
      <c r="BE197" s="86">
        <f t="shared" si="144"/>
        <v>10.218675947752409</v>
      </c>
      <c r="BF197" s="86">
        <f t="shared" si="145"/>
        <v>62.456671197523818</v>
      </c>
      <c r="BH197" s="86">
        <f t="shared" si="152"/>
        <v>-9.2186759477524092</v>
      </c>
      <c r="BI197" s="157">
        <f t="shared" si="153"/>
        <v>-62.456671197523818</v>
      </c>
      <c r="BJ197" s="88"/>
      <c r="BK197" s="88"/>
      <c r="BL197" s="88"/>
      <c r="BM197" s="88"/>
      <c r="BN197" s="42"/>
      <c r="BO197" s="42"/>
      <c r="BP197" s="42"/>
    </row>
    <row r="198" spans="1:68" s="86" customFormat="1">
      <c r="A198" s="86">
        <v>134</v>
      </c>
      <c r="B198" s="86">
        <f t="shared" si="103"/>
        <v>47863.009232263888</v>
      </c>
      <c r="C198" s="86" t="str">
        <f t="shared" si="104"/>
        <v>300732.156365561j</v>
      </c>
      <c r="D198" s="86">
        <f t="shared" si="105"/>
        <v>0.99770913234723224</v>
      </c>
      <c r="E198" s="86" t="str">
        <f t="shared" si="106"/>
        <v>-0.0751830390913902j</v>
      </c>
      <c r="F198" s="86" t="str">
        <f t="shared" si="107"/>
        <v>0.997709132347232-0.0751830390913902j</v>
      </c>
      <c r="G198" s="86">
        <f t="shared" si="108"/>
        <v>4.6705056155396628E-3</v>
      </c>
      <c r="H198" s="86">
        <f t="shared" si="109"/>
        <v>-4.3094171336012392</v>
      </c>
      <c r="J198" s="86">
        <f t="shared" si="110"/>
        <v>4.8</v>
      </c>
      <c r="K198" s="86" t="str">
        <f t="shared" si="111"/>
        <v>1+12.295434213006j</v>
      </c>
      <c r="L198" s="86">
        <f t="shared" si="112"/>
        <v>-13.790529777312702</v>
      </c>
      <c r="M198" s="86" t="str">
        <f t="shared" si="113"/>
        <v>1.71928573794191j</v>
      </c>
      <c r="N198" s="86" t="str">
        <f t="shared" si="114"/>
        <v>-13.7905297773127+1.71928573794191j</v>
      </c>
      <c r="O198" s="86" t="str">
        <f t="shared" si="115"/>
        <v>0.0380503173155635-0.886841553051952j</v>
      </c>
      <c r="P198" s="86" t="str">
        <f t="shared" si="116"/>
        <v>0.182641523114705-4.25683945464937j</v>
      </c>
      <c r="R198" s="86">
        <f t="shared" si="117"/>
        <v>11.52</v>
      </c>
      <c r="S198" s="86" t="str">
        <f t="shared" si="118"/>
        <v>1+0.0255622332910727j</v>
      </c>
      <c r="T198" s="86" t="str">
        <f t="shared" si="119"/>
        <v>-13.7905297773127+1.71928573794191j</v>
      </c>
      <c r="U198" s="86" t="str">
        <f t="shared" si="120"/>
        <v>-0.0711761490710471-0.0107272435257653j</v>
      </c>
      <c r="V198" s="86" t="str">
        <f t="shared" si="121"/>
        <v>-0.819949237298463-0.123577845416816j</v>
      </c>
      <c r="X198" s="86" t="str">
        <f t="shared" si="122"/>
        <v>-0.0850167293763101-2.62838126564912j</v>
      </c>
      <c r="Y198" s="86">
        <f t="shared" si="123"/>
        <v>8.3983086551049873</v>
      </c>
      <c r="Z198" s="86">
        <f t="shared" si="124"/>
        <v>88.147376056965612</v>
      </c>
      <c r="AB198" s="86" t="str">
        <f t="shared" si="125"/>
        <v>-0.683518870705621-0.103015876472838j</v>
      </c>
      <c r="AC198" s="86">
        <f t="shared" si="126"/>
        <v>-3.2074447671145294</v>
      </c>
      <c r="AD198" s="86">
        <f t="shared" si="127"/>
        <v>8.5707714953922789</v>
      </c>
      <c r="AF198" s="86" t="str">
        <f t="shared" si="128"/>
        <v>-0.0457865284829722-0.244114113697773j</v>
      </c>
      <c r="AG198" s="86">
        <f t="shared" si="129"/>
        <v>-12.097985587181846</v>
      </c>
      <c r="AH198" s="86">
        <f t="shared" si="130"/>
        <v>79.376913729394886</v>
      </c>
      <c r="AJ198" s="86" t="str">
        <f t="shared" si="131"/>
        <v>15.0499969170311-0.00681165712936146j</v>
      </c>
      <c r="AK198" s="86" t="str">
        <f t="shared" si="132"/>
        <v>30.1-2.72466340988762E-10j</v>
      </c>
      <c r="AL198" s="86" t="str">
        <f t="shared" si="146"/>
        <v>10000-73893.7348462651j</v>
      </c>
      <c r="AM198" s="86" t="str">
        <f t="shared" si="147"/>
        <v>954.822034092679-23021.6525799899j</v>
      </c>
      <c r="AN198" s="86" t="str">
        <f t="shared" si="148"/>
        <v>10954.8220340927-23021.6525799899j</v>
      </c>
      <c r="AO198" s="86" t="str">
        <f t="shared" si="149"/>
        <v>30.0847041884557-0.032056200415919j</v>
      </c>
      <c r="AP198" s="86" t="str">
        <f t="shared" si="150"/>
        <v>0.666666697014585+0.000100578187793678j</v>
      </c>
      <c r="AQ198" s="86" t="str">
        <f t="shared" si="133"/>
        <v>1+16.8025070404566j</v>
      </c>
      <c r="AR198" s="86">
        <f t="shared" si="134"/>
        <v>-4.9530541746240389E-6</v>
      </c>
      <c r="AS198" s="86" t="str">
        <f t="shared" si="135"/>
        <v>0.0000885918438936928j</v>
      </c>
      <c r="AT198" s="86" t="str">
        <f t="shared" si="136"/>
        <v>-4.95305417462404E-06+0.0000885918438936928j</v>
      </c>
      <c r="AU198" s="86" t="str">
        <f t="shared" si="137"/>
        <v>18.8441898404332-2.18232609977689j</v>
      </c>
      <c r="AW198" s="86" t="str">
        <f t="shared" si="151"/>
        <v>11.7638239280686-3.91932611709159j</v>
      </c>
      <c r="AX198" s="86">
        <f t="shared" si="138"/>
        <v>21.868113693663815</v>
      </c>
      <c r="AY198" s="86">
        <f t="shared" si="139"/>
        <v>161.57359287718486</v>
      </c>
      <c r="AZ198" s="86" t="str">
        <f t="shared" si="140"/>
        <v>-8.44454846162829+1.46707272885936j</v>
      </c>
      <c r="BA198" s="86">
        <f t="shared" si="141"/>
        <v>18.660668926549285</v>
      </c>
      <c r="BB198" s="86">
        <f t="shared" si="142"/>
        <v>-9.8556356274228278</v>
      </c>
      <c r="BD198" s="86" t="str">
        <f t="shared" si="143"/>
        <v>-1.49538748071753-2.69226311500285j</v>
      </c>
      <c r="BE198" s="86">
        <f t="shared" si="144"/>
        <v>9.7701281064819661</v>
      </c>
      <c r="BF198" s="86">
        <f t="shared" si="145"/>
        <v>60.950506606579751</v>
      </c>
      <c r="BH198" s="86">
        <f t="shared" si="152"/>
        <v>-8.7701281064819661</v>
      </c>
      <c r="BI198" s="157">
        <f t="shared" si="153"/>
        <v>-60.950506606579751</v>
      </c>
      <c r="BJ198" s="88"/>
      <c r="BK198" s="88"/>
      <c r="BL198" s="88"/>
      <c r="BM198" s="88"/>
      <c r="BN198" s="42"/>
      <c r="BO198" s="42"/>
      <c r="BP198" s="42"/>
    </row>
    <row r="199" spans="1:68" s="86" customFormat="1">
      <c r="A199" s="86">
        <v>135</v>
      </c>
      <c r="B199" s="86">
        <f t="shared" si="103"/>
        <v>50118.723362727265</v>
      </c>
      <c r="C199" s="86" t="str">
        <f t="shared" si="104"/>
        <v>314905.226247286j</v>
      </c>
      <c r="D199" s="86">
        <f t="shared" si="105"/>
        <v>0.99748811356849043</v>
      </c>
      <c r="E199" s="86" t="str">
        <f t="shared" si="106"/>
        <v>-0.0787263065618215j</v>
      </c>
      <c r="F199" s="86" t="str">
        <f t="shared" si="107"/>
        <v>0.99748811356849-0.0787263065618215j</v>
      </c>
      <c r="G199" s="86">
        <f t="shared" si="108"/>
        <v>5.1232502642884429E-3</v>
      </c>
      <c r="H199" s="86">
        <f t="shared" si="109"/>
        <v>-4.5126895009839876</v>
      </c>
      <c r="J199" s="86">
        <f t="shared" si="110"/>
        <v>4.8</v>
      </c>
      <c r="K199" s="86" t="str">
        <f t="shared" si="111"/>
        <v>1+12.8749001751203j</v>
      </c>
      <c r="L199" s="86">
        <f t="shared" si="112"/>
        <v>-15.217493410229906</v>
      </c>
      <c r="M199" s="86" t="str">
        <f t="shared" si="113"/>
        <v>1.80031317845573j</v>
      </c>
      <c r="N199" s="86" t="str">
        <f t="shared" si="114"/>
        <v>-15.2174934102299+1.80031317845573j</v>
      </c>
      <c r="O199" s="86" t="str">
        <f t="shared" si="115"/>
        <v>0.0339050697305125-0.842048035496696j</v>
      </c>
      <c r="P199" s="86" t="str">
        <f t="shared" si="116"/>
        <v>0.16274433470646-4.04183057038414j</v>
      </c>
      <c r="R199" s="86">
        <f t="shared" si="117"/>
        <v>11.52</v>
      </c>
      <c r="S199" s="86" t="str">
        <f t="shared" si="118"/>
        <v>1+0.0267669442310193j</v>
      </c>
      <c r="T199" s="86" t="str">
        <f t="shared" si="119"/>
        <v>-15.2174934102299+1.80031317845573j</v>
      </c>
      <c r="U199" s="86" t="str">
        <f t="shared" si="120"/>
        <v>-0.0646015742769767-0.00940168041437553j</v>
      </c>
      <c r="V199" s="86" t="str">
        <f t="shared" si="121"/>
        <v>-0.744210135670772-0.108307358373606j</v>
      </c>
      <c r="X199" s="86" t="str">
        <f t="shared" si="122"/>
        <v>-0.0961474752581498-2.49493394167798j</v>
      </c>
      <c r="Y199" s="86">
        <f t="shared" si="123"/>
        <v>7.9476259781324803</v>
      </c>
      <c r="Z199" s="86">
        <f t="shared" si="124"/>
        <v>87.793079886991791</v>
      </c>
      <c r="AB199" s="86" t="str">
        <f t="shared" si="125"/>
        <v>-0.620381907027986-0.090286227387134j</v>
      </c>
      <c r="AC199" s="86">
        <f t="shared" si="126"/>
        <v>-4.0557947729352399</v>
      </c>
      <c r="AD199" s="86">
        <f t="shared" si="127"/>
        <v>8.280311699871703</v>
      </c>
      <c r="AF199" s="86" t="str">
        <f t="shared" si="128"/>
        <v>-0.0476416506710875-0.231397261122583j</v>
      </c>
      <c r="AG199" s="86">
        <f t="shared" si="129"/>
        <v>-12.532535890896252</v>
      </c>
      <c r="AH199" s="86">
        <f t="shared" si="130"/>
        <v>78.366119414964075</v>
      </c>
      <c r="AJ199" s="86" t="str">
        <f t="shared" si="131"/>
        <v>15.0499966195919-0.00713268049872275j</v>
      </c>
      <c r="AK199" s="86" t="str">
        <f t="shared" si="132"/>
        <v>30.1-2.85307284032304E-10j</v>
      </c>
      <c r="AL199" s="86" t="str">
        <f t="shared" si="146"/>
        <v>10000-70567.9689316166j</v>
      </c>
      <c r="AM199" s="86" t="str">
        <f t="shared" si="147"/>
        <v>954.02720802033-21993.6404747807j</v>
      </c>
      <c r="AN199" s="86" t="str">
        <f t="shared" si="148"/>
        <v>10954.0272080203-21993.6404747807j</v>
      </c>
      <c r="AO199" s="86" t="str">
        <f t="shared" si="149"/>
        <v>30.0835337489461-0.0329705585071936j</v>
      </c>
      <c r="AP199" s="86" t="str">
        <f t="shared" si="150"/>
        <v>0.666666699942497+0.000105318290824897j</v>
      </c>
      <c r="AQ199" s="86" t="str">
        <f t="shared" si="133"/>
        <v>1+17.5943848008884j</v>
      </c>
      <c r="AR199" s="86">
        <f t="shared" si="134"/>
        <v>-5.4405637264055602E-6</v>
      </c>
      <c r="AS199" s="86" t="str">
        <f t="shared" si="135"/>
        <v>0.0000927670488655545j</v>
      </c>
      <c r="AT199" s="86" t="str">
        <f t="shared" si="136"/>
        <v>-5.44056372640556E-06+0.0000927670488655545j</v>
      </c>
      <c r="AU199" s="86" t="str">
        <f t="shared" si="137"/>
        <v>18.8381858715521-2.18278314552743j</v>
      </c>
      <c r="AW199" s="86" t="str">
        <f t="shared" si="151"/>
        <v>11.7004733759114-4.02243538103434j</v>
      </c>
      <c r="AX199" s="86">
        <f t="shared" si="138"/>
        <v>21.849214710630722</v>
      </c>
      <c r="AY199" s="86">
        <f t="shared" si="139"/>
        <v>161.02785070976739</v>
      </c>
      <c r="AZ199" s="86" t="str">
        <f t="shared" si="140"/>
        <v>-7.62193250154021+1.43905453282828j</v>
      </c>
      <c r="BA199" s="86">
        <f t="shared" si="141"/>
        <v>17.793419937695479</v>
      </c>
      <c r="BB199" s="86">
        <f t="shared" si="142"/>
        <v>-10.691837590360905</v>
      </c>
      <c r="BD199" s="86" t="str">
        <f t="shared" si="143"/>
        <v>-1.48821039547545-2.51582203175334j</v>
      </c>
      <c r="BE199" s="86">
        <f t="shared" si="144"/>
        <v>9.3166788197344665</v>
      </c>
      <c r="BF199" s="86">
        <f t="shared" si="145"/>
        <v>59.393970124731482</v>
      </c>
      <c r="BH199" s="86">
        <f t="shared" si="152"/>
        <v>-8.3166788197344665</v>
      </c>
      <c r="BI199" s="157">
        <f t="shared" si="153"/>
        <v>-59.393970124731482</v>
      </c>
      <c r="BJ199" s="88"/>
      <c r="BK199" s="88"/>
      <c r="BL199" s="88"/>
      <c r="BM199" s="88"/>
      <c r="BN199" s="42"/>
      <c r="BO199" s="42"/>
      <c r="BP199" s="42"/>
    </row>
    <row r="200" spans="1:68" s="86" customFormat="1">
      <c r="A200" s="86">
        <v>136</v>
      </c>
      <c r="B200" s="86">
        <f t="shared" si="103"/>
        <v>52480.746024977292</v>
      </c>
      <c r="C200" s="86" t="str">
        <f t="shared" si="104"/>
        <v>329746.252333961j</v>
      </c>
      <c r="D200" s="86">
        <f t="shared" si="105"/>
        <v>0.99724577129666181</v>
      </c>
      <c r="E200" s="86" t="str">
        <f t="shared" si="106"/>
        <v>-0.0824365630834903j</v>
      </c>
      <c r="F200" s="86" t="str">
        <f t="shared" si="107"/>
        <v>0.997245771296662-0.0824365630834903j</v>
      </c>
      <c r="G200" s="86">
        <f t="shared" si="108"/>
        <v>5.6201077053883225E-3</v>
      </c>
      <c r="H200" s="86">
        <f t="shared" si="109"/>
        <v>-4.7255677121044632</v>
      </c>
      <c r="J200" s="86">
        <f t="shared" si="110"/>
        <v>4.8</v>
      </c>
      <c r="K200" s="86" t="str">
        <f t="shared" si="111"/>
        <v>1+13.481675526674j</v>
      </c>
      <c r="L200" s="86">
        <f t="shared" si="112"/>
        <v>-16.782127920412876</v>
      </c>
      <c r="M200" s="86" t="str">
        <f t="shared" si="113"/>
        <v>1.88515932459325j</v>
      </c>
      <c r="N200" s="86" t="str">
        <f t="shared" si="114"/>
        <v>-16.7821279204129+1.88515932459325j</v>
      </c>
      <c r="O200" s="86" t="str">
        <f t="shared" si="115"/>
        <v>0.0302705849698502-0.799934949538086j</v>
      </c>
      <c r="P200" s="86" t="str">
        <f t="shared" si="116"/>
        <v>0.145298807855281-3.83968775778281j</v>
      </c>
      <c r="R200" s="86">
        <f t="shared" si="117"/>
        <v>11.52</v>
      </c>
      <c r="S200" s="86" t="str">
        <f t="shared" si="118"/>
        <v>1+0.0280284314483867j</v>
      </c>
      <c r="T200" s="86" t="str">
        <f t="shared" si="119"/>
        <v>-16.7821279204129+1.88515932459325j</v>
      </c>
      <c r="U200" s="86" t="str">
        <f t="shared" si="120"/>
        <v>-0.0586594065451589-0.00825942689326664j</v>
      </c>
      <c r="V200" s="86" t="str">
        <f t="shared" si="121"/>
        <v>-0.67575636340023-0.0951485978104317j</v>
      </c>
      <c r="X200" s="86" t="str">
        <f t="shared" si="122"/>
        <v>-0.105875049903601-2.36946218095803j</v>
      </c>
      <c r="Y200" s="86">
        <f t="shared" si="123"/>
        <v>7.5016580376555773</v>
      </c>
      <c r="Z200" s="86">
        <f t="shared" si="124"/>
        <v>87.441545524209644</v>
      </c>
      <c r="AB200" s="86" t="str">
        <f t="shared" si="125"/>
        <v>-0.563318075525367-0.0793169371544112j</v>
      </c>
      <c r="AC200" s="86">
        <f t="shared" si="126"/>
        <v>-4.8996675239421563</v>
      </c>
      <c r="AD200" s="86">
        <f t="shared" si="127"/>
        <v>8.0147356892944117</v>
      </c>
      <c r="AF200" s="86" t="str">
        <f t="shared" si="128"/>
        <v>-0.0492278756233837-0.219164588430059j</v>
      </c>
      <c r="AG200" s="86">
        <f t="shared" si="129"/>
        <v>-12.970828735199159</v>
      </c>
      <c r="AH200" s="86">
        <f t="shared" si="130"/>
        <v>77.34055904508709</v>
      </c>
      <c r="AJ200" s="86" t="str">
        <f t="shared" si="131"/>
        <v>15.0499962934563-0.00746883321248784j</v>
      </c>
      <c r="AK200" s="86" t="str">
        <f t="shared" si="132"/>
        <v>30.1-2.98753402077092E-10j</v>
      </c>
      <c r="AL200" s="86" t="str">
        <f t="shared" si="146"/>
        <v>10000-67391.8871402852j</v>
      </c>
      <c r="AM200" s="86" t="str">
        <f t="shared" si="147"/>
        <v>953.157218115449-21012.2649809515j</v>
      </c>
      <c r="AN200" s="86" t="str">
        <f t="shared" si="148"/>
        <v>10953.1572181154-21012.2649809515j</v>
      </c>
      <c r="AO200" s="86" t="str">
        <f t="shared" si="149"/>
        <v>30.0822983365555-0.0338653678755177j</v>
      </c>
      <c r="AP200" s="86" t="str">
        <f t="shared" si="150"/>
        <v>0.666666703152889+0.000110281787892533j</v>
      </c>
      <c r="AQ200" s="86" t="str">
        <f t="shared" si="133"/>
        <v>1+18.4235826104031j</v>
      </c>
      <c r="AR200" s="86">
        <f t="shared" si="134"/>
        <v>-5.9751073203455302E-6</v>
      </c>
      <c r="AS200" s="86" t="str">
        <f t="shared" si="135"/>
        <v>0.000097139025185555j</v>
      </c>
      <c r="AT200" s="86" t="str">
        <f t="shared" si="136"/>
        <v>-5.97510732034553E-06+0.000097139025185555j</v>
      </c>
      <c r="AU200" s="86" t="str">
        <f t="shared" si="137"/>
        <v>18.8316271791914-2.18780241006585j</v>
      </c>
      <c r="AW200" s="86" t="str">
        <f t="shared" si="151"/>
        <v>11.6315767658525-4.13157919122309j</v>
      </c>
      <c r="AX200" s="86">
        <f t="shared" si="138"/>
        <v>21.828810107757604</v>
      </c>
      <c r="AY200" s="86">
        <f t="shared" si="139"/>
        <v>160.44477304562255</v>
      </c>
      <c r="AZ200" s="86" t="str">
        <f t="shared" si="140"/>
        <v>-6.87998164612432+1.40481219553661j</v>
      </c>
      <c r="BA200" s="86">
        <f t="shared" si="141"/>
        <v>16.929142583815452</v>
      </c>
      <c r="BB200" s="86">
        <f t="shared" si="142"/>
        <v>-11.540491265083034</v>
      </c>
      <c r="BD200" s="86" t="str">
        <f t="shared" si="143"/>
        <v>-1.47809366734383-2.34584086812701j</v>
      </c>
      <c r="BE200" s="86">
        <f t="shared" si="144"/>
        <v>8.8579813725584398</v>
      </c>
      <c r="BF200" s="86">
        <f t="shared" si="145"/>
        <v>57.785332090709659</v>
      </c>
      <c r="BH200" s="86">
        <f t="shared" si="152"/>
        <v>-7.8579813725584398</v>
      </c>
      <c r="BI200" s="157">
        <f t="shared" si="153"/>
        <v>-57.785332090709659</v>
      </c>
      <c r="BJ200" s="88"/>
      <c r="BK200" s="88"/>
      <c r="BL200" s="88"/>
      <c r="BM200" s="88"/>
      <c r="BN200" s="42"/>
      <c r="BO200" s="42"/>
      <c r="BP200" s="42"/>
    </row>
    <row r="201" spans="1:68" s="86" customFormat="1">
      <c r="A201" s="86">
        <v>137</v>
      </c>
      <c r="B201" s="86">
        <f t="shared" si="103"/>
        <v>54954.087385762534</v>
      </c>
      <c r="C201" s="86" t="str">
        <f t="shared" si="104"/>
        <v>345286.714431686j</v>
      </c>
      <c r="D201" s="86">
        <f t="shared" si="105"/>
        <v>0.99698004827959796</v>
      </c>
      <c r="E201" s="86" t="str">
        <f t="shared" si="106"/>
        <v>-0.0863216786079215j</v>
      </c>
      <c r="F201" s="86" t="str">
        <f t="shared" si="107"/>
        <v>0.996980048279598-0.0863216786079215j</v>
      </c>
      <c r="G201" s="86">
        <f t="shared" si="108"/>
        <v>6.16542121600752E-3</v>
      </c>
      <c r="H201" s="86">
        <f t="shared" si="109"/>
        <v>-4.9485082811269034</v>
      </c>
      <c r="J201" s="86">
        <f t="shared" si="110"/>
        <v>4.8</v>
      </c>
      <c r="K201" s="86" t="str">
        <f t="shared" si="111"/>
        <v>1+14.1170473195395j</v>
      </c>
      <c r="L201" s="86">
        <f t="shared" si="112"/>
        <v>-18.497715545761764</v>
      </c>
      <c r="M201" s="86" t="str">
        <f t="shared" si="113"/>
        <v>1.97400414640595j</v>
      </c>
      <c r="N201" s="86" t="str">
        <f t="shared" si="114"/>
        <v>-18.4977155457618+1.97400414640595j</v>
      </c>
      <c r="O201" s="86" t="str">
        <f t="shared" si="115"/>
        <v>0.0270743095747764-0.760288614309461j</v>
      </c>
      <c r="P201" s="86" t="str">
        <f t="shared" si="116"/>
        <v>0.129956685958927-3.64938534868541j</v>
      </c>
      <c r="R201" s="86">
        <f t="shared" si="117"/>
        <v>11.52</v>
      </c>
      <c r="S201" s="86" t="str">
        <f t="shared" si="118"/>
        <v>1+0.0293493707266933j</v>
      </c>
      <c r="T201" s="86" t="str">
        <f t="shared" si="119"/>
        <v>-18.4977155457618+1.97400414640595j</v>
      </c>
      <c r="U201" s="86" t="str">
        <f t="shared" si="120"/>
        <v>-0.0532845864603406-0.00727297189785991j</v>
      </c>
      <c r="V201" s="86" t="str">
        <f t="shared" si="121"/>
        <v>-0.613838436023124-0.0837846362633462j</v>
      </c>
      <c r="X201" s="86" t="str">
        <f t="shared" si="122"/>
        <v>-0.114403189518696-2.25132629267851j</v>
      </c>
      <c r="Y201" s="86">
        <f t="shared" si="123"/>
        <v>7.0599690107973085</v>
      </c>
      <c r="Z201" s="86">
        <f t="shared" si="124"/>
        <v>87.0909651819033</v>
      </c>
      <c r="AB201" s="86" t="str">
        <f t="shared" si="125"/>
        <v>-0.511702597551787-0.0698438114899518j</v>
      </c>
      <c r="AC201" s="86">
        <f t="shared" si="126"/>
        <v>-5.7394815224210323</v>
      </c>
      <c r="AD201" s="86">
        <f t="shared" si="127"/>
        <v>7.7724413460986455</v>
      </c>
      <c r="AF201" s="86" t="str">
        <f t="shared" si="128"/>
        <v>-0.0505609993206995-0.207400384092305j</v>
      </c>
      <c r="AG201" s="86">
        <f t="shared" si="129"/>
        <v>-13.413082584694866</v>
      </c>
      <c r="AH201" s="86">
        <f t="shared" si="130"/>
        <v>76.299417060495827</v>
      </c>
      <c r="AJ201" s="86" t="str">
        <f t="shared" si="131"/>
        <v>15.0499959358557-0.00782082829159726j</v>
      </c>
      <c r="AK201" s="86" t="str">
        <f t="shared" si="132"/>
        <v>30.1-3.1283321614225E-10j</v>
      </c>
      <c r="AL201" s="86" t="str">
        <f t="shared" si="146"/>
        <v>10000-64358.7525769654j</v>
      </c>
      <c r="AM201" s="86" t="str">
        <f t="shared" si="147"/>
        <v>952.205115051587-20075.4423163262j</v>
      </c>
      <c r="AN201" s="86" t="str">
        <f t="shared" si="148"/>
        <v>10952.2051150516-20075.4423163262j</v>
      </c>
      <c r="AO201" s="86" t="str">
        <f t="shared" si="149"/>
        <v>30.0809980435381-0.0347352108932454j</v>
      </c>
      <c r="AP201" s="86" t="str">
        <f t="shared" si="150"/>
        <v>0.666666706673015+0.000115479207212862j</v>
      </c>
      <c r="AQ201" s="86" t="str">
        <f t="shared" si="133"/>
        <v>1+19.2918593087272j</v>
      </c>
      <c r="AR201" s="86">
        <f t="shared" si="134"/>
        <v>-6.5612227159887563E-6</v>
      </c>
      <c r="AS201" s="86" t="str">
        <f t="shared" si="135"/>
        <v>0.00010171704640163j</v>
      </c>
      <c r="AT201" s="86" t="str">
        <f t="shared" si="136"/>
        <v>-6.56122271598876E-06+0.00010171704640163j</v>
      </c>
      <c r="AU201" s="86" t="str">
        <f t="shared" si="137"/>
        <v>18.824459310794-2.19738458747271j</v>
      </c>
      <c r="AW201" s="86" t="str">
        <f t="shared" si="151"/>
        <v>11.5567014706075-4.2466541415969j</v>
      </c>
      <c r="AX201" s="86">
        <f t="shared" si="138"/>
        <v>21.806746219365802</v>
      </c>
      <c r="AY201" s="86">
        <f t="shared" si="139"/>
        <v>159.82351407750349</v>
      </c>
      <c r="AZ201" s="86" t="str">
        <f t="shared" si="140"/>
        <v>-6.21019667296914+1.36585987620043j</v>
      </c>
      <c r="BA201" s="86">
        <f t="shared" si="141"/>
        <v>16.067264696944783</v>
      </c>
      <c r="BB201" s="86">
        <f t="shared" si="142"/>
        <v>-12.404044576397865</v>
      </c>
      <c r="BD201" s="86" t="str">
        <f t="shared" si="143"/>
        <v>-1.46507607527929-2.18214924667558j</v>
      </c>
      <c r="BE201" s="86">
        <f t="shared" si="144"/>
        <v>8.3936636346709541</v>
      </c>
      <c r="BF201" s="86">
        <f t="shared" si="145"/>
        <v>56.122931137999316</v>
      </c>
      <c r="BH201" s="86">
        <f t="shared" si="152"/>
        <v>-7.3936636346709541</v>
      </c>
      <c r="BI201" s="157">
        <f t="shared" si="153"/>
        <v>-56.122931137999316</v>
      </c>
      <c r="BJ201" s="88"/>
      <c r="BK201" s="88"/>
      <c r="BL201" s="88"/>
      <c r="BM201" s="88"/>
      <c r="BN201" s="42"/>
      <c r="BO201" s="42"/>
      <c r="BP201" s="42"/>
    </row>
    <row r="202" spans="1:68" s="86" customFormat="1">
      <c r="A202" s="86">
        <v>138</v>
      </c>
      <c r="B202" s="86">
        <f t="shared" si="103"/>
        <v>57543.993733715761</v>
      </c>
      <c r="C202" s="86" t="str">
        <f t="shared" si="104"/>
        <v>361559.575944117j</v>
      </c>
      <c r="D202" s="86">
        <f t="shared" si="105"/>
        <v>0.99668868878517403</v>
      </c>
      <c r="E202" s="86" t="str">
        <f t="shared" si="106"/>
        <v>-0.0903898939860292j</v>
      </c>
      <c r="F202" s="86" t="str">
        <f t="shared" si="107"/>
        <v>0.996688688785174-0.0903898939860292j</v>
      </c>
      <c r="G202" s="86">
        <f t="shared" si="108"/>
        <v>6.763970714071965E-3</v>
      </c>
      <c r="H202" s="86">
        <f t="shared" si="109"/>
        <v>-5.1819897918677462</v>
      </c>
      <c r="J202" s="86">
        <f t="shared" si="110"/>
        <v>4.8</v>
      </c>
      <c r="K202" s="86" t="str">
        <f t="shared" si="111"/>
        <v>1+14.7823632624752j</v>
      </c>
      <c r="L202" s="86">
        <f t="shared" si="112"/>
        <v>-20.37881997052979</v>
      </c>
      <c r="M202" s="86" t="str">
        <f t="shared" si="113"/>
        <v>2.06703609567252j</v>
      </c>
      <c r="N202" s="86" t="str">
        <f t="shared" si="114"/>
        <v>-20.3788199705298+2.06703609567252j</v>
      </c>
      <c r="O202" s="86" t="str">
        <f t="shared" si="115"/>
        <v>0.0242555095552308-0.722918513928194j</v>
      </c>
      <c r="P202" s="86" t="str">
        <f t="shared" si="116"/>
        <v>0.116426445865108-3.47000886685533j</v>
      </c>
      <c r="R202" s="86">
        <f t="shared" si="117"/>
        <v>11.52</v>
      </c>
      <c r="S202" s="86" t="str">
        <f t="shared" si="118"/>
        <v>1+0.0307325639552499j</v>
      </c>
      <c r="T202" s="86" t="str">
        <f t="shared" si="119"/>
        <v>-20.3788199705298+2.06703609567252j</v>
      </c>
      <c r="U202" s="86" t="str">
        <f t="shared" si="120"/>
        <v>-0.0484194434732605-0.00641927754089943j</v>
      </c>
      <c r="V202" s="86" t="str">
        <f t="shared" si="121"/>
        <v>-0.557791988811961-0.0739500772711614j</v>
      </c>
      <c r="X202" s="86" t="str">
        <f t="shared" si="122"/>
        <v>-0.121901867983455-2.13995610840416j</v>
      </c>
      <c r="Y202" s="86">
        <f t="shared" si="123"/>
        <v>6.6221672363421362</v>
      </c>
      <c r="Z202" s="86">
        <f t="shared" si="124"/>
        <v>86.739689004785731</v>
      </c>
      <c r="AB202" s="86" t="str">
        <f t="shared" si="125"/>
        <v>-0.464981651227043-0.0616456129302779j</v>
      </c>
      <c r="AC202" s="86">
        <f t="shared" si="126"/>
        <v>-6.5756129485317256</v>
      </c>
      <c r="AD202" s="86">
        <f t="shared" si="127"/>
        <v>7.5520299705503362</v>
      </c>
      <c r="AF202" s="86" t="str">
        <f t="shared" si="128"/>
        <v>-0.0516554045111036-0.196089599861098j</v>
      </c>
      <c r="AG202" s="86">
        <f t="shared" si="129"/>
        <v>-13.859531044166161</v>
      </c>
      <c r="AH202" s="86">
        <f t="shared" si="130"/>
        <v>75.241988221032216</v>
      </c>
      <c r="AJ202" s="86" t="str">
        <f t="shared" si="131"/>
        <v>15.0499955437545-0.0081894123601749j</v>
      </c>
      <c r="AK202" s="86" t="str">
        <f t="shared" si="132"/>
        <v>30.1-3.27576591401129E-10j</v>
      </c>
      <c r="AL202" s="86" t="str">
        <f t="shared" si="146"/>
        <v>10000-61462.1315565899j</v>
      </c>
      <c r="AM202" s="86" t="str">
        <f t="shared" si="147"/>
        <v>951.163338629056-19181.182894125j</v>
      </c>
      <c r="AN202" s="86" t="str">
        <f t="shared" si="148"/>
        <v>10951.1633386291-19181.182894125j</v>
      </c>
      <c r="AO202" s="86" t="str">
        <f t="shared" si="149"/>
        <v>30.079633543924-0.0355744790404271j</v>
      </c>
      <c r="AP202" s="86" t="str">
        <f t="shared" si="150"/>
        <v>0.666666710532755+0.000120921573178696j</v>
      </c>
      <c r="AQ202" s="86" t="str">
        <f t="shared" si="133"/>
        <v>1+20.2010566271497j</v>
      </c>
      <c r="AR202" s="86">
        <f t="shared" si="134"/>
        <v>-7.2038854677353572E-6</v>
      </c>
      <c r="AS202" s="86" t="str">
        <f t="shared" si="135"/>
        <v>0.000106510823110565j</v>
      </c>
      <c r="AT202" s="86" t="str">
        <f t="shared" si="136"/>
        <v>-7.20388546773536E-06+0.000106510823110565j</v>
      </c>
      <c r="AU202" s="86" t="str">
        <f t="shared" si="137"/>
        <v>18.8166228880158-2.21153859575674j</v>
      </c>
      <c r="AW202" s="86" t="str">
        <f t="shared" si="151"/>
        <v>11.475391797796-4.36752812917194j</v>
      </c>
      <c r="AX202" s="86">
        <f t="shared" si="138"/>
        <v>21.782858950720861</v>
      </c>
      <c r="AY202" s="86">
        <f t="shared" si="139"/>
        <v>159.16320136250539</v>
      </c>
      <c r="AZ202" s="86" t="str">
        <f t="shared" si="140"/>
        <v>-5.60508557512949+1.32341288029271j</v>
      </c>
      <c r="BA202" s="86">
        <f t="shared" si="141"/>
        <v>15.207246002189141</v>
      </c>
      <c r="BB202" s="86">
        <f t="shared" si="142"/>
        <v>-13.284768666944274</v>
      </c>
      <c r="BD202" s="86" t="str">
        <f t="shared" si="143"/>
        <v>-1.44919284846997-2.02459855365314j</v>
      </c>
      <c r="BE202" s="86">
        <f t="shared" si="144"/>
        <v>7.9233279065546895</v>
      </c>
      <c r="BF202" s="86">
        <f t="shared" si="145"/>
        <v>54.405189583537521</v>
      </c>
      <c r="BH202" s="86">
        <f t="shared" si="152"/>
        <v>-6.9233279065546895</v>
      </c>
      <c r="BI202" s="157">
        <f t="shared" si="153"/>
        <v>-54.405189583537521</v>
      </c>
      <c r="BJ202" s="88"/>
      <c r="BK202" s="88"/>
      <c r="BL202" s="88"/>
      <c r="BM202" s="88"/>
      <c r="BN202" s="42"/>
      <c r="BO202" s="42"/>
      <c r="BP202" s="42"/>
    </row>
    <row r="203" spans="1:68" s="86" customFormat="1">
      <c r="A203" s="86">
        <v>139</v>
      </c>
      <c r="B203" s="86">
        <f t="shared" si="103"/>
        <v>60255.95860743583</v>
      </c>
      <c r="C203" s="86" t="str">
        <f t="shared" si="104"/>
        <v>378599.353792262j</v>
      </c>
      <c r="D203" s="86">
        <f t="shared" si="105"/>
        <v>0.99636921945229895</v>
      </c>
      <c r="E203" s="86" t="str">
        <f t="shared" si="106"/>
        <v>-0.0946498384480655j</v>
      </c>
      <c r="F203" s="86" t="str">
        <f t="shared" si="107"/>
        <v>0.996369219452299-0.0946498384480655j</v>
      </c>
      <c r="G203" s="86">
        <f t="shared" si="108"/>
        <v>7.4210184272154025E-3</v>
      </c>
      <c r="H203" s="86">
        <f t="shared" si="109"/>
        <v>-5.4265140178044646</v>
      </c>
      <c r="J203" s="86">
        <f t="shared" si="110"/>
        <v>4.8</v>
      </c>
      <c r="K203" s="86" t="str">
        <f t="shared" si="111"/>
        <v>1+15.4790345797966j</v>
      </c>
      <c r="L203" s="86">
        <f t="shared" si="112"/>
        <v>-22.441409956956267</v>
      </c>
      <c r="M203" s="86" t="str">
        <f t="shared" si="113"/>
        <v>2.16445250563036j</v>
      </c>
      <c r="N203" s="86" t="str">
        <f t="shared" si="114"/>
        <v>-22.4414099569563+2.16445250563036j</v>
      </c>
      <c r="O203" s="86" t="str">
        <f t="shared" si="115"/>
        <v>0.0217631073264513-0.687654180250383j</v>
      </c>
      <c r="P203" s="86" t="str">
        <f t="shared" si="116"/>
        <v>0.104462915166966-3.30074006520184j</v>
      </c>
      <c r="R203" s="86">
        <f t="shared" si="117"/>
        <v>11.52</v>
      </c>
      <c r="S203" s="86" t="str">
        <f t="shared" si="118"/>
        <v>1+0.0321809450723423j</v>
      </c>
      <c r="T203" s="86" t="str">
        <f t="shared" si="119"/>
        <v>-22.4414099569563+2.16445250563036j</v>
      </c>
      <c r="U203" s="86" t="str">
        <f t="shared" si="120"/>
        <v>-0.0440127472858635-0.00567898569917621j</v>
      </c>
      <c r="V203" s="86" t="str">
        <f t="shared" si="121"/>
        <v>-0.507026848733148-0.0654219152545099j</v>
      </c>
      <c r="X203" s="86" t="str">
        <f t="shared" si="122"/>
        <v>-0.128513547604205-2.03484158745757j</v>
      </c>
      <c r="Y203" s="86">
        <f t="shared" si="123"/>
        <v>6.1879005568028997</v>
      </c>
      <c r="Z203" s="86">
        <f t="shared" si="124"/>
        <v>86.386196742826087</v>
      </c>
      <c r="AB203" s="86" t="str">
        <f t="shared" si="125"/>
        <v>-0.422663261698189-0.0545364415259336j</v>
      </c>
      <c r="AC203" s="86">
        <f t="shared" si="126"/>
        <v>-7.4084002014589601</v>
      </c>
      <c r="AD203" s="86">
        <f t="shared" si="127"/>
        <v>7.3522788847349432</v>
      </c>
      <c r="AF203" s="86" t="str">
        <f t="shared" si="128"/>
        <v>-0.0525242177821659-0.185217915636002j</v>
      </c>
      <c r="AG203" s="86">
        <f t="shared" si="129"/>
        <v>-14.310422088605748</v>
      </c>
      <c r="AH203" s="86">
        <f t="shared" si="130"/>
        <v>74.167689470247282</v>
      </c>
      <c r="AJ203" s="86" t="str">
        <f t="shared" si="131"/>
        <v>15.0499951138241-0.00857536722912912j</v>
      </c>
      <c r="AK203" s="86" t="str">
        <f t="shared" si="132"/>
        <v>30.1-3.43014800529328E-10j</v>
      </c>
      <c r="AL203" s="86" t="str">
        <f t="shared" si="146"/>
        <v>10000-58695.8799576176j</v>
      </c>
      <c r="AM203" s="86" t="str">
        <f t="shared" si="147"/>
        <v>950.023670403027-18327.5870602716j</v>
      </c>
      <c r="AN203" s="86" t="str">
        <f t="shared" si="148"/>
        <v>10950.023670403-18327.5870602716j</v>
      </c>
      <c r="AO203" s="86" t="str">
        <f t="shared" si="149"/>
        <v>30.0782061425106-0.0363774431192371j</v>
      </c>
      <c r="AP203" s="86" t="str">
        <f t="shared" si="150"/>
        <v>0.666666714764875+0.000126620429743019j</v>
      </c>
      <c r="AQ203" s="86" t="str">
        <f t="shared" si="133"/>
        <v>1+21.1531030950813j</v>
      </c>
      <c r="AR203" s="86">
        <f t="shared" si="134"/>
        <v>-7.908551162498841E-6</v>
      </c>
      <c r="AS203" s="86" t="str">
        <f t="shared" si="135"/>
        <v>0.000111530523555472j</v>
      </c>
      <c r="AT203" s="86" t="str">
        <f t="shared" si="136"/>
        <v>-7.90855116249884E-06+0.000111530523555472j</v>
      </c>
      <c r="AU203" s="86" t="str">
        <f t="shared" si="137"/>
        <v>18.808053151653-2.23028138564352j</v>
      </c>
      <c r="AW203" s="86" t="str">
        <f t="shared" si="151"/>
        <v>11.3871698244006-4.49403585649759j</v>
      </c>
      <c r="AX203" s="86">
        <f t="shared" si="138"/>
        <v>21.756973053021333</v>
      </c>
      <c r="AY203" s="86">
        <f t="shared" si="139"/>
        <v>158.46294040982357</v>
      </c>
      <c r="AZ203" s="86" t="str">
        <f t="shared" si="140"/>
        <v>-5.05802706319568+1.27844813202159j</v>
      </c>
      <c r="BA203" s="86">
        <f t="shared" si="141"/>
        <v>14.348572851562372</v>
      </c>
      <c r="BB203" s="86">
        <f t="shared" si="142"/>
        <v>-14.18478070544154</v>
      </c>
      <c r="BD203" s="86" t="str">
        <f t="shared" si="143"/>
        <v>-1.43047814191327-1.87306214182112j</v>
      </c>
      <c r="BE203" s="86">
        <f t="shared" si="144"/>
        <v>7.4465509644156125</v>
      </c>
      <c r="BF203" s="86">
        <f t="shared" si="145"/>
        <v>52.630629880070785</v>
      </c>
      <c r="BH203" s="86">
        <f t="shared" si="152"/>
        <v>-6.4465509644156125</v>
      </c>
      <c r="BI203" s="157">
        <f t="shared" si="153"/>
        <v>-52.630629880070785</v>
      </c>
      <c r="BJ203" s="88"/>
      <c r="BK203" s="88"/>
      <c r="BL203" s="88"/>
      <c r="BM203" s="88"/>
      <c r="BN203" s="42"/>
      <c r="BO203" s="42"/>
      <c r="BP203" s="42"/>
    </row>
    <row r="204" spans="1:68" s="86" customFormat="1">
      <c r="A204" s="86">
        <v>140</v>
      </c>
      <c r="B204" s="86">
        <f t="shared" si="103"/>
        <v>63095.734448019379</v>
      </c>
      <c r="C204" s="86" t="str">
        <f t="shared" si="104"/>
        <v>396442.1916295j</v>
      </c>
      <c r="D204" s="86">
        <f t="shared" si="105"/>
        <v>0.99601892829446503</v>
      </c>
      <c r="E204" s="86" t="str">
        <f t="shared" si="106"/>
        <v>-0.099110547907375j</v>
      </c>
      <c r="F204" s="86" t="str">
        <f t="shared" si="107"/>
        <v>0.996018928294465-0.099110547907375j</v>
      </c>
      <c r="G204" s="86">
        <f t="shared" si="108"/>
        <v>8.1423596783219351E-3</v>
      </c>
      <c r="H204" s="86">
        <f t="shared" si="109"/>
        <v>-5.6826071061113668</v>
      </c>
      <c r="J204" s="86">
        <f t="shared" si="110"/>
        <v>4.8</v>
      </c>
      <c r="K204" s="86" t="str">
        <f t="shared" si="111"/>
        <v>1+16.2085390047721j</v>
      </c>
      <c r="L204" s="86">
        <f t="shared" si="112"/>
        <v>-24.702994904656322</v>
      </c>
      <c r="M204" s="86" t="str">
        <f t="shared" si="113"/>
        <v>2.26646000954585j</v>
      </c>
      <c r="N204" s="86" t="str">
        <f t="shared" si="114"/>
        <v>-24.7029949046563+2.26646000954585j</v>
      </c>
      <c r="O204" s="86" t="str">
        <f t="shared" si="115"/>
        <v>0.0195539541062606-0.654342552882725j</v>
      </c>
      <c r="P204" s="86" t="str">
        <f t="shared" si="116"/>
        <v>0.0938589797100509-3.14084425383708j</v>
      </c>
      <c r="R204" s="86">
        <f t="shared" si="117"/>
        <v>11.52</v>
      </c>
      <c r="S204" s="86" t="str">
        <f t="shared" si="118"/>
        <v>1+0.0336975862885075j</v>
      </c>
      <c r="T204" s="86" t="str">
        <f t="shared" si="119"/>
        <v>-24.7029949046563+2.26646000954585j</v>
      </c>
      <c r="U204" s="86" t="str">
        <f t="shared" si="120"/>
        <v>-0.0400188970097162-0.00503577871700549j</v>
      </c>
      <c r="V204" s="86" t="str">
        <f t="shared" si="121"/>
        <v>-0.461017693551931-0.0580121708199032j</v>
      </c>
      <c r="X204" s="86" t="str">
        <f t="shared" si="122"/>
        <v>-0.134358162000543-1.93552486619563j</v>
      </c>
      <c r="Y204" s="86">
        <f t="shared" si="123"/>
        <v>5.7568522259970294</v>
      </c>
      <c r="Z204" s="86">
        <f t="shared" si="124"/>
        <v>86.029073904857</v>
      </c>
      <c r="AB204" s="86" t="str">
        <f t="shared" si="125"/>
        <v>-0.384309514464764-0.0483595955484355j</v>
      </c>
      <c r="AC204" s="86">
        <f t="shared" si="126"/>
        <v>-8.2381478892023861</v>
      </c>
      <c r="AD204" s="86">
        <f t="shared" si="127"/>
        <v>7.1721185873769002</v>
      </c>
      <c r="AF204" s="86" t="str">
        <f t="shared" si="128"/>
        <v>-0.0531794653160625-0.174771789436958j</v>
      </c>
      <c r="AG204" s="86">
        <f t="shared" si="129"/>
        <v>-14.766017075470341</v>
      </c>
      <c r="AH204" s="86">
        <f t="shared" si="130"/>
        <v>73.0760721400043</v>
      </c>
      <c r="AJ204" s="86" t="str">
        <f t="shared" si="131"/>
        <v>15.0499946424148-0.00897951155437701j</v>
      </c>
      <c r="AK204" s="86" t="str">
        <f t="shared" si="132"/>
        <v>30.1-3.59180590038245E-10j</v>
      </c>
      <c r="AL204" s="86" t="str">
        <f t="shared" si="146"/>
        <v>10000-56054.1301895291j</v>
      </c>
      <c r="AM204" s="86" t="str">
        <f t="shared" si="147"/>
        <v>948.777183929661-17512.8410159051j</v>
      </c>
      <c r="AN204" s="86" t="str">
        <f t="shared" si="148"/>
        <v>10948.7771839297-17512.8410159051j</v>
      </c>
      <c r="AO204" s="86" t="str">
        <f t="shared" si="149"/>
        <v>30.0767178145677-0.0371383347375933j</v>
      </c>
      <c r="AP204" s="86" t="str">
        <f t="shared" si="150"/>
        <v>0.666666719405303+0.000132587864904595j</v>
      </c>
      <c r="AQ204" s="86" t="str">
        <f t="shared" si="133"/>
        <v>1+22.1500181307234j</v>
      </c>
      <c r="AR204" s="86">
        <f t="shared" si="134"/>
        <v>-8.681201732377143E-6</v>
      </c>
      <c r="AS204" s="86" t="str">
        <f t="shared" si="135"/>
        <v>0.000116786795193998j</v>
      </c>
      <c r="AT204" s="86" t="str">
        <f t="shared" si="136"/>
        <v>-8.68120173237714E-06+0.000116786795193998j</v>
      </c>
      <c r="AU204" s="86" t="str">
        <f t="shared" si="137"/>
        <v>18.7986794705879-2.253637736606j</v>
      </c>
      <c r="AW204" s="86" t="str">
        <f t="shared" si="151"/>
        <v>11.2915367447661-4.62597404150151j</v>
      </c>
      <c r="AX204" s="86">
        <f t="shared" si="138"/>
        <v>21.728901415476344</v>
      </c>
      <c r="AY204" s="86">
        <f t="shared" si="139"/>
        <v>157.7218199060145</v>
      </c>
      <c r="AZ204" s="86" t="str">
        <f t="shared" si="140"/>
        <v>-4.56315523760668+1.23175168771886j</v>
      </c>
      <c r="BA204" s="86">
        <f t="shared" si="141"/>
        <v>13.490753526273965</v>
      </c>
      <c r="BB204" s="86">
        <f t="shared" si="142"/>
        <v>-15.106061506608569</v>
      </c>
      <c r="BD204" s="86" t="str">
        <f t="shared" si="143"/>
        <v>-1.40896764780547-1.7274352562829j</v>
      </c>
      <c r="BE204" s="86">
        <f t="shared" si="144"/>
        <v>6.962884340006001</v>
      </c>
      <c r="BF204" s="86">
        <f t="shared" si="145"/>
        <v>50.797892046018802</v>
      </c>
      <c r="BH204" s="86">
        <f t="shared" si="152"/>
        <v>-5.962884340006001</v>
      </c>
      <c r="BI204" s="157">
        <f t="shared" si="153"/>
        <v>-50.797892046018802</v>
      </c>
      <c r="BJ204" s="88"/>
      <c r="BK204" s="88"/>
      <c r="BL204" s="88"/>
      <c r="BM204" s="88"/>
      <c r="BN204" s="42"/>
      <c r="BO204" s="42"/>
      <c r="BP204" s="42"/>
    </row>
    <row r="205" spans="1:68" s="86" customFormat="1">
      <c r="A205" s="86">
        <v>141</v>
      </c>
      <c r="B205" s="86">
        <f t="shared" si="103"/>
        <v>66069.344800759645</v>
      </c>
      <c r="C205" s="86" t="str">
        <f t="shared" si="104"/>
        <v>415125.936507115j</v>
      </c>
      <c r="D205" s="86">
        <f t="shared" si="105"/>
        <v>0.9956348416775983</v>
      </c>
      <c r="E205" s="86" t="str">
        <f t="shared" si="106"/>
        <v>-0.103781484126779j</v>
      </c>
      <c r="F205" s="86" t="str">
        <f t="shared" si="107"/>
        <v>0.995634841677598-0.103781484126779j</v>
      </c>
      <c r="G205" s="86">
        <f t="shared" si="108"/>
        <v>8.9343794229882947E-3</v>
      </c>
      <c r="H205" s="86">
        <f t="shared" si="109"/>
        <v>-5.9508208302516188</v>
      </c>
      <c r="J205" s="86">
        <f t="shared" si="110"/>
        <v>4.8</v>
      </c>
      <c r="K205" s="86" t="str">
        <f t="shared" si="111"/>
        <v>1+16.9724239140934j</v>
      </c>
      <c r="L205" s="86">
        <f t="shared" si="112"/>
        <v>-27.182773488535055</v>
      </c>
      <c r="M205" s="86" t="str">
        <f t="shared" si="113"/>
        <v>2.37327497901118j</v>
      </c>
      <c r="N205" s="86" t="str">
        <f t="shared" si="114"/>
        <v>-27.1827734885351+2.37327497901118j</v>
      </c>
      <c r="O205" s="86" t="str">
        <f t="shared" si="115"/>
        <v>0.0175914427298032-0.62284573685459j</v>
      </c>
      <c r="P205" s="86" t="str">
        <f t="shared" si="116"/>
        <v>0.0844389251030554-2.98965953690203j</v>
      </c>
      <c r="R205" s="86">
        <f t="shared" si="117"/>
        <v>11.52</v>
      </c>
      <c r="S205" s="86" t="str">
        <f t="shared" si="118"/>
        <v>1+0.0352857046031048j</v>
      </c>
      <c r="T205" s="86" t="str">
        <f t="shared" si="119"/>
        <v>-27.1827734885351+2.37327497901118j</v>
      </c>
      <c r="U205" s="86" t="str">
        <f t="shared" si="120"/>
        <v>-0.0363972259938484-0.00447586153822883j</v>
      </c>
      <c r="V205" s="86" t="str">
        <f t="shared" si="121"/>
        <v>-0.419296043449134-0.0515619249203961j</v>
      </c>
      <c r="X205" s="86" t="str">
        <f t="shared" si="122"/>
        <v>-0.139537109270447-1.8415935091092j</v>
      </c>
      <c r="Y205" s="86">
        <f t="shared" si="123"/>
        <v>5.3287373086911156</v>
      </c>
      <c r="Z205" s="86">
        <f t="shared" si="124"/>
        <v>85.666991553119999</v>
      </c>
      <c r="AB205" s="86" t="str">
        <f t="shared" si="125"/>
        <v>-0.349529879500779-0.0429825982997633j</v>
      </c>
      <c r="AC205" s="86">
        <f t="shared" si="126"/>
        <v>-9.065130340045684</v>
      </c>
      <c r="AD205" s="86">
        <f t="shared" si="127"/>
        <v>7.0106136292041015</v>
      </c>
      <c r="AF205" s="86" t="str">
        <f t="shared" si="128"/>
        <v>-0.0536322270075831-0.164738492459348j</v>
      </c>
      <c r="AG205" s="86">
        <f t="shared" si="129"/>
        <v>-15.226589513192225</v>
      </c>
      <c r="AH205" s="86">
        <f t="shared" si="130"/>
        <v>71.966834320738315</v>
      </c>
      <c r="AJ205" s="86" t="str">
        <f t="shared" si="131"/>
        <v>15.0499941255249-0.00940270257320658j</v>
      </c>
      <c r="AK205" s="86" t="str">
        <f t="shared" si="132"/>
        <v>30.1-3.76108249734812E-10j</v>
      </c>
      <c r="AL205" s="86" t="str">
        <f t="shared" si="146"/>
        <v>10000-53531.2787468805j</v>
      </c>
      <c r="AM205" s="86" t="str">
        <f t="shared" si="147"/>
        <v>947.414192797452-16735.2129158045j</v>
      </c>
      <c r="AN205" s="86" t="str">
        <f t="shared" si="148"/>
        <v>10947.4141927975-16735.2129158045j</v>
      </c>
      <c r="AO205" s="86" t="str">
        <f t="shared" si="149"/>
        <v>30.0751712336243-0.0378514378156911j</v>
      </c>
      <c r="AP205" s="86" t="str">
        <f t="shared" si="150"/>
        <v>0.66666672449343+0.000138836536347463j</v>
      </c>
      <c r="AQ205" s="86" t="str">
        <f t="shared" si="133"/>
        <v>1+23.1939163245255j</v>
      </c>
      <c r="AR205" s="86">
        <f t="shared" si="134"/>
        <v>-9.5283962354863054E-6</v>
      </c>
      <c r="AS205" s="86" t="str">
        <f t="shared" si="135"/>
        <v>0.000122290787283009j</v>
      </c>
      <c r="AT205" s="86" t="str">
        <f t="shared" si="136"/>
        <v>-9.52839623548631E-06+0.000122290787283009j</v>
      </c>
      <c r="AU205" s="86" t="str">
        <f t="shared" si="137"/>
        <v>18.788424812484-2.28164003563298j</v>
      </c>
      <c r="AW205" s="86" t="str">
        <f t="shared" si="151"/>
        <v>11.1879748208057-4.76309636705742j</v>
      </c>
      <c r="AX205" s="86">
        <f t="shared" si="138"/>
        <v>21.698444385087797</v>
      </c>
      <c r="AY205" s="86">
        <f t="shared" si="139"/>
        <v>156.93891762199257</v>
      </c>
      <c r="AZ205" s="86" t="str">
        <f t="shared" si="140"/>
        <v>-4.11526174878225+1.18395627171762j</v>
      </c>
      <c r="BA205" s="86">
        <f t="shared" si="141"/>
        <v>12.633314045042098</v>
      </c>
      <c r="BB205" s="86">
        <f t="shared" si="142"/>
        <v>-16.050468748803354</v>
      </c>
      <c r="BD205" s="86" t="str">
        <f t="shared" si="143"/>
        <v>-1.38470132029221-1.58763464003566j</v>
      </c>
      <c r="BE205" s="86">
        <f t="shared" si="144"/>
        <v>6.4718548718955731</v>
      </c>
      <c r="BF205" s="86">
        <f t="shared" si="145"/>
        <v>48.905751942730973</v>
      </c>
      <c r="BH205" s="86">
        <f t="shared" si="152"/>
        <v>-5.4718548718955731</v>
      </c>
      <c r="BI205" s="157">
        <f t="shared" si="153"/>
        <v>-48.905751942730973</v>
      </c>
      <c r="BJ205" s="88"/>
      <c r="BK205" s="88"/>
      <c r="BL205" s="88"/>
      <c r="BM205" s="88"/>
      <c r="BN205" s="42"/>
      <c r="BO205" s="42"/>
      <c r="BP205" s="42"/>
    </row>
    <row r="206" spans="1:68" s="86" customFormat="1">
      <c r="A206" s="86">
        <v>142</v>
      </c>
      <c r="B206" s="86">
        <f t="shared" si="103"/>
        <v>69183.097091893665</v>
      </c>
      <c r="C206" s="86" t="str">
        <f t="shared" si="104"/>
        <v>434690.219152965j</v>
      </c>
      <c r="D206" s="86">
        <f t="shared" si="105"/>
        <v>0.99521369907677359</v>
      </c>
      <c r="E206" s="86" t="str">
        <f t="shared" si="106"/>
        <v>-0.108672554788241j</v>
      </c>
      <c r="F206" s="86" t="str">
        <f t="shared" si="107"/>
        <v>0.995213699076774-0.108672554788241j</v>
      </c>
      <c r="G206" s="86">
        <f t="shared" si="108"/>
        <v>9.804115263636658E-3</v>
      </c>
      <c r="H206" s="86">
        <f t="shared" si="109"/>
        <v>-6.2317339160522343</v>
      </c>
      <c r="J206" s="86">
        <f t="shared" si="110"/>
        <v>4.8</v>
      </c>
      <c r="K206" s="86" t="str">
        <f t="shared" si="111"/>
        <v>1+17.772309610069j</v>
      </c>
      <c r="L206" s="86">
        <f t="shared" si="112"/>
        <v>-29.901796637020954</v>
      </c>
      <c r="M206" s="86" t="str">
        <f t="shared" si="113"/>
        <v>2.4851239828975j</v>
      </c>
      <c r="N206" s="86" t="str">
        <f t="shared" si="114"/>
        <v>-29.901796637021+2.4851239828975j</v>
      </c>
      <c r="O206" s="86" t="str">
        <f t="shared" si="115"/>
        <v>0.0158443881238851-0.593039092480252j</v>
      </c>
      <c r="P206" s="86" t="str">
        <f t="shared" si="116"/>
        <v>0.0760530629946485-2.84658764390521j</v>
      </c>
      <c r="R206" s="86">
        <f t="shared" si="117"/>
        <v>11.52</v>
      </c>
      <c r="S206" s="86" t="str">
        <f t="shared" si="118"/>
        <v>1+0.036948668628002j</v>
      </c>
      <c r="T206" s="86" t="str">
        <f t="shared" si="119"/>
        <v>-29.901796637021+2.4851239828975j</v>
      </c>
      <c r="U206" s="86" t="str">
        <f t="shared" si="120"/>
        <v>-0.0331114039906483-0.00398754008797409j</v>
      </c>
      <c r="V206" s="86" t="str">
        <f t="shared" si="121"/>
        <v>-0.381443373972268-0.0459364618134615j</v>
      </c>
      <c r="X206" s="86" t="str">
        <f t="shared" si="122"/>
        <v>-0.144136468107427-1.7526747629412j</v>
      </c>
      <c r="Y206" s="86">
        <f t="shared" si="123"/>
        <v>4.9032995095024763</v>
      </c>
      <c r="Z206" s="86">
        <f t="shared" si="124"/>
        <v>85.29868906745601</v>
      </c>
      <c r="AB206" s="86" t="str">
        <f t="shared" si="125"/>
        <v>-0.317975470133601-0.0382931492276271j</v>
      </c>
      <c r="AC206" s="86">
        <f t="shared" si="126"/>
        <v>-9.8895946982291942</v>
      </c>
      <c r="AD206" s="86">
        <f t="shared" si="127"/>
        <v>6.8669465459000776</v>
      </c>
      <c r="AF206" s="86" t="str">
        <f t="shared" si="128"/>
        <v>-0.0538927884184306-0.155106129010533j</v>
      </c>
      <c r="AG206" s="86">
        <f t="shared" si="129"/>
        <v>-15.692423562519958</v>
      </c>
      <c r="AH206" s="86">
        <f t="shared" si="130"/>
        <v>70.839833179780783</v>
      </c>
      <c r="AJ206" s="86" t="str">
        <f t="shared" si="131"/>
        <v>15.0499935587664-0.00984583792245785j</v>
      </c>
      <c r="AK206" s="86" t="str">
        <f t="shared" si="132"/>
        <v>30.1-3.93833685454776E-10j</v>
      </c>
      <c r="AL206" s="86" t="str">
        <f t="shared" si="146"/>
        <v>10000-51121.9743235179j</v>
      </c>
      <c r="AM206" s="86" t="str">
        <f t="shared" si="147"/>
        <v>945.924196693479-15993.0491337561j</v>
      </c>
      <c r="AN206" s="86" t="str">
        <f t="shared" si="148"/>
        <v>10945.9241966935-15993.0491337561j</v>
      </c>
      <c r="AO206" s="86" t="str">
        <f t="shared" si="149"/>
        <v>30.073569784856-0.0385111882169733j</v>
      </c>
      <c r="AP206" s="86" t="str">
        <f t="shared" si="150"/>
        <v>0.66666673007245+0.000145379698288705j</v>
      </c>
      <c r="AQ206" s="86" t="str">
        <f t="shared" si="133"/>
        <v>1+24.2870119245145j</v>
      </c>
      <c r="AR206" s="86">
        <f t="shared" si="134"/>
        <v>-1.0457326536037879E-5</v>
      </c>
      <c r="AS206" s="86" t="str">
        <f t="shared" si="135"/>
        <v>0.000128054174527658j</v>
      </c>
      <c r="AT206" s="86" t="str">
        <f t="shared" si="136"/>
        <v>-0.0000104573265360379+0.000128054174527658j</v>
      </c>
      <c r="AU206" s="86" t="str">
        <f t="shared" si="137"/>
        <v>18.7772051739903-2.31432803367599j</v>
      </c>
      <c r="AW206" s="86" t="str">
        <f t="shared" si="151"/>
        <v>11.0759500285898-4.90510821910897j</v>
      </c>
      <c r="AX206" s="86">
        <f t="shared" si="138"/>
        <v>21.665389126728055</v>
      </c>
      <c r="AY206" s="86">
        <f t="shared" si="139"/>
        <v>156.11330704113334</v>
      </c>
      <c r="AZ206" s="86" t="str">
        <f t="shared" si="140"/>
        <v>-3.70971245852912+1.13557108474484j</v>
      </c>
      <c r="BA206" s="86">
        <f t="shared" si="141"/>
        <v>11.775794428498878</v>
      </c>
      <c r="BB206" s="86">
        <f t="shared" si="142"/>
        <v>-17.01974641296664</v>
      </c>
      <c r="BD206" s="86" t="str">
        <f t="shared" si="143"/>
        <v>-1.35772617966765-1.45359777462673j</v>
      </c>
      <c r="BE206" s="86">
        <f t="shared" si="144"/>
        <v>5.9729655642081436</v>
      </c>
      <c r="BF206" s="86">
        <f t="shared" si="145"/>
        <v>46.953140220914094</v>
      </c>
      <c r="BH206" s="86">
        <f t="shared" si="152"/>
        <v>-4.9729655642081436</v>
      </c>
      <c r="BI206" s="157">
        <f t="shared" si="153"/>
        <v>-46.953140220914094</v>
      </c>
      <c r="BJ206" s="88"/>
      <c r="BK206" s="88"/>
      <c r="BL206" s="88"/>
      <c r="BM206" s="88"/>
      <c r="BN206" s="42"/>
      <c r="BO206" s="42"/>
      <c r="BP206" s="42"/>
    </row>
    <row r="207" spans="1:68" s="86" customFormat="1">
      <c r="A207" s="86">
        <v>143</v>
      </c>
      <c r="B207" s="86">
        <f t="shared" si="103"/>
        <v>72443.596007499029</v>
      </c>
      <c r="C207" s="86" t="str">
        <f t="shared" si="104"/>
        <v>455176.538033572j</v>
      </c>
      <c r="D207" s="86">
        <f t="shared" si="105"/>
        <v>0.99475192539750223</v>
      </c>
      <c r="E207" s="86" t="str">
        <f t="shared" si="106"/>
        <v>-0.113794134508393j</v>
      </c>
      <c r="F207" s="86" t="str">
        <f t="shared" si="107"/>
        <v>0.994751925397502-0.113794134508393j</v>
      </c>
      <c r="G207" s="86">
        <f t="shared" si="108"/>
        <v>1.0759327768389001E-2</v>
      </c>
      <c r="H207" s="86">
        <f t="shared" si="109"/>
        <v>-6.5259534466229043</v>
      </c>
      <c r="J207" s="86">
        <f t="shared" si="110"/>
        <v>4.8</v>
      </c>
      <c r="K207" s="86" t="str">
        <f t="shared" si="111"/>
        <v>1+18.6098927575026j</v>
      </c>
      <c r="L207" s="86">
        <f t="shared" si="112"/>
        <v>-32.883146234144327</v>
      </c>
      <c r="M207" s="86" t="str">
        <f t="shared" si="113"/>
        <v>2.60224426793793j</v>
      </c>
      <c r="N207" s="86" t="str">
        <f t="shared" si="114"/>
        <v>-32.8831462341443+2.60224426793793j</v>
      </c>
      <c r="O207" s="86" t="str">
        <f t="shared" si="115"/>
        <v>0.014286119392263-0.564809603465437j</v>
      </c>
      <c r="P207" s="86" t="str">
        <f t="shared" si="116"/>
        <v>0.0685733730828624-2.7110860966341j</v>
      </c>
      <c r="R207" s="86">
        <f t="shared" si="117"/>
        <v>11.52</v>
      </c>
      <c r="S207" s="86" t="str">
        <f t="shared" si="118"/>
        <v>1+0.0386900057328536j</v>
      </c>
      <c r="T207" s="86" t="str">
        <f t="shared" si="119"/>
        <v>-32.8831462341443+2.60224426793793j</v>
      </c>
      <c r="U207" s="86" t="str">
        <f t="shared" si="120"/>
        <v>-0.030128921447644-0.0035608763843757j</v>
      </c>
      <c r="V207" s="86" t="str">
        <f t="shared" si="121"/>
        <v>-0.347085175076859-0.0410212959480081j</v>
      </c>
      <c r="X207" s="86" t="str">
        <f t="shared" si="122"/>
        <v>-0.148229600507575-1.66843065023111j</v>
      </c>
      <c r="Y207" s="86">
        <f t="shared" si="123"/>
        <v>4.4803083773876917</v>
      </c>
      <c r="Z207" s="86">
        <f t="shared" si="124"/>
        <v>84.922959338553056</v>
      </c>
      <c r="AB207" s="86" t="str">
        <f t="shared" si="125"/>
        <v>-0.289334090594247-0.0341958118939714j</v>
      </c>
      <c r="AC207" s="86">
        <f t="shared" si="126"/>
        <v>-10.71176365734204</v>
      </c>
      <c r="AD207" s="86">
        <f t="shared" si="127"/>
        <v>6.740404316266023</v>
      </c>
      <c r="AF207" s="86" t="str">
        <f t="shared" si="128"/>
        <v>-0.0539707897790441-0.145863641014697j</v>
      </c>
      <c r="AG207" s="86">
        <f t="shared" si="129"/>
        <v>-16.163812251259898</v>
      </c>
      <c r="AH207" s="86">
        <f t="shared" si="130"/>
        <v>69.695096966480094</v>
      </c>
      <c r="AJ207" s="86" t="str">
        <f t="shared" si="131"/>
        <v>15.0499929373281-0.0103098575423773j</v>
      </c>
      <c r="AK207" s="86" t="str">
        <f t="shared" si="132"/>
        <v>30.1-4.12394495223796E-10j</v>
      </c>
      <c r="AL207" s="86" t="str">
        <f t="shared" si="146"/>
        <v>10000-48821.1064617378j</v>
      </c>
      <c r="AM207" s="86" t="str">
        <f t="shared" si="147"/>
        <v>944.295825854646-15284.7706861954j</v>
      </c>
      <c r="AN207" s="86" t="str">
        <f t="shared" si="148"/>
        <v>10944.2958258546-15284.7706861954j</v>
      </c>
      <c r="AO207" s="86" t="str">
        <f t="shared" si="149"/>
        <v>30.0719175619116-0.0391122789631252j</v>
      </c>
      <c r="AP207" s="86" t="str">
        <f t="shared" si="150"/>
        <v>0.666666736189725+0.000152231229591409j</v>
      </c>
      <c r="AQ207" s="86" t="str">
        <f t="shared" si="133"/>
        <v>1+25.4316235330117j</v>
      </c>
      <c r="AR207" s="86">
        <f t="shared" si="134"/>
        <v>-1.1475878356329408E-5</v>
      </c>
      <c r="AS207" s="86" t="str">
        <f t="shared" si="135"/>
        <v>0.000134089181845003j</v>
      </c>
      <c r="AT207" s="86" t="str">
        <f t="shared" si="136"/>
        <v>-0.0000114758783563294+0.000134089181845003j</v>
      </c>
      <c r="AU207" s="86" t="str">
        <f t="shared" si="137"/>
        <v>18.7649289683093-2.35174857409447j</v>
      </c>
      <c r="AW207" s="86" t="str">
        <f t="shared" si="151"/>
        <v>10.9549154989857-5.05166128170361j</v>
      </c>
      <c r="AX207" s="86">
        <f t="shared" si="138"/>
        <v>21.629509038195319</v>
      </c>
      <c r="AY207" s="86">
        <f t="shared" si="139"/>
        <v>155.24406474049286</v>
      </c>
      <c r="AZ207" s="86" t="str">
        <f t="shared" si="140"/>
        <v>-3.34237617237705+1.08700559321422j</v>
      </c>
      <c r="BA207" s="86">
        <f t="shared" si="141"/>
        <v>10.917745380853301</v>
      </c>
      <c r="BB207" s="86">
        <f t="shared" si="142"/>
        <v>-18.015530943241146</v>
      </c>
      <c r="BD207" s="86" t="str">
        <f t="shared" si="143"/>
        <v>-1.32809914916522-1.32528171262064j</v>
      </c>
      <c r="BE207" s="86">
        <f t="shared" si="144"/>
        <v>5.4656967869354958</v>
      </c>
      <c r="BF207" s="86">
        <f t="shared" si="145"/>
        <v>44.939161706972953</v>
      </c>
      <c r="BH207" s="86">
        <f t="shared" si="152"/>
        <v>-4.4656967869354958</v>
      </c>
      <c r="BI207" s="157">
        <f t="shared" si="153"/>
        <v>-44.939161706972953</v>
      </c>
      <c r="BJ207" s="88"/>
      <c r="BK207" s="88"/>
      <c r="BL207" s="88"/>
      <c r="BM207" s="88"/>
      <c r="BN207" s="42"/>
      <c r="BO207" s="42"/>
      <c r="BP207" s="42"/>
    </row>
    <row r="208" spans="1:68" s="86" customFormat="1">
      <c r="A208" s="86">
        <v>144</v>
      </c>
      <c r="B208" s="86">
        <f t="shared" si="103"/>
        <v>75857.757502918379</v>
      </c>
      <c r="C208" s="86" t="str">
        <f t="shared" si="104"/>
        <v>476628.347377929j</v>
      </c>
      <c r="D208" s="86">
        <f t="shared" si="105"/>
        <v>0.99424560062662837</v>
      </c>
      <c r="E208" s="86" t="str">
        <f t="shared" si="106"/>
        <v>-0.119157086844482j</v>
      </c>
      <c r="F208" s="86" t="str">
        <f t="shared" si="107"/>
        <v>0.994245600626628-0.119157086844482j</v>
      </c>
      <c r="G208" s="86">
        <f t="shared" si="108"/>
        <v>1.1808579042975401E-2</v>
      </c>
      <c r="H208" s="86">
        <f t="shared" si="109"/>
        <v>-6.834116351948599</v>
      </c>
      <c r="J208" s="86">
        <f t="shared" si="110"/>
        <v>4.8</v>
      </c>
      <c r="K208" s="86" t="str">
        <f t="shared" si="111"/>
        <v>1+19.4869499825466j</v>
      </c>
      <c r="L208" s="86">
        <f t="shared" si="112"/>
        <v>-36.152131062470282</v>
      </c>
      <c r="M208" s="86" t="str">
        <f t="shared" si="113"/>
        <v>2.72488426195962j</v>
      </c>
      <c r="N208" s="86" t="str">
        <f t="shared" si="114"/>
        <v>-36.1521310624703+2.72488426195962j</v>
      </c>
      <c r="O208" s="86" t="str">
        <f t="shared" si="115"/>
        <v>0.0128937400761516-0.538054478711722j</v>
      </c>
      <c r="P208" s="86" t="str">
        <f t="shared" si="116"/>
        <v>0.0618899523655277-2.58266149781627j</v>
      </c>
      <c r="R208" s="86">
        <f t="shared" si="117"/>
        <v>11.52</v>
      </c>
      <c r="S208" s="86" t="str">
        <f t="shared" si="118"/>
        <v>1+0.040513409527124j</v>
      </c>
      <c r="T208" s="86" t="str">
        <f t="shared" si="119"/>
        <v>-36.1521310624703+2.72488426195962j</v>
      </c>
      <c r="U208" s="86" t="str">
        <f t="shared" si="120"/>
        <v>-0.0274206432850967-0.00318740515374805j</v>
      </c>
      <c r="V208" s="86" t="str">
        <f t="shared" si="121"/>
        <v>-0.315885810644314-0.0367189073711775j</v>
      </c>
      <c r="X208" s="86" t="str">
        <f t="shared" si="122"/>
        <v>-0.151879267728288-1.58855376735571j</v>
      </c>
      <c r="Y208" s="86">
        <f t="shared" si="123"/>
        <v>4.0595568398753574</v>
      </c>
      <c r="Z208" s="86">
        <f t="shared" si="124"/>
        <v>84.538635952219465</v>
      </c>
      <c r="AB208" s="86" t="str">
        <f t="shared" si="125"/>
        <v>-0.26332595085388-0.0306092925735058j</v>
      </c>
      <c r="AC208" s="86">
        <f t="shared" si="126"/>
        <v>-11.531837877265422</v>
      </c>
      <c r="AD208" s="86">
        <f t="shared" si="127"/>
        <v>6.6303669157385059</v>
      </c>
      <c r="AF208" s="86" t="str">
        <f t="shared" si="128"/>
        <v>-0.0538753709447484-0.137000796742989j</v>
      </c>
      <c r="AG208" s="86">
        <f t="shared" si="129"/>
        <v>-16.641055388601107</v>
      </c>
      <c r="AH208" s="86">
        <f t="shared" si="130"/>
        <v>68.532836400749474</v>
      </c>
      <c r="AJ208" s="86" t="str">
        <f t="shared" si="131"/>
        <v>15.0499922559346-0.0107957456701801j</v>
      </c>
      <c r="AK208" s="86" t="str">
        <f t="shared" si="132"/>
        <v>30.1-4.31830049007879E-10j</v>
      </c>
      <c r="AL208" s="86" t="str">
        <f t="shared" si="146"/>
        <v>10000-46623.7947123228j</v>
      </c>
      <c r="AM208" s="86" t="str">
        <f t="shared" si="147"/>
        <v>942.516784373787-14608.8698057488j</v>
      </c>
      <c r="AN208" s="86" t="str">
        <f t="shared" si="148"/>
        <v>10942.5167843738-14608.8698057488j</v>
      </c>
      <c r="AO208" s="86" t="str">
        <f t="shared" si="149"/>
        <v>30.0702193455183-0.039649767900928j</v>
      </c>
      <c r="AP208" s="86" t="str">
        <f t="shared" si="150"/>
        <v>0.666666742897183+0.000159405663202433j</v>
      </c>
      <c r="AQ208" s="86" t="str">
        <f t="shared" si="133"/>
        <v>1+26.6301790246996j</v>
      </c>
      <c r="AR208" s="86">
        <f t="shared" si="134"/>
        <v>-1.2592698218920995E-5</v>
      </c>
      <c r="AS208" s="86" t="str">
        <f t="shared" si="135"/>
        <v>0.000140408610294691j</v>
      </c>
      <c r="AT208" s="86" t="str">
        <f t="shared" si="136"/>
        <v>-0.000012592698218921+0.000140408610294691j</v>
      </c>
      <c r="AU208" s="86" t="str">
        <f t="shared" si="137"/>
        <v>18.7514963681267-2.39395528672733j</v>
      </c>
      <c r="AW208" s="86" t="str">
        <f t="shared" si="151"/>
        <v>10.8243158505873-5.20234807985709j</v>
      </c>
      <c r="AX208" s="86">
        <f t="shared" si="138"/>
        <v>21.590563237054145</v>
      </c>
      <c r="AY208" s="86">
        <f t="shared" si="139"/>
        <v>154.33027854681654</v>
      </c>
      <c r="AZ208" s="86" t="str">
        <f t="shared" si="140"/>
        <v>-3.00956345814418+1.03858860402256j</v>
      </c>
      <c r="BA208" s="86">
        <f t="shared" si="141"/>
        <v>10.058725359788701</v>
      </c>
      <c r="BB208" s="86">
        <f t="shared" si="142"/>
        <v>-19.03935453744495</v>
      </c>
      <c r="BD208" s="86" t="str">
        <f t="shared" si="143"/>
        <v>-1.29588986354829-1.20266146314223j</v>
      </c>
      <c r="BE208" s="86">
        <f t="shared" si="144"/>
        <v>4.9495078484530532</v>
      </c>
      <c r="BF208" s="86">
        <f t="shared" si="145"/>
        <v>42.863114947566174</v>
      </c>
      <c r="BH208" s="86">
        <f t="shared" si="152"/>
        <v>-3.9495078484530532</v>
      </c>
      <c r="BI208" s="157">
        <f t="shared" si="153"/>
        <v>-42.863114947566174</v>
      </c>
      <c r="BJ208" s="88"/>
      <c r="BK208" s="88"/>
      <c r="BL208" s="88"/>
      <c r="BM208" s="88"/>
      <c r="BN208" s="42"/>
      <c r="BO208" s="42"/>
      <c r="BP208" s="42"/>
    </row>
    <row r="209" spans="1:68" s="86" customFormat="1">
      <c r="A209" s="86">
        <v>145</v>
      </c>
      <c r="B209" s="86">
        <f t="shared" si="103"/>
        <v>79432.823472428208</v>
      </c>
      <c r="C209" s="86" t="str">
        <f t="shared" si="104"/>
        <v>499091.149349751j</v>
      </c>
      <c r="D209" s="86">
        <f t="shared" si="105"/>
        <v>0.99369042655519801</v>
      </c>
      <c r="E209" s="86" t="str">
        <f t="shared" si="106"/>
        <v>-0.124772787337438j</v>
      </c>
      <c r="F209" s="86" t="str">
        <f t="shared" si="107"/>
        <v>0.993690426555198-0.124772787337438j</v>
      </c>
      <c r="G209" s="86">
        <f t="shared" si="108"/>
        <v>1.2961320642736827E-2</v>
      </c>
      <c r="H209" s="86">
        <f t="shared" si="109"/>
        <v>-7.1568909894974171</v>
      </c>
      <c r="J209" s="86">
        <f t="shared" si="110"/>
        <v>4.8</v>
      </c>
      <c r="K209" s="86" t="str">
        <f t="shared" si="111"/>
        <v>1+20.4053416411646j</v>
      </c>
      <c r="L209" s="86">
        <f t="shared" si="112"/>
        <v>-39.736501650252563</v>
      </c>
      <c r="M209" s="86" t="str">
        <f t="shared" si="113"/>
        <v>2.85330410083253j</v>
      </c>
      <c r="N209" s="86" t="str">
        <f t="shared" si="114"/>
        <v>-39.7365016502526+2.85330410083253j</v>
      </c>
      <c r="O209" s="86" t="str">
        <f t="shared" si="115"/>
        <v>0.0116475227366402-0.512679950944954j</v>
      </c>
      <c r="P209" s="86" t="str">
        <f t="shared" si="116"/>
        <v>0.055908109135873-2.46086376453578j</v>
      </c>
      <c r="R209" s="86">
        <f t="shared" si="117"/>
        <v>11.52</v>
      </c>
      <c r="S209" s="86" t="str">
        <f t="shared" si="118"/>
        <v>1+0.0424227476947288j</v>
      </c>
      <c r="T209" s="86" t="str">
        <f t="shared" si="119"/>
        <v>-39.7365016502526+2.85330410083253j</v>
      </c>
      <c r="U209" s="86" t="str">
        <f t="shared" si="120"/>
        <v>-0.0249604216377378-0.00285990000107301j</v>
      </c>
      <c r="V209" s="86" t="str">
        <f t="shared" si="121"/>
        <v>-0.287544057266739-0.0329460480123611j</v>
      </c>
      <c r="X209" s="86" t="str">
        <f t="shared" si="122"/>
        <v>-0.155139358097987-1.51276367549242j</v>
      </c>
      <c r="Y209" s="86">
        <f t="shared" si="123"/>
        <v>3.6408590279060293</v>
      </c>
      <c r="Z209" s="86">
        <f t="shared" si="124"/>
        <v>84.144582007558682</v>
      </c>
      <c r="AB209" s="86" t="str">
        <f t="shared" si="125"/>
        <v>-0.239699947704851-0.0274641947418815j</v>
      </c>
      <c r="AC209" s="86">
        <f t="shared" si="126"/>
        <v>-12.349998123954025</v>
      </c>
      <c r="AD209" s="86">
        <f t="shared" si="127"/>
        <v>6.53629761636995</v>
      </c>
      <c r="AF209" s="86" t="str">
        <f t="shared" si="128"/>
        <v>-0.0536153108842266-0.128508163492323j</v>
      </c>
      <c r="AG209" s="86">
        <f t="shared" si="129"/>
        <v>-17.12445717252924</v>
      </c>
      <c r="AH209" s="86">
        <f t="shared" si="130"/>
        <v>67.353455103693022</v>
      </c>
      <c r="AJ209" s="86" t="str">
        <f t="shared" si="131"/>
        <v>15.0499915088015-0.0113045329275468j</v>
      </c>
      <c r="AK209" s="86" t="str">
        <f t="shared" si="132"/>
        <v>30.1-4.52181572222368E-10j</v>
      </c>
      <c r="AL209" s="86" t="str">
        <f t="shared" si="146"/>
        <v>10000-44525.3782824536j</v>
      </c>
      <c r="AM209" s="86" t="str">
        <f t="shared" si="147"/>
        <v>940.573792973721-13963.9066565701j</v>
      </c>
      <c r="AN209" s="86" t="str">
        <f t="shared" si="148"/>
        <v>10940.5737929737-13963.9066565701j</v>
      </c>
      <c r="AO209" s="86" t="str">
        <f t="shared" si="149"/>
        <v>30.0684805628741-0.0401191842115721j</v>
      </c>
      <c r="AP209" s="86" t="str">
        <f t="shared" si="150"/>
        <v>0.666666750251764+0.000166918216977415j</v>
      </c>
      <c r="AQ209" s="86" t="str">
        <f t="shared" si="133"/>
        <v>1+27.8852206964693j</v>
      </c>
      <c r="AR209" s="86">
        <f t="shared" si="134"/>
        <v>-1.3817266847272294E-5</v>
      </c>
      <c r="AS209" s="86" t="str">
        <f t="shared" si="135"/>
        <v>0.000147025864231725j</v>
      </c>
      <c r="AT209" s="86" t="str">
        <f t="shared" si="136"/>
        <v>-0.0000138172668472723+0.000147025864231725j</v>
      </c>
      <c r="AU209" s="86" t="str">
        <f t="shared" si="137"/>
        <v>18.7367986021184-2.44100824045098j</v>
      </c>
      <c r="AW209" s="86" t="str">
        <f t="shared" si="151"/>
        <v>10.6835925098551-5.35669658663299j</v>
      </c>
      <c r="AX209" s="86">
        <f t="shared" si="138"/>
        <v>21.548296138172663</v>
      </c>
      <c r="AY209" s="86">
        <f t="shared" si="139"/>
        <v>153.37105647533809</v>
      </c>
      <c r="AZ209" s="86" t="str">
        <f t="shared" si="140"/>
        <v>-2.70797392414066+0.990583626453113j</v>
      </c>
      <c r="BA209" s="86">
        <f t="shared" si="141"/>
        <v>9.1982980142186204</v>
      </c>
      <c r="BB209" s="86">
        <f t="shared" si="142"/>
        <v>-20.092645908291956</v>
      </c>
      <c r="BD209" s="86" t="str">
        <f t="shared" si="143"/>
        <v>-1.26118337451007-1.08572790013701j</v>
      </c>
      <c r="BE209" s="86">
        <f t="shared" si="144"/>
        <v>4.4238389656433856</v>
      </c>
      <c r="BF209" s="86">
        <f t="shared" si="145"/>
        <v>40.724511579031201</v>
      </c>
      <c r="BH209" s="86">
        <f t="shared" si="152"/>
        <v>-3.4238389656433856</v>
      </c>
      <c r="BI209" s="157">
        <f t="shared" si="153"/>
        <v>-40.724511579031201</v>
      </c>
      <c r="BJ209" s="88"/>
      <c r="BK209" s="88"/>
      <c r="BL209" s="88"/>
      <c r="BM209" s="88"/>
      <c r="BN209" s="42"/>
      <c r="BO209" s="42"/>
      <c r="BP209" s="42"/>
    </row>
    <row r="210" spans="1:68" s="86" customFormat="1">
      <c r="A210" s="86">
        <v>146</v>
      </c>
      <c r="B210" s="86">
        <f t="shared" si="103"/>
        <v>83176.377110267145</v>
      </c>
      <c r="C210" s="86" t="str">
        <f t="shared" si="104"/>
        <v>522612.590563659j</v>
      </c>
      <c r="D210" s="86">
        <f t="shared" si="105"/>
        <v>0.99308169029081061</v>
      </c>
      <c r="E210" s="86" t="str">
        <f t="shared" si="106"/>
        <v>-0.130653147640915j</v>
      </c>
      <c r="F210" s="86" t="str">
        <f t="shared" si="107"/>
        <v>0.993081690290811-0.130653147640915j</v>
      </c>
      <c r="G210" s="86">
        <f t="shared" si="108"/>
        <v>1.4227992074123485E-2</v>
      </c>
      <c r="H210" s="86">
        <f t="shared" si="109"/>
        <v>-7.4949788227292116</v>
      </c>
      <c r="J210" s="86">
        <f t="shared" si="110"/>
        <v>4.8</v>
      </c>
      <c r="K210" s="86" t="str">
        <f t="shared" si="111"/>
        <v>1+21.3670157651952j</v>
      </c>
      <c r="L210" s="86">
        <f t="shared" si="112"/>
        <v>-43.666685846652868</v>
      </c>
      <c r="M210" s="86" t="str">
        <f t="shared" si="113"/>
        <v>2.98777618025244j</v>
      </c>
      <c r="N210" s="86" t="str">
        <f t="shared" si="114"/>
        <v>-43.6666858466529+2.98777618025244j</v>
      </c>
      <c r="O210" s="86" t="str">
        <f t="shared" si="115"/>
        <v>0.0105304113307504-0.48860024156581j</v>
      </c>
      <c r="P210" s="86" t="str">
        <f t="shared" si="116"/>
        <v>0.0505459743876019-2.34528115951589j</v>
      </c>
      <c r="R210" s="86">
        <f t="shared" si="117"/>
        <v>11.52</v>
      </c>
      <c r="S210" s="86" t="str">
        <f t="shared" si="118"/>
        <v>1+0.044422070197911j</v>
      </c>
      <c r="T210" s="86" t="str">
        <f t="shared" si="119"/>
        <v>-43.6666858466529+2.98777618025244j</v>
      </c>
      <c r="U210" s="86" t="str">
        <f t="shared" si="120"/>
        <v>-0.0227247587835218-0.00257217970669302j</v>
      </c>
      <c r="V210" s="86" t="str">
        <f t="shared" si="121"/>
        <v>-0.261789221186171-0.0296315102211036j</v>
      </c>
      <c r="X210" s="86" t="str">
        <f t="shared" si="122"/>
        <v>-0.158056303846676-1.44080379199535j</v>
      </c>
      <c r="Y210" s="86">
        <f t="shared" si="123"/>
        <v>3.2240483578863657</v>
      </c>
      <c r="Z210" s="86">
        <f t="shared" si="124"/>
        <v>83.73968027608224</v>
      </c>
      <c r="AB210" s="86" t="str">
        <f t="shared" si="125"/>
        <v>-0.218230427797742-0.0247011589038876j</v>
      </c>
      <c r="AC210" s="86">
        <f t="shared" si="126"/>
        <v>-13.166407165778287</v>
      </c>
      <c r="AD210" s="86">
        <f t="shared" si="127"/>
        <v>6.4577347486669225</v>
      </c>
      <c r="AF210" s="86" t="str">
        <f t="shared" si="128"/>
        <v>-0.0531991599484535-0.120377064109676j</v>
      </c>
      <c r="AG210" s="86">
        <f t="shared" si="129"/>
        <v>-17.614323492880821</v>
      </c>
      <c r="AH210" s="86">
        <f t="shared" si="130"/>
        <v>66.157558698005232</v>
      </c>
      <c r="AJ210" s="86" t="str">
        <f t="shared" si="131"/>
        <v>15.0499906895865-0.0118372985064769j</v>
      </c>
      <c r="AK210" s="86" t="str">
        <f t="shared" si="132"/>
        <v>30.1-4.7349223317658E-10j</v>
      </c>
      <c r="AL210" s="86" t="str">
        <f t="shared" si="146"/>
        <v>10000-42521.406149543j</v>
      </c>
      <c r="AM210" s="86" t="str">
        <f t="shared" si="147"/>
        <v>938.452532029939-13348.5061836501j</v>
      </c>
      <c r="AN210" s="86" t="str">
        <f t="shared" si="148"/>
        <v>10938.4525320299-13348.5061836501j</v>
      </c>
      <c r="AO210" s="86" t="str">
        <f t="shared" si="149"/>
        <v>30.0667072276504-0.040516629832978j</v>
      </c>
      <c r="AP210" s="86" t="str">
        <f t="shared" si="150"/>
        <v>0.666666758315901+0.000174784825958337j</v>
      </c>
      <c r="AQ210" s="86" t="str">
        <f t="shared" si="133"/>
        <v>1+29.1994106599728j</v>
      </c>
      <c r="AR210" s="86">
        <f t="shared" si="134"/>
        <v>-1.5159979647940497E-5</v>
      </c>
      <c r="AS210" s="86" t="str">
        <f t="shared" si="135"/>
        <v>0.000153954979738895j</v>
      </c>
      <c r="AT210" s="86" t="str">
        <f t="shared" si="136"/>
        <v>-0.0000151599796479405+0.000153954979738895j</v>
      </c>
      <c r="AU210" s="86" t="str">
        <f t="shared" si="137"/>
        <v>18.7207172035715-2.49297354624008j</v>
      </c>
      <c r="AW210" s="86" t="str">
        <f t="shared" si="151"/>
        <v>10.5321901050561-5.51416503879819j</v>
      </c>
      <c r="AX210" s="86">
        <f t="shared" si="138"/>
        <v>21.502437142853125</v>
      </c>
      <c r="AY210" s="86">
        <f t="shared" si="139"/>
        <v>152.36553644193037</v>
      </c>
      <c r="AZ210" s="86" t="str">
        <f t="shared" si="140"/>
        <v>-2.43465061911915+0.943201293973336j</v>
      </c>
      <c r="BA210" s="86">
        <f t="shared" si="141"/>
        <v>8.3360299770748263</v>
      </c>
      <c r="BB210" s="86">
        <f t="shared" si="142"/>
        <v>-21.176728809402675</v>
      </c>
      <c r="BD210" s="86" t="str">
        <f t="shared" si="143"/>
        <v>-1.22408266439314-0.974485175610441j</v>
      </c>
      <c r="BE210" s="86">
        <f t="shared" si="144"/>
        <v>3.8881136499723019</v>
      </c>
      <c r="BF210" s="86">
        <f t="shared" si="145"/>
        <v>38.523095139935748</v>
      </c>
      <c r="BH210" s="86">
        <f t="shared" si="152"/>
        <v>-2.8881136499723019</v>
      </c>
      <c r="BI210" s="157">
        <f t="shared" si="153"/>
        <v>-38.523095139935748</v>
      </c>
      <c r="BJ210" s="88"/>
      <c r="BK210" s="88"/>
      <c r="BL210" s="88"/>
      <c r="BM210" s="88"/>
      <c r="BN210" s="42"/>
      <c r="BO210" s="42"/>
      <c r="BP210" s="42"/>
    </row>
    <row r="211" spans="1:68" s="86" customFormat="1">
      <c r="A211" s="86">
        <v>147</v>
      </c>
      <c r="B211" s="86">
        <f t="shared" si="103"/>
        <v>87096.358995608098</v>
      </c>
      <c r="C211" s="86" t="str">
        <f t="shared" si="104"/>
        <v>547242.563150043j</v>
      </c>
      <c r="D211" s="86">
        <f t="shared" si="105"/>
        <v>0.99241422424970815</v>
      </c>
      <c r="E211" s="86" t="str">
        <f t="shared" si="106"/>
        <v>-0.136810640787511j</v>
      </c>
      <c r="F211" s="86" t="str">
        <f t="shared" si="107"/>
        <v>0.992414224249708-0.136810640787511j</v>
      </c>
      <c r="G211" s="86">
        <f t="shared" si="108"/>
        <v>1.5620131323146403E-2</v>
      </c>
      <c r="H211" s="86">
        <f t="shared" si="109"/>
        <v>-7.8491162049776495</v>
      </c>
      <c r="J211" s="86">
        <f t="shared" si="110"/>
        <v>4.8</v>
      </c>
      <c r="K211" s="86" t="str">
        <f t="shared" si="111"/>
        <v>1+22.3740121943895j</v>
      </c>
      <c r="L211" s="86">
        <f t="shared" si="112"/>
        <v>-47.976047124832156</v>
      </c>
      <c r="M211" s="86" t="str">
        <f t="shared" si="113"/>
        <v>3.1285857335288j</v>
      </c>
      <c r="N211" s="86" t="str">
        <f t="shared" si="114"/>
        <v>-47.9760471248322+3.1285857335288j</v>
      </c>
      <c r="O211" s="86" t="str">
        <f t="shared" si="115"/>
        <v>0.00952761048542219-0.465736666257878j</v>
      </c>
      <c r="P211" s="86" t="str">
        <f t="shared" si="116"/>
        <v>0.0457325303300265-2.23553599803781j</v>
      </c>
      <c r="R211" s="86">
        <f t="shared" si="117"/>
        <v>11.52</v>
      </c>
      <c r="S211" s="86" t="str">
        <f t="shared" si="118"/>
        <v>1+0.0465156178677537j</v>
      </c>
      <c r="T211" s="86" t="str">
        <f t="shared" si="119"/>
        <v>-47.9760471248322+3.1285857335288j</v>
      </c>
      <c r="U211" s="86" t="str">
        <f t="shared" si="120"/>
        <v>-0.0206925129198826-0.00231894716732872j</v>
      </c>
      <c r="V211" s="86" t="str">
        <f t="shared" si="121"/>
        <v>-0.238377748837048-0.0267142713676269j</v>
      </c>
      <c r="X211" s="86" t="str">
        <f t="shared" si="122"/>
        <v>-0.160670247666424-1.37243870526856j</v>
      </c>
      <c r="Y211" s="86">
        <f t="shared" si="123"/>
        <v>2.8089758425069782</v>
      </c>
      <c r="Z211" s="86">
        <f t="shared" si="124"/>
        <v>83.322824459917499</v>
      </c>
      <c r="AB211" s="86" t="str">
        <f t="shared" si="125"/>
        <v>-0.198714362151591-0.0222693159116596j</v>
      </c>
      <c r="AC211" s="86">
        <f t="shared" si="126"/>
        <v>-13.981211455412639</v>
      </c>
      <c r="AD211" s="86">
        <f t="shared" si="127"/>
        <v>6.3942846919977114</v>
      </c>
      <c r="AF211" s="86" t="str">
        <f t="shared" si="128"/>
        <v>-0.0526353628655155-0.112599517545266j</v>
      </c>
      <c r="AG211" s="86">
        <f t="shared" si="129"/>
        <v>-18.11095894324858</v>
      </c>
      <c r="AH211" s="86">
        <f t="shared" si="130"/>
        <v>64.945962185168909</v>
      </c>
      <c r="AJ211" s="86" t="str">
        <f t="shared" si="131"/>
        <v>15.0499897913352-0.0123951724581324j</v>
      </c>
      <c r="AK211" s="86" t="str">
        <f t="shared" si="132"/>
        <v>30.1-4.95807234639571E-10j</v>
      </c>
      <c r="AL211" s="86" t="str">
        <f t="shared" si="146"/>
        <v>10000-40607.6276200201j</v>
      </c>
      <c r="AM211" s="86" t="str">
        <f t="shared" si="147"/>
        <v>936.137585818714-12761.3550885345j</v>
      </c>
      <c r="AN211" s="86" t="str">
        <f t="shared" si="148"/>
        <v>10936.1375858187-12761.3550885345j</v>
      </c>
      <c r="AO211" s="86" t="str">
        <f t="shared" si="149"/>
        <v>30.0649058613375-0.0408388717553113j</v>
      </c>
      <c r="AP211" s="86" t="str">
        <f t="shared" si="150"/>
        <v>0.666666767158052+0.000183022176172152j</v>
      </c>
      <c r="AQ211" s="86" t="str">
        <f t="shared" si="133"/>
        <v>1+30.5755364883192j</v>
      </c>
      <c r="AR211" s="86">
        <f t="shared" si="134"/>
        <v>-1.6632234957555476E-5</v>
      </c>
      <c r="AS211" s="86" t="str">
        <f t="shared" si="135"/>
        <v>0.000161210654399194j</v>
      </c>
      <c r="AT211" s="86" t="str">
        <f t="shared" si="136"/>
        <v>-0.0000166322349575555+0.000161210654399194j</v>
      </c>
      <c r="AU211" s="86" t="str">
        <f t="shared" si="137"/>
        <v>18.7031232100764-2.54992290182128j</v>
      </c>
      <c r="AW211" s="86" t="str">
        <f t="shared" si="151"/>
        <v>10.3695640060671-5.67413713519201j</v>
      </c>
      <c r="AX211" s="86">
        <f t="shared" si="138"/>
        <v>21.452700462196255</v>
      </c>
      <c r="AY211" s="86">
        <f t="shared" si="139"/>
        <v>151.31289671771523</v>
      </c>
      <c r="AZ211" s="86" t="str">
        <f t="shared" si="140"/>
        <v>-2.18694044964539+0.89660944486305j</v>
      </c>
      <c r="BA211" s="86">
        <f t="shared" si="141"/>
        <v>7.4714890067836128</v>
      </c>
      <c r="BB211" s="86">
        <f t="shared" si="142"/>
        <v>-22.29281859028697</v>
      </c>
      <c r="BD211" s="86" t="str">
        <f t="shared" si="143"/>
        <v>-1.18471086812483-0.868947637178388j</v>
      </c>
      <c r="BE211" s="86">
        <f t="shared" si="144"/>
        <v>3.3417415189476998</v>
      </c>
      <c r="BF211" s="86">
        <f t="shared" si="145"/>
        <v>36.25885890288427</v>
      </c>
      <c r="BH211" s="86">
        <f t="shared" si="152"/>
        <v>-2.3417415189476998</v>
      </c>
      <c r="BI211" s="157">
        <f t="shared" si="153"/>
        <v>-36.25885890288427</v>
      </c>
      <c r="BJ211" s="88"/>
      <c r="BK211" s="88"/>
      <c r="BL211" s="88"/>
      <c r="BM211" s="88"/>
      <c r="BN211" s="42"/>
      <c r="BO211" s="42"/>
      <c r="BP211" s="42"/>
    </row>
    <row r="212" spans="1:68" s="86" customFormat="1">
      <c r="A212" s="86">
        <v>148</v>
      </c>
      <c r="B212" s="86">
        <f t="shared" si="103"/>
        <v>91201.083935590985</v>
      </c>
      <c r="C212" s="86" t="str">
        <f t="shared" si="104"/>
        <v>573033.310582957j</v>
      </c>
      <c r="D212" s="86">
        <f t="shared" si="105"/>
        <v>0.99168236228897333</v>
      </c>
      <c r="E212" s="86" t="str">
        <f t="shared" si="106"/>
        <v>-0.143258327645739j</v>
      </c>
      <c r="F212" s="86" t="str">
        <f t="shared" si="107"/>
        <v>0.991682362288973-0.143258327645739j</v>
      </c>
      <c r="G212" s="86">
        <f t="shared" si="108"/>
        <v>1.7150499067810309E-2</v>
      </c>
      <c r="H212" s="86">
        <f t="shared" si="109"/>
        <v>-8.2200762767933941</v>
      </c>
      <c r="J212" s="86">
        <f t="shared" si="110"/>
        <v>4.8</v>
      </c>
      <c r="K212" s="86" t="str">
        <f t="shared" si="111"/>
        <v>1+23.4284669031842j</v>
      </c>
      <c r="L212" s="86">
        <f t="shared" si="112"/>
        <v>-52.701167805659566</v>
      </c>
      <c r="M212" s="86" t="str">
        <f t="shared" si="113"/>
        <v>3.27603143660276j</v>
      </c>
      <c r="N212" s="86" t="str">
        <f t="shared" si="114"/>
        <v>-52.7011678056596+3.27603143660276j</v>
      </c>
      <c r="O212" s="86" t="str">
        <f t="shared" si="115"/>
        <v>0.0086262451292092-0.444016860105482j</v>
      </c>
      <c r="P212" s="86" t="str">
        <f t="shared" si="116"/>
        <v>0.0414059766202042-2.13128092850631j</v>
      </c>
      <c r="R212" s="86">
        <f t="shared" si="117"/>
        <v>11.52</v>
      </c>
      <c r="S212" s="86" t="str">
        <f t="shared" si="118"/>
        <v>1+0.0487078313995514j</v>
      </c>
      <c r="T212" s="86" t="str">
        <f t="shared" si="119"/>
        <v>-52.7011678056596+3.27603143660276j</v>
      </c>
      <c r="U212" s="86" t="str">
        <f t="shared" si="120"/>
        <v>-0.0188446406341094-0.00209565501348369j</v>
      </c>
      <c r="V212" s="86" t="str">
        <f t="shared" si="121"/>
        <v>-0.21709026010494-0.0241419457553321j</v>
      </c>
      <c r="X212" s="86" t="str">
        <f t="shared" si="122"/>
        <v>-0.163016006995302-1.30745184900576j</v>
      </c>
      <c r="Y212" s="86">
        <f t="shared" si="123"/>
        <v>2.3955086061314201</v>
      </c>
      <c r="Z212" s="86">
        <f t="shared" si="124"/>
        <v>82.892911348176852</v>
      </c>
      <c r="AB212" s="86" t="str">
        <f t="shared" si="125"/>
        <v>-0.180968873045132-0.0201249964615973j</v>
      </c>
      <c r="AC212" s="86">
        <f t="shared" si="126"/>
        <v>-14.79454262222405</v>
      </c>
      <c r="AD212" s="86">
        <f t="shared" si="127"/>
        <v>6.3456159014419313</v>
      </c>
      <c r="AF212" s="86" t="str">
        <f t="shared" si="128"/>
        <v>-0.0519323701635615-0.105168164016135j</v>
      </c>
      <c r="AG212" s="86">
        <f t="shared" si="129"/>
        <v>-18.614663566979157</v>
      </c>
      <c r="AH212" s="86">
        <f t="shared" si="130"/>
        <v>63.719695199352401</v>
      </c>
      <c r="AJ212" s="86" t="str">
        <f t="shared" si="131"/>
        <v>15.0499888064224-0.0129793380895209j</v>
      </c>
      <c r="AK212" s="86" t="str">
        <f t="shared" si="132"/>
        <v>30.1-5.19173909721265E-10j</v>
      </c>
      <c r="AL212" s="86" t="str">
        <f t="shared" si="146"/>
        <v>10000-38779.9833130383j</v>
      </c>
      <c r="AM212" s="86" t="str">
        <f t="shared" si="147"/>
        <v>933.612389193362-12201.1989241714j</v>
      </c>
      <c r="AN212" s="86" t="str">
        <f t="shared" si="148"/>
        <v>10933.6123891934-12201.1989241714j</v>
      </c>
      <c r="AO212" s="86" t="str">
        <f t="shared" si="149"/>
        <v>30.063083397624-0.0410834212779608j</v>
      </c>
      <c r="AP212" s="86" t="str">
        <f t="shared" si="150"/>
        <v>0.666666776853276+0.000191647740022055j</v>
      </c>
      <c r="AQ212" s="86" t="str">
        <f t="shared" si="133"/>
        <v>1+32.016517128891j</v>
      </c>
      <c r="AR212" s="86">
        <f t="shared" si="134"/>
        <v>-1.8246530803704364E-5</v>
      </c>
      <c r="AS212" s="86" t="str">
        <f t="shared" si="135"/>
        <v>0.000168808278471364j</v>
      </c>
      <c r="AT212" s="86" t="str">
        <f t="shared" si="136"/>
        <v>-0.0000182465308037044+0.000168808278471364j</v>
      </c>
      <c r="AU212" s="86" t="str">
        <f t="shared" si="137"/>
        <v>18.6838763138121-2.61193306800632j</v>
      </c>
      <c r="AW212" s="86" t="str">
        <f t="shared" si="151"/>
        <v>10.1951890601807-5.83591782244776j</v>
      </c>
      <c r="AX212" s="86">
        <f t="shared" si="138"/>
        <v>21.398785098692379</v>
      </c>
      <c r="AY212" s="86">
        <f t="shared" si="139"/>
        <v>150.21236706955008</v>
      </c>
      <c r="AZ212" s="86" t="str">
        <f t="shared" si="140"/>
        <v>-1.96245970022989+0.850941327750918j</v>
      </c>
      <c r="BA212" s="86">
        <f t="shared" si="141"/>
        <v>6.6042424764683103</v>
      </c>
      <c r="BB212" s="86">
        <f t="shared" si="142"/>
        <v>-23.442017029007957</v>
      </c>
      <c r="BD212" s="86" t="str">
        <f t="shared" si="143"/>
        <v>-1.14321309489666-0.769136270657101j</v>
      </c>
      <c r="BE212" s="86">
        <f t="shared" si="144"/>
        <v>2.7841215317131587</v>
      </c>
      <c r="BF212" s="86">
        <f t="shared" si="145"/>
        <v>33.932062268902513</v>
      </c>
      <c r="BH212" s="86">
        <f t="shared" si="152"/>
        <v>-1.7841215317131587</v>
      </c>
      <c r="BI212" s="157">
        <f t="shared" si="153"/>
        <v>-33.932062268902513</v>
      </c>
      <c r="BJ212" s="88"/>
      <c r="BK212" s="88"/>
      <c r="BL212" s="88"/>
      <c r="BM212" s="88"/>
      <c r="BN212" s="42"/>
      <c r="BO212" s="42"/>
      <c r="BP212" s="42"/>
    </row>
    <row r="213" spans="1:68" s="86" customFormat="1">
      <c r="A213" s="86">
        <v>149</v>
      </c>
      <c r="B213" s="86">
        <f t="shared" si="103"/>
        <v>95499.258602143673</v>
      </c>
      <c r="C213" s="86" t="str">
        <f t="shared" si="104"/>
        <v>600039.538495533j</v>
      </c>
      <c r="D213" s="86">
        <f t="shared" si="105"/>
        <v>0.99087989160644085</v>
      </c>
      <c r="E213" s="86" t="str">
        <f t="shared" si="106"/>
        <v>-0.150009884623883j</v>
      </c>
      <c r="F213" s="86" t="str">
        <f t="shared" si="107"/>
        <v>0.990879891606441-0.150009884623883j</v>
      </c>
      <c r="G213" s="86">
        <f t="shared" si="108"/>
        <v>1.8833218487331826E-2</v>
      </c>
      <c r="H213" s="86">
        <f t="shared" si="109"/>
        <v>-8.6086709854836645</v>
      </c>
      <c r="J213" s="86">
        <f t="shared" si="110"/>
        <v>4.8</v>
      </c>
      <c r="K213" s="86" t="str">
        <f t="shared" si="111"/>
        <v>1+24.5326165313899j</v>
      </c>
      <c r="L213" s="86">
        <f t="shared" si="112"/>
        <v>-57.882159606332195</v>
      </c>
      <c r="M213" s="86" t="str">
        <f t="shared" si="113"/>
        <v>3.43042604157896j</v>
      </c>
      <c r="N213" s="86" t="str">
        <f t="shared" si="114"/>
        <v>-57.8821596063322+3.43042604157896j</v>
      </c>
      <c r="O213" s="86" t="str">
        <f t="shared" si="115"/>
        <v>0.0078150773276425-0.423374104443873j</v>
      </c>
      <c r="P213" s="86" t="str">
        <f t="shared" si="116"/>
        <v>0.037512371172684-2.03219570133059j</v>
      </c>
      <c r="R213" s="86">
        <f t="shared" si="117"/>
        <v>11.52</v>
      </c>
      <c r="S213" s="86" t="str">
        <f t="shared" si="118"/>
        <v>1+0.0510033607721203j</v>
      </c>
      <c r="T213" s="86" t="str">
        <f t="shared" si="119"/>
        <v>-57.8821596063322+3.43042604157896j</v>
      </c>
      <c r="U213" s="86" t="str">
        <f t="shared" si="120"/>
        <v>-0.0171639708947372-0.00189839311894487j</v>
      </c>
      <c r="V213" s="86" t="str">
        <f t="shared" si="121"/>
        <v>-0.197728944707373-0.0218694887302449j</v>
      </c>
      <c r="X213" s="86" t="str">
        <f t="shared" si="122"/>
        <v>-0.165123874143143-1.24564348217701j</v>
      </c>
      <c r="Y213" s="86">
        <f t="shared" si="123"/>
        <v>1.9835285842699544</v>
      </c>
      <c r="Z213" s="86">
        <f t="shared" si="124"/>
        <v>82.448833703432371</v>
      </c>
      <c r="AB213" s="86" t="str">
        <f t="shared" si="125"/>
        <v>-0.164829063610681-0.0182306508254792j</v>
      </c>
      <c r="AC213" s="86">
        <f t="shared" si="126"/>
        <v>-15.606518796673727</v>
      </c>
      <c r="AD213" s="86">
        <f t="shared" si="127"/>
        <v>6.3114538121266719</v>
      </c>
      <c r="AF213" s="86" t="str">
        <f t="shared" si="128"/>
        <v>-0.0510987355746758-0.0980761758608481j</v>
      </c>
      <c r="AG213" s="86">
        <f t="shared" si="129"/>
        <v>-19.125729375505749</v>
      </c>
      <c r="AH213" s="86">
        <f t="shared" si="130"/>
        <v>62.48000474755095</v>
      </c>
      <c r="AJ213" s="86" t="str">
        <f t="shared" si="131"/>
        <v>15.0499877264871-0.013591034473096j</v>
      </c>
      <c r="AK213" s="86" t="str">
        <f t="shared" si="132"/>
        <v>30.1-5.43641822272337E-10j</v>
      </c>
      <c r="AL213" s="86" t="str">
        <f t="shared" si="146"/>
        <v>10000-37034.5965499866j</v>
      </c>
      <c r="AM213" s="86" t="str">
        <f t="shared" si="147"/>
        <v>930.859178149239-11666.8393018906j</v>
      </c>
      <c r="AN213" s="86" t="str">
        <f t="shared" si="148"/>
        <v>10930.8591781492-11666.8393018906j</v>
      </c>
      <c r="AO213" s="86" t="str">
        <f t="shared" si="149"/>
        <v>30.0612470724163-0.0412485966945602j</v>
      </c>
      <c r="AP213" s="86" t="str">
        <f t="shared" si="150"/>
        <v>0.666666787483877+0.000200679813346488j</v>
      </c>
      <c r="AQ213" s="86" t="str">
        <f t="shared" si="133"/>
        <v>1+33.5254090948224j</v>
      </c>
      <c r="AR213" s="86">
        <f t="shared" si="134"/>
        <v>-2.0016571001131177E-5</v>
      </c>
      <c r="AS213" s="86" t="str">
        <f t="shared" si="135"/>
        <v>0.000176763967534691j</v>
      </c>
      <c r="AT213" s="86" t="str">
        <f t="shared" si="136"/>
        <v>-0.0000200165710011312+0.000176763967534691j</v>
      </c>
      <c r="AU213" s="86" t="str">
        <f t="shared" si="137"/>
        <v>18.6628239626702-2.6790852657087j</v>
      </c>
      <c r="AW213" s="86" t="str">
        <f t="shared" si="151"/>
        <v>10.0085695436537-5.99872990241261j</v>
      </c>
      <c r="AX213" s="86">
        <f t="shared" si="138"/>
        <v>21.340375010836738</v>
      </c>
      <c r="AY213" s="86">
        <f t="shared" si="139"/>
        <v>149.06324049994416</v>
      </c>
      <c r="AZ213" s="86" t="str">
        <f t="shared" si="140"/>
        <v>-1.75906389621007+0.806302296055186j</v>
      </c>
      <c r="BA213" s="86">
        <f t="shared" si="141"/>
        <v>5.7338562141630254</v>
      </c>
      <c r="BB213" s="86">
        <f t="shared" si="142"/>
        <v>-24.625305687929114</v>
      </c>
      <c r="BD213" s="86" t="str">
        <f t="shared" si="143"/>
        <v>-1.09975773744266-0.675074713611628j</v>
      </c>
      <c r="BE213" s="86">
        <f t="shared" si="144"/>
        <v>2.2146456353309905</v>
      </c>
      <c r="BF213" s="86">
        <f t="shared" si="145"/>
        <v>31.543245247495236</v>
      </c>
      <c r="BH213" s="86">
        <f t="shared" si="152"/>
        <v>-1.2146456353309905</v>
      </c>
      <c r="BI213" s="157">
        <f t="shared" si="153"/>
        <v>-31.543245247495236</v>
      </c>
      <c r="BJ213" s="88"/>
      <c r="BK213" s="88"/>
      <c r="BL213" s="88"/>
      <c r="BM213" s="88"/>
      <c r="BN213" s="42"/>
      <c r="BO213" s="42"/>
      <c r="BP213" s="42"/>
    </row>
    <row r="214" spans="1:68" s="86" customFormat="1">
      <c r="A214" s="86">
        <v>150</v>
      </c>
      <c r="B214" s="86">
        <f t="shared" si="103"/>
        <v>100000</v>
      </c>
      <c r="C214" s="86" t="str">
        <f t="shared" si="104"/>
        <v>628318.530717959j</v>
      </c>
      <c r="D214" s="86">
        <f t="shared" si="105"/>
        <v>0.99</v>
      </c>
      <c r="E214" s="86" t="str">
        <f t="shared" si="106"/>
        <v>-0.15707963267949j</v>
      </c>
      <c r="F214" s="86" t="str">
        <f t="shared" si="107"/>
        <v>0.99-0.15707963267949j</v>
      </c>
      <c r="G214" s="86">
        <f t="shared" si="108"/>
        <v>2.0683932879491176E-2</v>
      </c>
      <c r="H214" s="86">
        <f t="shared" si="109"/>
        <v>-9.0157532362460433</v>
      </c>
      <c r="J214" s="86">
        <f t="shared" si="110"/>
        <v>4.8</v>
      </c>
      <c r="K214" s="86" t="str">
        <f t="shared" si="111"/>
        <v>1+25.6888031284038j</v>
      </c>
      <c r="L214" s="86">
        <f t="shared" si="112"/>
        <v>-63.56300415016625</v>
      </c>
      <c r="M214" s="86" t="str">
        <f t="shared" si="113"/>
        <v>3.59209704011457j</v>
      </c>
      <c r="N214" s="86" t="str">
        <f t="shared" si="114"/>
        <v>-63.5630041501663+3.59209704011457j</v>
      </c>
      <c r="O214" s="86" t="str">
        <f t="shared" si="115"/>
        <v>0.00708426981426673-0.40374674052761j</v>
      </c>
      <c r="P214" s="86" t="str">
        <f t="shared" si="116"/>
        <v>0.0340044951084803-1.93798435453253j</v>
      </c>
      <c r="R214" s="86">
        <f t="shared" si="117"/>
        <v>11.52</v>
      </c>
      <c r="S214" s="86" t="str">
        <f t="shared" si="118"/>
        <v>1+0.0534070751110265j</v>
      </c>
      <c r="T214" s="86" t="str">
        <f t="shared" si="119"/>
        <v>-63.5630041501663+3.59209704011457j</v>
      </c>
      <c r="U214" s="86" t="str">
        <f t="shared" si="120"/>
        <v>-0.0156350062025648-0.00172379414847317j</v>
      </c>
      <c r="V214" s="86" t="str">
        <f t="shared" si="121"/>
        <v>-0.180115271453546-0.0198581085904109j</v>
      </c>
      <c r="X214" s="86" t="str">
        <f t="shared" si="122"/>
        <v>-0.167020282668779-1.18682892980605j</v>
      </c>
      <c r="Y214" s="86">
        <f t="shared" si="123"/>
        <v>1.572931389886794</v>
      </c>
      <c r="Z214" s="86">
        <f t="shared" si="124"/>
        <v>81.989473736761681</v>
      </c>
      <c r="AB214" s="86" t="str">
        <f t="shared" si="125"/>
        <v>-0.150146108247371-0.0165539418059444j</v>
      </c>
      <c r="AC214" s="86">
        <f t="shared" si="126"/>
        <v>-16.417245785310378</v>
      </c>
      <c r="AD214" s="86">
        <f t="shared" si="127"/>
        <v>6.2915764889370962</v>
      </c>
      <c r="AF214" s="86" t="str">
        <f t="shared" si="128"/>
        <v>-0.0501431969504902-0.0913171557447449j</v>
      </c>
      <c r="AG214" s="86">
        <f t="shared" si="129"/>
        <v>-19.644436690673039</v>
      </c>
      <c r="AH214" s="86">
        <f t="shared" si="130"/>
        <v>61.228355074526519</v>
      </c>
      <c r="AJ214" s="86" t="str">
        <f t="shared" si="131"/>
        <v>15.0499865423618-0.0142315590745908j</v>
      </c>
      <c r="AK214" s="86" t="str">
        <f t="shared" si="132"/>
        <v>30.1-5.69262872015779E-10j</v>
      </c>
      <c r="AL214" s="86" t="str">
        <f t="shared" si="146"/>
        <v>10000-35367.7651315322j</v>
      </c>
      <c r="AM214" s="86" t="str">
        <f t="shared" si="147"/>
        <v>927.858946029806-11157.1312038254j</v>
      </c>
      <c r="AN214" s="86" t="str">
        <f t="shared" si="148"/>
        <v>10927.8589460298-11157.1312038254j</v>
      </c>
      <c r="AO214" s="86" t="str">
        <f t="shared" si="149"/>
        <v>30.0594043029305-0.0413335664924465j</v>
      </c>
      <c r="AP214" s="86" t="str">
        <f t="shared" si="150"/>
        <v>0.666666799140099+0.0002101375542244j</v>
      </c>
      <c r="AQ214" s="86" t="str">
        <f t="shared" si="133"/>
        <v>1+35.1054129482738j</v>
      </c>
      <c r="AR214" s="86">
        <f t="shared" si="134"/>
        <v>-2.1957381483906625E-5</v>
      </c>
      <c r="AS214" s="86" t="str">
        <f t="shared" si="135"/>
        <v>0.000185094596672318j</v>
      </c>
      <c r="AT214" s="86" t="str">
        <f t="shared" si="136"/>
        <v>-0.0000219573814839066+0.000185094596672318j</v>
      </c>
      <c r="AU214" s="86" t="str">
        <f t="shared" si="137"/>
        <v>18.6398004133838-2.75146448149512j</v>
      </c>
      <c r="AW214" s="86" t="str">
        <f t="shared" si="151"/>
        <v>9.80925030896727-6.16171172252511j</v>
      </c>
      <c r="AX214" s="86">
        <f t="shared" si="138"/>
        <v>21.277139485617536</v>
      </c>
      <c r="AY214" s="86">
        <f t="shared" si="139"/>
        <v>147.86488546615996</v>
      </c>
      <c r="AZ214" s="86" t="str">
        <f t="shared" si="140"/>
        <v>-1.57482137599544+0.762775276504763j</v>
      </c>
      <c r="BA214" s="86">
        <f t="shared" si="141"/>
        <v>4.8598937003071416</v>
      </c>
      <c r="BB214" s="86">
        <f t="shared" si="142"/>
        <v>-25.843538044902999</v>
      </c>
      <c r="BD214" s="86" t="str">
        <f t="shared" si="143"/>
        <v>-1.05453715919925-0.586784913748429j</v>
      </c>
      <c r="BE214" s="86">
        <f t="shared" si="144"/>
        <v>1.6327027949445025</v>
      </c>
      <c r="BF214" s="86">
        <f t="shared" si="145"/>
        <v>29.093240540686367</v>
      </c>
      <c r="BH214" s="86">
        <f t="shared" si="152"/>
        <v>-0.63270279494450254</v>
      </c>
      <c r="BI214" s="157">
        <f t="shared" si="153"/>
        <v>-29.093240540686367</v>
      </c>
      <c r="BJ214" s="88"/>
      <c r="BK214" s="88"/>
      <c r="BL214" s="88"/>
      <c r="BM214" s="88"/>
      <c r="BN214" s="42"/>
      <c r="BO214" s="42"/>
      <c r="BP214" s="42"/>
    </row>
    <row r="215" spans="1:68" s="86" customFormat="1">
      <c r="A215" s="86">
        <v>151</v>
      </c>
      <c r="B215" s="86">
        <f t="shared" si="103"/>
        <v>104712.85480509</v>
      </c>
      <c r="C215" s="86" t="str">
        <f t="shared" si="104"/>
        <v>657930.270784171j</v>
      </c>
      <c r="D215" s="86">
        <f t="shared" si="105"/>
        <v>0.98903521803856809</v>
      </c>
      <c r="E215" s="86" t="str">
        <f t="shared" si="106"/>
        <v>-0.164482567696043j</v>
      </c>
      <c r="F215" s="86" t="str">
        <f t="shared" si="107"/>
        <v>0.989035218038568-0.164482567696043j</v>
      </c>
      <c r="G215" s="86">
        <f t="shared" si="108"/>
        <v>2.2719983645916875E-2</v>
      </c>
      <c r="H215" s="86">
        <f t="shared" si="109"/>
        <v>-9.4422191849643493</v>
      </c>
      <c r="J215" s="86">
        <f t="shared" si="110"/>
        <v>4.8</v>
      </c>
      <c r="K215" s="86" t="str">
        <f t="shared" si="111"/>
        <v>1+26.8994791210108j</v>
      </c>
      <c r="L215" s="86">
        <f t="shared" si="112"/>
        <v>-69.791926328159306</v>
      </c>
      <c r="M215" s="86" t="str">
        <f t="shared" si="113"/>
        <v>3.7613873580731j</v>
      </c>
      <c r="N215" s="86" t="str">
        <f t="shared" si="114"/>
        <v>-69.7919263281593+3.7613873580731j</v>
      </c>
      <c r="O215" s="86" t="str">
        <f t="shared" si="115"/>
        <v>0.00642518778723042-0.385077657471838j</v>
      </c>
      <c r="P215" s="86" t="str">
        <f t="shared" si="116"/>
        <v>0.030840901378706-1.84837275586482j</v>
      </c>
      <c r="R215" s="86">
        <f t="shared" si="117"/>
        <v>11.52</v>
      </c>
      <c r="S215" s="86" t="str">
        <f t="shared" si="118"/>
        <v>1+0.0559240730166545j</v>
      </c>
      <c r="T215" s="86" t="str">
        <f t="shared" si="119"/>
        <v>-69.7919263281593+3.7613873580731j</v>
      </c>
      <c r="U215" s="86" t="str">
        <f t="shared" si="120"/>
        <v>-0.0142437472135554-0.00156895402488884j</v>
      </c>
      <c r="V215" s="86" t="str">
        <f t="shared" si="121"/>
        <v>-0.164087967900158-0.0180743503667194j</v>
      </c>
      <c r="X215" s="86" t="str">
        <f t="shared" si="122"/>
        <v>-0.168728364371542-1.1308370467439j</v>
      </c>
      <c r="Y215" s="86">
        <f t="shared" si="123"/>
        <v>1.1636253321552799</v>
      </c>
      <c r="Z215" s="86">
        <f t="shared" si="124"/>
        <v>81.513697051311567</v>
      </c>
      <c r="AB215" s="86" t="str">
        <f t="shared" si="125"/>
        <v>-0.136785568439612-0.0150669809659215j</v>
      </c>
      <c r="AC215" s="86">
        <f t="shared" si="126"/>
        <v>-17.226818112412815</v>
      </c>
      <c r="AD215" s="86">
        <f t="shared" si="127"/>
        <v>6.2858109112930265</v>
      </c>
      <c r="AF215" s="86" t="str">
        <f t="shared" si="128"/>
        <v>-0.0490747383550468-0.0848850245007163j</v>
      </c>
      <c r="AG215" s="86">
        <f t="shared" si="129"/>
        <v>-20.171050375828404</v>
      </c>
      <c r="AH215" s="86">
        <f t="shared" si="130"/>
        <v>59.966424341335284</v>
      </c>
      <c r="AJ215" s="86" t="str">
        <f t="shared" si="131"/>
        <v>15.0499852439944-0.0149022705046529j</v>
      </c>
      <c r="AK215" s="86" t="str">
        <f t="shared" si="132"/>
        <v>30.1-5.96091404633165E-10j</v>
      </c>
      <c r="AL215" s="86" t="str">
        <f t="shared" si="146"/>
        <v>10000-33775.9534847608j</v>
      </c>
      <c r="AM215" s="86" t="str">
        <f t="shared" si="147"/>
        <v>924.59140744975-10670.9803944297j</v>
      </c>
      <c r="AN215" s="86" t="str">
        <f t="shared" si="148"/>
        <v>10924.5914074498-10670.9803944297j</v>
      </c>
      <c r="AO215" s="86" t="str">
        <f t="shared" si="149"/>
        <v>30.0575625599342-0.0413383709849031j</v>
      </c>
      <c r="AP215" s="86" t="str">
        <f t="shared" si="150"/>
        <v>0.666666811920891+0.000220041023609063j</v>
      </c>
      <c r="AQ215" s="86" t="str">
        <f t="shared" si="133"/>
        <v>1+36.7598800892532j</v>
      </c>
      <c r="AR215" s="86">
        <f t="shared" si="134"/>
        <v>-2.4085437861116042E-5</v>
      </c>
      <c r="AS215" s="86" t="str">
        <f t="shared" si="135"/>
        <v>0.000193817836265551j</v>
      </c>
      <c r="AT215" s="86" t="str">
        <f t="shared" si="136"/>
        <v>-0.000024085437861116+0.000193817836265551j</v>
      </c>
      <c r="AU215" s="86" t="str">
        <f t="shared" si="137"/>
        <v>18.6146257389715-2.8291586683108j</v>
      </c>
      <c r="AW215" s="86" t="str">
        <f t="shared" si="151"/>
        <v>9.59682905814779-6.32391623204976j</v>
      </c>
      <c r="AX215" s="86">
        <f t="shared" si="138"/>
        <v>21.208733742822105</v>
      </c>
      <c r="AY215" s="86">
        <f t="shared" si="139"/>
        <v>146.61675842111822</v>
      </c>
      <c r="AZ215" s="86" t="str">
        <f t="shared" si="140"/>
        <v>-1.4079900434349+0.720425235813098j</v>
      </c>
      <c r="BA215" s="86">
        <f t="shared" si="141"/>
        <v>3.9819156304092491</v>
      </c>
      <c r="BB215" s="86">
        <f t="shared" si="142"/>
        <v>-27.09743066758881</v>
      </c>
      <c r="BD215" s="86" t="str">
        <f t="shared" si="143"/>
        <v>-1.00776765936473-0.504282535262983j</v>
      </c>
      <c r="BE215" s="86">
        <f t="shared" si="144"/>
        <v>1.0376833669936594</v>
      </c>
      <c r="BF215" s="86">
        <f t="shared" si="145"/>
        <v>26.583182762453475</v>
      </c>
      <c r="BH215" s="86">
        <f t="shared" si="152"/>
        <v>-3.7683366993659373E-2</v>
      </c>
      <c r="BI215" s="157">
        <f t="shared" si="153"/>
        <v>-26.583182762453475</v>
      </c>
      <c r="BJ215" s="88"/>
      <c r="BK215" s="88"/>
      <c r="BL215" s="88"/>
      <c r="BM215" s="88"/>
      <c r="BN215" s="42"/>
      <c r="BO215" s="42"/>
      <c r="BP215" s="42"/>
    </row>
    <row r="216" spans="1:68" s="86" customFormat="1">
      <c r="A216" s="86">
        <v>152</v>
      </c>
      <c r="B216" s="86">
        <f t="shared" si="103"/>
        <v>109647.81961431864</v>
      </c>
      <c r="C216" s="86" t="str">
        <f t="shared" si="104"/>
        <v>688937.569164964j</v>
      </c>
      <c r="D216" s="86">
        <f t="shared" si="105"/>
        <v>0.98797735565382583</v>
      </c>
      <c r="E216" s="86" t="str">
        <f t="shared" si="106"/>
        <v>-0.172234392291241j</v>
      </c>
      <c r="F216" s="86" t="str">
        <f t="shared" si="107"/>
        <v>0.987977355653826-0.172234392291241j</v>
      </c>
      <c r="G216" s="86">
        <f t="shared" si="108"/>
        <v>2.4960611611664463E-2</v>
      </c>
      <c r="H216" s="86">
        <f t="shared" si="109"/>
        <v>-9.8890106833867932</v>
      </c>
      <c r="J216" s="86">
        <f t="shared" si="110"/>
        <v>4.8</v>
      </c>
      <c r="K216" s="86" t="str">
        <f t="shared" si="111"/>
        <v>1+28.1672125153096j</v>
      </c>
      <c r="L216" s="86">
        <f t="shared" si="112"/>
        <v>-76.621803681801325</v>
      </c>
      <c r="M216" s="86" t="str">
        <f t="shared" si="113"/>
        <v>3.9386560829161j</v>
      </c>
      <c r="N216" s="86" t="str">
        <f t="shared" si="114"/>
        <v>-76.6218036818013+3.9386560829161j</v>
      </c>
      <c r="O216" s="86" t="str">
        <f t="shared" si="115"/>
        <v>0.00583023218061249-0.367313843886336j</v>
      </c>
      <c r="P216" s="86" t="str">
        <f t="shared" si="116"/>
        <v>0.02798511446694-1.76310645065441j</v>
      </c>
      <c r="R216" s="86">
        <f t="shared" si="117"/>
        <v>11.52</v>
      </c>
      <c r="S216" s="86" t="str">
        <f t="shared" si="118"/>
        <v>1+0.0585596933790219j</v>
      </c>
      <c r="T216" s="86" t="str">
        <f t="shared" si="119"/>
        <v>-76.6218036818013+3.9386560829161j</v>
      </c>
      <c r="U216" s="86" t="str">
        <f t="shared" si="120"/>
        <v>-0.0129775377062373-0.00143136478047978j</v>
      </c>
      <c r="V216" s="86" t="str">
        <f t="shared" si="121"/>
        <v>-0.149501234375854-0.0164893222711271j</v>
      </c>
      <c r="X216" s="86" t="str">
        <f t="shared" si="122"/>
        <v>-0.170268416494281-1.07750887258044j</v>
      </c>
      <c r="Y216" s="86">
        <f t="shared" si="123"/>
        <v>0.75553057583371608</v>
      </c>
      <c r="Z216" s="86">
        <f t="shared" si="124"/>
        <v>81.02034695179465</v>
      </c>
      <c r="AB216" s="86" t="str">
        <f t="shared" si="125"/>
        <v>-0.124625903947861-0.0137456837872017j</v>
      </c>
      <c r="AC216" s="86">
        <f t="shared" si="126"/>
        <v>-18.035319942184621</v>
      </c>
      <c r="AD216" s="86">
        <f t="shared" si="127"/>
        <v>6.2940298004600095</v>
      </c>
      <c r="AF216" s="86" t="str">
        <f t="shared" si="128"/>
        <v>-0.0479026313126063-0.0787739015192424j</v>
      </c>
      <c r="AG216" s="86">
        <f t="shared" si="129"/>
        <v>-20.705816032447117</v>
      </c>
      <c r="AH216" s="86">
        <f t="shared" si="130"/>
        <v>58.696097878289365</v>
      </c>
      <c r="AJ216" s="86" t="str">
        <f t="shared" si="131"/>
        <v>15.0499838203631-0.0156045914001054j</v>
      </c>
      <c r="AK216" s="86" t="str">
        <f t="shared" si="132"/>
        <v>30.1-6.24184327039149E-10j</v>
      </c>
      <c r="AL216" s="86" t="str">
        <f t="shared" si="146"/>
        <v>10000-32255.7851637514j</v>
      </c>
      <c r="AM216" s="86" t="str">
        <f t="shared" si="147"/>
        <v>921.034972367857-10207.3409251232j</v>
      </c>
      <c r="AN216" s="86" t="str">
        <f t="shared" si="148"/>
        <v>10921.0349723679-10207.3409251232j</v>
      </c>
      <c r="AO216" s="86" t="str">
        <f t="shared" si="149"/>
        <v>30.0557292376295-0.0412639212711337j</v>
      </c>
      <c r="AP216" s="86" t="str">
        <f t="shared" si="150"/>
        <v>0.66666682593475+0.000230411227876536j</v>
      </c>
      <c r="AQ216" s="86" t="str">
        <f t="shared" si="133"/>
        <v>1+38.4923198643849j</v>
      </c>
      <c r="AR216" s="86">
        <f t="shared" si="134"/>
        <v>-2.6418805278889588E-5</v>
      </c>
      <c r="AS216" s="86" t="str">
        <f t="shared" si="135"/>
        <v>0.000202952189475113j</v>
      </c>
      <c r="AT216" s="86" t="str">
        <f t="shared" si="136"/>
        <v>-0.0000264188052788896+0.000202952189475113j</v>
      </c>
      <c r="AU216" s="86" t="str">
        <f t="shared" si="137"/>
        <v>18.5871047942253-2.91225782675989j</v>
      </c>
      <c r="AW216" s="86" t="str">
        <f t="shared" si="151"/>
        <v>9.37096961312857-6.48431170051263j</v>
      </c>
      <c r="AX216" s="86">
        <f t="shared" si="138"/>
        <v>21.134799793046405</v>
      </c>
      <c r="AY216" s="86">
        <f t="shared" si="139"/>
        <v>145.31841647924767</v>
      </c>
      <c r="AZ216" s="86" t="str">
        <f t="shared" si="140"/>
        <v>-1.25699685711698+0.679302822074537j</v>
      </c>
      <c r="BA216" s="86">
        <f t="shared" si="141"/>
        <v>3.0994798508617629</v>
      </c>
      <c r="BB216" s="86">
        <f t="shared" si="142"/>
        <v>-28.387553720292402</v>
      </c>
      <c r="BD216" s="86" t="str">
        <f t="shared" si="143"/>
        <v>-0.959688633735586-0.427572244738725j</v>
      </c>
      <c r="BE216" s="86">
        <f t="shared" si="144"/>
        <v>0.42898376059926113</v>
      </c>
      <c r="BF216" s="86">
        <f t="shared" si="145"/>
        <v>24.014514357536967</v>
      </c>
      <c r="BH216" s="86">
        <f t="shared" si="152"/>
        <v>0.57101623940073887</v>
      </c>
      <c r="BI216" s="157">
        <f t="shared" si="153"/>
        <v>-24.014514357536967</v>
      </c>
      <c r="BJ216" s="88"/>
      <c r="BK216" s="88"/>
      <c r="BL216" s="88"/>
      <c r="BM216" s="88"/>
      <c r="BN216" s="42"/>
      <c r="BO216" s="42"/>
      <c r="BP216" s="42"/>
    </row>
    <row r="217" spans="1:68" s="86" customFormat="1">
      <c r="A217" s="86">
        <v>153</v>
      </c>
      <c r="B217" s="86">
        <f t="shared" si="103"/>
        <v>114815.3621496884</v>
      </c>
      <c r="C217" s="86" t="str">
        <f t="shared" si="104"/>
        <v>721406.196497425j</v>
      </c>
      <c r="D217" s="86">
        <f t="shared" si="105"/>
        <v>0.98681743261443589</v>
      </c>
      <c r="E217" s="86" t="str">
        <f t="shared" si="106"/>
        <v>-0.180351549124356j</v>
      </c>
      <c r="F217" s="86" t="str">
        <f t="shared" si="107"/>
        <v>0.986817432614436-0.180351549124356j</v>
      </c>
      <c r="G217" s="86">
        <f t="shared" si="108"/>
        <v>2.7427185120525707E-2</v>
      </c>
      <c r="H217" s="86">
        <f t="shared" si="109"/>
        <v>-10.357117888016543</v>
      </c>
      <c r="J217" s="86">
        <f t="shared" si="110"/>
        <v>4.8</v>
      </c>
      <c r="K217" s="86" t="str">
        <f t="shared" si="111"/>
        <v>1+29.4946923437972j</v>
      </c>
      <c r="L217" s="86">
        <f t="shared" si="112"/>
        <v>-84.110615282401838</v>
      </c>
      <c r="M217" s="86" t="str">
        <f t="shared" si="113"/>
        <v>4.12427922537578j</v>
      </c>
      <c r="N217" s="86" t="str">
        <f t="shared" si="114"/>
        <v>-84.1106152824018+4.12427922537578j</v>
      </c>
      <c r="O217" s="86" t="str">
        <f t="shared" si="115"/>
        <v>0.00529269891876-0.350405994257028j</v>
      </c>
      <c r="P217" s="86" t="str">
        <f t="shared" si="116"/>
        <v>0.025404954810048-1.68194877243373j</v>
      </c>
      <c r="R217" s="86">
        <f t="shared" si="117"/>
        <v>11.52</v>
      </c>
      <c r="S217" s="86" t="str">
        <f t="shared" si="118"/>
        <v>1+0.0613195267022811j</v>
      </c>
      <c r="T217" s="86" t="str">
        <f t="shared" si="119"/>
        <v>-84.1106152824018+4.12427922537578j</v>
      </c>
      <c r="U217" s="86" t="str">
        <f t="shared" si="120"/>
        <v>-0.0118249272335363-0.00130885772340996j</v>
      </c>
      <c r="V217" s="86" t="str">
        <f t="shared" si="121"/>
        <v>-0.136223161730338-0.0150780409736827j</v>
      </c>
      <c r="X217" s="86" t="str">
        <f t="shared" si="122"/>
        <v>-0.171658294962839-1.0266964507707j</v>
      </c>
      <c r="Y217" s="86">
        <f t="shared" si="123"/>
        <v>0.34857843175996162</v>
      </c>
      <c r="Z217" s="86">
        <f t="shared" si="124"/>
        <v>80.508239031614352</v>
      </c>
      <c r="AB217" s="86" t="str">
        <f t="shared" si="125"/>
        <v>-0.113557153826557-0.0125692238860309j</v>
      </c>
      <c r="AC217" s="86">
        <f t="shared" si="126"/>
        <v>-18.842825893539377</v>
      </c>
      <c r="AD217" s="86">
        <f t="shared" si="127"/>
        <v>6.316148911383948</v>
      </c>
      <c r="AF217" s="86" t="str">
        <f t="shared" si="128"/>
        <v>-0.0466364536860211-0.0729779811814364j</v>
      </c>
      <c r="AG217" s="86">
        <f t="shared" si="129"/>
        <v>-21.248956249031568</v>
      </c>
      <c r="AH217" s="86">
        <f t="shared" si="130"/>
        <v>57.419457866163668</v>
      </c>
      <c r="AJ217" s="86" t="str">
        <f t="shared" si="131"/>
        <v>15.0499822593828-0.016340011440938j</v>
      </c>
      <c r="AK217" s="86" t="str">
        <f t="shared" si="132"/>
        <v>30.1-6.53601228088632E-10j</v>
      </c>
      <c r="AL217" s="86" t="str">
        <f t="shared" si="146"/>
        <v>10000-30804.0356876829j</v>
      </c>
      <c r="AM217" s="86" t="str">
        <f t="shared" si="147"/>
        <v>917.166733125317-9765.21272653885j</v>
      </c>
      <c r="AN217" s="86" t="str">
        <f t="shared" si="148"/>
        <v>10917.1667331253-9765.21272653885j</v>
      </c>
      <c r="AO217" s="86" t="str">
        <f t="shared" si="149"/>
        <v>30.0539115258279-0.0411119754930478j</v>
      </c>
      <c r="AP217" s="86" t="str">
        <f t="shared" si="150"/>
        <v>0.666666841300639+0.000241270163378983j</v>
      </c>
      <c r="AQ217" s="86" t="str">
        <f t="shared" si="133"/>
        <v>1+40.3064070107041j</v>
      </c>
      <c r="AR217" s="86">
        <f t="shared" si="134"/>
        <v>-2.8977291776069191E-5</v>
      </c>
      <c r="AS217" s="86" t="str">
        <f t="shared" si="135"/>
        <v>0.000212517031488826j</v>
      </c>
      <c r="AT217" s="86" t="str">
        <f t="shared" si="136"/>
        <v>-0.0000289772917760692+0.000212517031488826j</v>
      </c>
      <c r="AU217" s="86" t="str">
        <f t="shared" si="137"/>
        <v>18.5570261446938-3.00085295104674j</v>
      </c>
      <c r="AW217" s="86" t="str">
        <f t="shared" si="151"/>
        <v>9.13141598587849-6.64178439666891j</v>
      </c>
      <c r="AX217" s="86">
        <f t="shared" si="138"/>
        <v>21.054967567866925</v>
      </c>
      <c r="AY217" s="86">
        <f t="shared" si="139"/>
        <v>143.9695299700042</v>
      </c>
      <c r="AZ217" s="86" t="str">
        <f t="shared" si="140"/>
        <v>-1.12041968484717+0.63944732049237j</v>
      </c>
      <c r="BA217" s="86">
        <f t="shared" si="141"/>
        <v>2.2121416743275883</v>
      </c>
      <c r="BB217" s="86">
        <f t="shared" si="142"/>
        <v>-29.714321118611736</v>
      </c>
      <c r="BD217" s="86" t="str">
        <f t="shared" si="143"/>
        <v>-0.91056087542448-0.356643033569524j</v>
      </c>
      <c r="BE217" s="86">
        <f t="shared" si="144"/>
        <v>-0.19398868116460111</v>
      </c>
      <c r="BF217" s="86">
        <f t="shared" si="145"/>
        <v>21.388987836167956</v>
      </c>
      <c r="BH217" s="86">
        <f t="shared" si="152"/>
        <v>1.1939886811646012</v>
      </c>
      <c r="BI217" s="157">
        <f t="shared" si="153"/>
        <v>-21.388987836167956</v>
      </c>
      <c r="BJ217" s="88"/>
      <c r="BK217" s="88"/>
      <c r="BL217" s="88"/>
      <c r="BM217" s="88"/>
      <c r="BN217" s="42"/>
      <c r="BO217" s="42"/>
      <c r="BP217" s="42"/>
    </row>
    <row r="218" spans="1:68" s="86" customFormat="1">
      <c r="A218" s="86">
        <v>154</v>
      </c>
      <c r="B218" s="86">
        <f t="shared" si="103"/>
        <v>120226.44346174138</v>
      </c>
      <c r="C218" s="86" t="str">
        <f t="shared" si="104"/>
        <v>755405.023093271j</v>
      </c>
      <c r="D218" s="86">
        <f t="shared" si="105"/>
        <v>0.98554560229254073</v>
      </c>
      <c r="E218" s="86" t="str">
        <f t="shared" si="106"/>
        <v>-0.188851255773318j</v>
      </c>
      <c r="F218" s="86" t="str">
        <f t="shared" si="107"/>
        <v>0.985545602292541-0.188851255773318j</v>
      </c>
      <c r="G218" s="86">
        <f t="shared" si="108"/>
        <v>3.0143458901844975E-2</v>
      </c>
      <c r="H218" s="86">
        <f t="shared" si="109"/>
        <v>-10.84758204457205</v>
      </c>
      <c r="J218" s="86">
        <f t="shared" si="110"/>
        <v>4.8</v>
      </c>
      <c r="K218" s="86" t="str">
        <f t="shared" si="111"/>
        <v>1+30.8847343691684j</v>
      </c>
      <c r="L218" s="86">
        <f t="shared" si="112"/>
        <v>-92.321933917484685</v>
      </c>
      <c r="M218" s="86" t="str">
        <f t="shared" si="113"/>
        <v>4.31865051702423j</v>
      </c>
      <c r="N218" s="86" t="str">
        <f t="shared" si="114"/>
        <v>-92.3219339174847+4.31865051702423j</v>
      </c>
      <c r="O218" s="86" t="str">
        <f t="shared" si="115"/>
        <v>0.00480665969577727-0.334308162493364j</v>
      </c>
      <c r="P218" s="86" t="str">
        <f t="shared" si="116"/>
        <v>0.0230719665397309-1.60467917996815j</v>
      </c>
      <c r="R218" s="86">
        <f t="shared" si="117"/>
        <v>11.52</v>
      </c>
      <c r="S218" s="86" t="str">
        <f t="shared" si="118"/>
        <v>1+0.064209426962928j</v>
      </c>
      <c r="T218" s="86" t="str">
        <f t="shared" si="119"/>
        <v>-92.3219339174847+4.31865051702423j</v>
      </c>
      <c r="U218" s="86" t="str">
        <f t="shared" si="120"/>
        <v>-0.0107755491896918-0.00119955522315198j</v>
      </c>
      <c r="V218" s="86" t="str">
        <f t="shared" si="121"/>
        <v>-0.12413432666525-0.0138188761707108j</v>
      </c>
      <c r="X218" s="86" t="str">
        <f t="shared" si="122"/>
        <v>-0.172913746488163-0.978261789166412j</v>
      </c>
      <c r="Y218" s="86">
        <f t="shared" si="123"/>
        <v>-5.7289228890045674E-2</v>
      </c>
      <c r="Z218" s="86">
        <f t="shared" si="124"/>
        <v>79.976155961066013</v>
      </c>
      <c r="AB218" s="86" t="str">
        <f t="shared" si="125"/>
        <v>-0.1034797654762-0.0115195699989253j</v>
      </c>
      <c r="AC218" s="86">
        <f t="shared" si="126"/>
        <v>-19.649401757912671</v>
      </c>
      <c r="AD218" s="86">
        <f t="shared" si="127"/>
        <v>6.3521247229381004</v>
      </c>
      <c r="AF218" s="86" t="str">
        <f t="shared" si="128"/>
        <v>-0.0452860853370137-0.0674914093034872j</v>
      </c>
      <c r="AG218" s="86">
        <f t="shared" si="129"/>
        <v>-21.80066699608609</v>
      </c>
      <c r="AH218" s="86">
        <f t="shared" si="130"/>
        <v>56.138769410723938</v>
      </c>
      <c r="AJ218" s="86" t="str">
        <f t="shared" si="131"/>
        <v>15.0499805478023-0.0171100905094151j</v>
      </c>
      <c r="AK218" s="86" t="str">
        <f t="shared" si="132"/>
        <v>30.1-6.84404504972736E-10j</v>
      </c>
      <c r="AL218" s="86" t="str">
        <f t="shared" si="146"/>
        <v>10000-29417.6257012768j</v>
      </c>
      <c r="AM218" s="86" t="str">
        <f t="shared" si="147"/>
        <v>912.962467670588-9343.6392833537j</v>
      </c>
      <c r="AN218" s="86" t="str">
        <f t="shared" si="148"/>
        <v>10912.9624676706-9343.6392833537j</v>
      </c>
      <c r="AO218" s="86" t="str">
        <f t="shared" si="149"/>
        <v>30.052116288928-0.0408850934165078j</v>
      </c>
      <c r="AP218" s="86" t="str">
        <f t="shared" si="150"/>
        <v>0.666666858148999+0.000252640863097278j</v>
      </c>
      <c r="AQ218" s="86" t="str">
        <f t="shared" si="133"/>
        <v>1+42.2059894502672j</v>
      </c>
      <c r="AR218" s="86">
        <f t="shared" si="134"/>
        <v>-3.1782616435353461E-5</v>
      </c>
      <c r="AS218" s="86" t="str">
        <f t="shared" si="135"/>
        <v>0.000222532650618982j</v>
      </c>
      <c r="AT218" s="86" t="str">
        <f t="shared" si="136"/>
        <v>-0.0000317826164353535+0.000222532650618982j</v>
      </c>
      <c r="AU218" s="86" t="str">
        <f t="shared" si="137"/>
        <v>18.5241609666966-3.09503482242041j</v>
      </c>
      <c r="AW218" s="86" t="str">
        <f t="shared" si="151"/>
        <v>8.87800697575809-6.79514351345877j</v>
      </c>
      <c r="AX218" s="86">
        <f t="shared" si="138"/>
        <v>20.968856335682382</v>
      </c>
      <c r="AY218" s="86">
        <f t="shared" si="139"/>
        <v>142.56989460235553</v>
      </c>
      <c r="AZ218" s="86" t="str">
        <f t="shared" si="140"/>
        <v>-0.99697121110355+0.600889034341645j</v>
      </c>
      <c r="BA218" s="86">
        <f t="shared" si="141"/>
        <v>1.3194545777697466</v>
      </c>
      <c r="BB218" s="86">
        <f t="shared" si="142"/>
        <v>-31.077980674706339</v>
      </c>
      <c r="BD218" s="86" t="str">
        <f t="shared" si="143"/>
        <v>-0.860663993669569-0.291463753572356j</v>
      </c>
      <c r="BE218" s="86">
        <f t="shared" si="144"/>
        <v>-0.83181066040367002</v>
      </c>
      <c r="BF218" s="86">
        <f t="shared" si="145"/>
        <v>18.708664013079471</v>
      </c>
      <c r="BH218" s="86">
        <f t="shared" si="152"/>
        <v>1.8318106604036699</v>
      </c>
      <c r="BI218" s="157">
        <f t="shared" si="153"/>
        <v>-18.708664013079471</v>
      </c>
      <c r="BJ218" s="88"/>
      <c r="BK218" s="88"/>
      <c r="BL218" s="88"/>
      <c r="BM218" s="88"/>
      <c r="BN218" s="42"/>
      <c r="BO218" s="42"/>
      <c r="BP218" s="42"/>
    </row>
    <row r="219" spans="1:68" s="86" customFormat="1">
      <c r="A219" s="86">
        <v>155</v>
      </c>
      <c r="B219" s="86">
        <f t="shared" si="103"/>
        <v>125892.5411794168</v>
      </c>
      <c r="C219" s="86" t="str">
        <f t="shared" si="104"/>
        <v>791006.165022013j</v>
      </c>
      <c r="D219" s="86">
        <f t="shared" si="105"/>
        <v>0.98415106807538888</v>
      </c>
      <c r="E219" s="86" t="str">
        <f t="shared" si="106"/>
        <v>-0.197751541255503j</v>
      </c>
      <c r="F219" s="86" t="str">
        <f t="shared" si="107"/>
        <v>0.984151068075389-0.197751541255503j</v>
      </c>
      <c r="G219" s="86">
        <f t="shared" si="108"/>
        <v>3.3135868351155784E-2</v>
      </c>
      <c r="H219" s="86">
        <f t="shared" si="109"/>
        <v>-11.361498460266953</v>
      </c>
      <c r="J219" s="86">
        <f t="shared" si="110"/>
        <v>4.8</v>
      </c>
      <c r="K219" s="86" t="str">
        <f t="shared" si="111"/>
        <v>1+32.340287056925j</v>
      </c>
      <c r="L219" s="86">
        <f t="shared" si="112"/>
        <v>-101.32546576243715</v>
      </c>
      <c r="M219" s="86" t="str">
        <f t="shared" si="113"/>
        <v>4.52218224543085j</v>
      </c>
      <c r="N219" s="86" t="str">
        <f t="shared" si="114"/>
        <v>-101.325465762437+4.52218224543085j</v>
      </c>
      <c r="O219" s="86" t="str">
        <f t="shared" si="115"/>
        <v>0.00436686064843732-0.318977456200494j</v>
      </c>
      <c r="P219" s="86" t="str">
        <f t="shared" si="116"/>
        <v>0.0209609311124991-1.53109178976237j</v>
      </c>
      <c r="R219" s="86">
        <f t="shared" si="117"/>
        <v>11.52</v>
      </c>
      <c r="S219" s="86" t="str">
        <f t="shared" si="118"/>
        <v>1+0.0672355240268711j</v>
      </c>
      <c r="T219" s="86" t="str">
        <f t="shared" si="119"/>
        <v>-101.325465762437+4.52218224543085j</v>
      </c>
      <c r="U219" s="86" t="str">
        <f t="shared" si="120"/>
        <v>-0.00982001235047333-0.00110182971958745j</v>
      </c>
      <c r="V219" s="86" t="str">
        <f t="shared" si="121"/>
        <v>-0.113126542277453-0.0126930783696474j</v>
      </c>
      <c r="X219" s="86" t="str">
        <f t="shared" si="122"/>
        <v>-0.174048689963598-0.932075942581535j</v>
      </c>
      <c r="Y219" s="86">
        <f t="shared" si="123"/>
        <v>-0.46212044191833412</v>
      </c>
      <c r="Z219" s="86">
        <f t="shared" si="124"/>
        <v>79.422842409837301</v>
      </c>
      <c r="AB219" s="86" t="str">
        <f t="shared" si="125"/>
        <v>-0.0943035530822382-0.0105810923388191j</v>
      </c>
      <c r="AC219" s="86">
        <f t="shared" si="126"/>
        <v>-20.4551051291443</v>
      </c>
      <c r="AD219" s="86">
        <f t="shared" si="127"/>
        <v>6.4019524702203512</v>
      </c>
      <c r="AF219" s="86" t="str">
        <f t="shared" si="128"/>
        <v>-0.0438616805472437-0.0623081638744944j</v>
      </c>
      <c r="AG219" s="86">
        <f t="shared" si="129"/>
        <v>-22.361114264299328</v>
      </c>
      <c r="AH219" s="86">
        <f t="shared" si="130"/>
        <v>54.856463100733521</v>
      </c>
      <c r="AJ219" s="86" t="str">
        <f t="shared" si="131"/>
        <v>15.049978671092-0.0179164619979868j</v>
      </c>
      <c r="AK219" s="86" t="str">
        <f t="shared" si="132"/>
        <v>30.1-7.16659495571594E-10j</v>
      </c>
      <c r="AL219" s="86" t="str">
        <f t="shared" si="146"/>
        <v>10000-28093.614443073j</v>
      </c>
      <c r="AM219" s="86" t="str">
        <f t="shared" si="147"/>
        <v>908.396662607176-8941.70538728712j</v>
      </c>
      <c r="AN219" s="86" t="str">
        <f t="shared" si="148"/>
        <v>10908.3966626072-8941.70538728712j</v>
      </c>
      <c r="AO219" s="86" t="str">
        <f t="shared" si="149"/>
        <v>30.0503499558142-0.0405865713602558j</v>
      </c>
      <c r="AP219" s="86" t="str">
        <f t="shared" si="150"/>
        <v>0.666666876622858+0.000264547445491734j</v>
      </c>
      <c r="AQ219" s="86" t="str">
        <f t="shared" si="133"/>
        <v>1+44.1950964521099j</v>
      </c>
      <c r="AR219" s="86">
        <f t="shared" si="134"/>
        <v>-3.4858593757361424E-5</v>
      </c>
      <c r="AS219" s="86" t="str">
        <f t="shared" si="135"/>
        <v>0.000233020291336573j</v>
      </c>
      <c r="AT219" s="86" t="str">
        <f t="shared" si="136"/>
        <v>-0.0000348585937573614+0.000233020291336573j</v>
      </c>
      <c r="AU219" s="86" t="str">
        <f t="shared" si="137"/>
        <v>18.4882619283977-3.19489263175965j</v>
      </c>
      <c r="AW219" s="86" t="str">
        <f t="shared" si="151"/>
        <v>8.61069094229791-6.94312859340389j</v>
      </c>
      <c r="AX219" s="86">
        <f t="shared" si="138"/>
        <v>20.876076410143561</v>
      </c>
      <c r="AY219" s="86">
        <f t="shared" si="139"/>
        <v>141.11944292745937</v>
      </c>
      <c r="AZ219" s="86" t="str">
        <f t="shared" si="140"/>
        <v>-0.885484635118841+0.563651179903382j</v>
      </c>
      <c r="BA219" s="86">
        <f t="shared" si="141"/>
        <v>0.42097128099926096</v>
      </c>
      <c r="BB219" s="86">
        <f t="shared" si="142"/>
        <v>-32.478604602320246</v>
      </c>
      <c r="BD219" s="86" t="str">
        <f t="shared" si="143"/>
        <v>-0.810292969601613-0.231979053943008j</v>
      </c>
      <c r="BE219" s="86">
        <f t="shared" si="144"/>
        <v>-1.4850378541557752</v>
      </c>
      <c r="BF219" s="86">
        <f t="shared" si="145"/>
        <v>15.975906028192924</v>
      </c>
      <c r="BH219" s="86">
        <f t="shared" si="152"/>
        <v>2.4850378541557752</v>
      </c>
      <c r="BI219" s="157">
        <f t="shared" si="153"/>
        <v>-15.975906028192924</v>
      </c>
      <c r="BJ219" s="88"/>
      <c r="BK219" s="88"/>
      <c r="BL219" s="88"/>
      <c r="BM219" s="88"/>
      <c r="BN219" s="42"/>
      <c r="BO219" s="42"/>
      <c r="BP219" s="42"/>
    </row>
    <row r="220" spans="1:68" s="86" customFormat="1">
      <c r="A220" s="86">
        <v>156</v>
      </c>
      <c r="B220" s="86">
        <f t="shared" si="103"/>
        <v>131825.6738556409</v>
      </c>
      <c r="C220" s="86" t="str">
        <f t="shared" si="104"/>
        <v>828285.137078811j</v>
      </c>
      <c r="D220" s="86">
        <f t="shared" si="105"/>
        <v>0.98262199171250619</v>
      </c>
      <c r="E220" s="86" t="str">
        <f t="shared" si="106"/>
        <v>-0.207071284269703j</v>
      </c>
      <c r="F220" s="86" t="str">
        <f t="shared" si="107"/>
        <v>0.982621991712506-0.207071284269703j</v>
      </c>
      <c r="G220" s="86">
        <f t="shared" si="108"/>
        <v>3.6433864621116509E-2</v>
      </c>
      <c r="H220" s="86">
        <f t="shared" si="109"/>
        <v>-11.90001967634781</v>
      </c>
      <c r="J220" s="86">
        <f t="shared" si="110"/>
        <v>4.8</v>
      </c>
      <c r="K220" s="86" t="str">
        <f t="shared" si="111"/>
        <v>1+33.8644378294672j</v>
      </c>
      <c r="L220" s="86">
        <f t="shared" si="112"/>
        <v>-111.19764211870846</v>
      </c>
      <c r="M220" s="86" t="str">
        <f t="shared" si="113"/>
        <v>4.73530612867956j</v>
      </c>
      <c r="N220" s="86" t="str">
        <f t="shared" si="114"/>
        <v>-111.197642118708+4.73530612867956j</v>
      </c>
      <c r="O220" s="86" t="str">
        <f t="shared" si="115"/>
        <v>0.00396863595350329-0.304373766191755j</v>
      </c>
      <c r="P220" s="86" t="str">
        <f t="shared" si="116"/>
        <v>0.0190494525768158-1.46099407772042j</v>
      </c>
      <c r="R220" s="86">
        <f t="shared" si="117"/>
        <v>11.52</v>
      </c>
      <c r="S220" s="86" t="str">
        <f t="shared" si="118"/>
        <v>1+0.0704042366516989j</v>
      </c>
      <c r="T220" s="86" t="str">
        <f t="shared" si="119"/>
        <v>-111.197642118708+4.73530612867956j</v>
      </c>
      <c r="U220" s="86" t="str">
        <f t="shared" si="120"/>
        <v>-0.00894980422027412-0.00101426880352412j</v>
      </c>
      <c r="V220" s="86" t="str">
        <f t="shared" si="121"/>
        <v>-0.103101744617558-0.0116843766165979j</v>
      </c>
      <c r="X220" s="86" t="str">
        <f t="shared" si="122"/>
        <v>-0.17507545567225-0.888018200903012j</v>
      </c>
      <c r="Y220" s="86">
        <f t="shared" si="123"/>
        <v>-0.86595350238771784</v>
      </c>
      <c r="Z220" s="86">
        <f t="shared" si="124"/>
        <v>78.847000045286578</v>
      </c>
      <c r="AB220" s="86" t="str">
        <f t="shared" si="125"/>
        <v>-0.0859467694377776-0.00974022725625033j</v>
      </c>
      <c r="AC220" s="86">
        <f t="shared" si="126"/>
        <v>-21.259985953266987</v>
      </c>
      <c r="AD220" s="86">
        <f t="shared" si="127"/>
        <v>6.4656644705358133</v>
      </c>
      <c r="AF220" s="86" t="str">
        <f t="shared" si="128"/>
        <v>-0.0423736181136902-0.0574219444736278j</v>
      </c>
      <c r="AG220" s="86">
        <f t="shared" si="129"/>
        <v>-22.930431042040503</v>
      </c>
      <c r="AH220" s="86">
        <f t="shared" si="130"/>
        <v>53.575114272465413</v>
      </c>
      <c r="AJ220" s="86" t="str">
        <f t="shared" si="131"/>
        <v>15.0499766133206-0.0187608362730067j</v>
      </c>
      <c r="AK220" s="86" t="str">
        <f t="shared" si="132"/>
        <v>30.1-7.50434617044773E-10j</v>
      </c>
      <c r="AL220" s="86" t="str">
        <f t="shared" si="146"/>
        <v>10000-26829.1935076795j</v>
      </c>
      <c r="AM220" s="86" t="str">
        <f t="shared" si="147"/>
        <v>903.442560112972-8558.53496454583j</v>
      </c>
      <c r="AN220" s="86" t="str">
        <f t="shared" si="148"/>
        <v>10903.442560113-8558.53496454583j</v>
      </c>
      <c r="AO220" s="86" t="str">
        <f t="shared" si="149"/>
        <v>30.0486184241631-0.0402203603338663j</v>
      </c>
      <c r="AP220" s="86" t="str">
        <f t="shared" si="150"/>
        <v>0.666666896879039+0.000277015165654513j</v>
      </c>
      <c r="AQ220" s="86" t="str">
        <f t="shared" si="133"/>
        <v>1+46.2779471788673j</v>
      </c>
      <c r="AR220" s="86">
        <f t="shared" si="134"/>
        <v>-3.8231335822774117E-5</v>
      </c>
      <c r="AS220" s="86" t="str">
        <f t="shared" si="135"/>
        <v>0.000244002199333663j</v>
      </c>
      <c r="AT220" s="86" t="str">
        <f t="shared" si="136"/>
        <v>-0.0000382313358227741+0.000244002199333663j</v>
      </c>
      <c r="AU220" s="86" t="str">
        <f t="shared" si="137"/>
        <v>18.4490620649135-3.30051241184778j</v>
      </c>
      <c r="AW220" s="86" t="str">
        <f t="shared" si="151"/>
        <v>8.32954032257397-7.08441965698746j</v>
      </c>
      <c r="AX220" s="86">
        <f t="shared" si="138"/>
        <v>20.776231149824213</v>
      </c>
      <c r="AY220" s="86">
        <f t="shared" si="139"/>
        <v>139.61825475687499</v>
      </c>
      <c r="AZ220" s="86" t="str">
        <f t="shared" si="140"/>
        <v>-0.784900939064642+0.527751367177589j</v>
      </c>
      <c r="BA220" s="86">
        <f t="shared" si="141"/>
        <v>-0.48375480344277111</v>
      </c>
      <c r="BB220" s="86">
        <f t="shared" si="142"/>
        <v>-33.916080772589197</v>
      </c>
      <c r="BD220" s="86" t="str">
        <f t="shared" si="143"/>
        <v>-0.759753912862745-0.17810590879138j</v>
      </c>
      <c r="BE220" s="86">
        <f t="shared" si="144"/>
        <v>-2.1541998922162846</v>
      </c>
      <c r="BF220" s="86">
        <f t="shared" si="145"/>
        <v>13.193369029340403</v>
      </c>
      <c r="BH220" s="86">
        <f t="shared" si="152"/>
        <v>3.1541998922162846</v>
      </c>
      <c r="BI220" s="157">
        <f t="shared" si="153"/>
        <v>-13.193369029340403</v>
      </c>
      <c r="BJ220" s="88"/>
      <c r="BK220" s="88"/>
      <c r="BL220" s="88"/>
      <c r="BM220" s="88"/>
      <c r="BN220" s="42"/>
      <c r="BO220" s="42"/>
      <c r="BP220" s="42"/>
    </row>
    <row r="221" spans="1:68" s="86" customFormat="1">
      <c r="A221" s="86">
        <v>157</v>
      </c>
      <c r="B221" s="86">
        <f t="shared" si="103"/>
        <v>138038.42646028864</v>
      </c>
      <c r="C221" s="86" t="str">
        <f t="shared" si="104"/>
        <v>867321.012961475j</v>
      </c>
      <c r="D221" s="86">
        <f t="shared" si="105"/>
        <v>0.98094539282036752</v>
      </c>
      <c r="E221" s="86" t="str">
        <f t="shared" si="106"/>
        <v>-0.216830253240369j</v>
      </c>
      <c r="F221" s="86" t="str">
        <f t="shared" si="107"/>
        <v>0.980945392820368-0.216830253240369j</v>
      </c>
      <c r="G221" s="86">
        <f t="shared" si="108"/>
        <v>4.0070296796826277E-2</v>
      </c>
      <c r="H221" s="86">
        <f t="shared" si="109"/>
        <v>-12.46435885321675</v>
      </c>
      <c r="J221" s="86">
        <f t="shared" si="110"/>
        <v>4.8</v>
      </c>
      <c r="K221" s="86" t="str">
        <f t="shared" si="111"/>
        <v>1+35.4604196149299j</v>
      </c>
      <c r="L221" s="86">
        <f t="shared" si="112"/>
        <v>-122.02226824183984</v>
      </c>
      <c r="M221" s="86" t="str">
        <f t="shared" si="113"/>
        <v>4.95847423110075j</v>
      </c>
      <c r="N221" s="86" t="str">
        <f t="shared" si="114"/>
        <v>-122.02226824184+4.95847423110075j</v>
      </c>
      <c r="O221" s="86" t="str">
        <f t="shared" si="115"/>
        <v>0.00360783391403974-0.290459526561105j</v>
      </c>
      <c r="P221" s="86" t="str">
        <f t="shared" si="116"/>
        <v>0.0173176027873908-1.3942057274933j</v>
      </c>
      <c r="R221" s="86">
        <f t="shared" si="117"/>
        <v>11.52</v>
      </c>
      <c r="S221" s="86" t="str">
        <f t="shared" si="118"/>
        <v>1+0.0737222861017254j</v>
      </c>
      <c r="T221" s="86" t="str">
        <f t="shared" si="119"/>
        <v>-122.02226824184+4.95847423110075j</v>
      </c>
      <c r="U221" s="86" t="str">
        <f t="shared" si="120"/>
        <v>-0.00815720475178772-0.00093564541379448j</v>
      </c>
      <c r="V221" s="86" t="str">
        <f t="shared" si="121"/>
        <v>-0.0939709987405945-0.0107786351669124j</v>
      </c>
      <c r="X221" s="86" t="str">
        <f t="shared" si="122"/>
        <v>-0.176004989276838-0.845975368679067j</v>
      </c>
      <c r="Y221" s="86">
        <f t="shared" si="123"/>
        <v>-1.2688172033621836</v>
      </c>
      <c r="Z221" s="86">
        <f t="shared" si="124"/>
        <v>78.24728255513071</v>
      </c>
      <c r="AB221" s="86" t="str">
        <f t="shared" si="125"/>
        <v>-0.0783352773762875-0.0089851910361057j</v>
      </c>
      <c r="AC221" s="86">
        <f t="shared" si="126"/>
        <v>-22.064087004982614</v>
      </c>
      <c r="AD221" s="86">
        <f t="shared" si="127"/>
        <v>6.5433287012427286</v>
      </c>
      <c r="AF221" s="86" t="str">
        <f t="shared" si="128"/>
        <v>-0.0408324310130646-0.0528260746120827j</v>
      </c>
      <c r="AG221" s="86">
        <f t="shared" si="129"/>
        <v>-23.508714722500915</v>
      </c>
      <c r="AH221" s="86">
        <f t="shared" si="130"/>
        <v>52.29741933687049</v>
      </c>
      <c r="AJ221" s="86" t="str">
        <f t="shared" si="131"/>
        <v>15.0499743570198-0.0196450043015839j</v>
      </c>
      <c r="AK221" s="86" t="str">
        <f t="shared" si="132"/>
        <v>30.1-7.85801510953226E-10j</v>
      </c>
      <c r="AL221" s="86" t="str">
        <f t="shared" si="146"/>
        <v>10000-25621.6808887683j</v>
      </c>
      <c r="AM221" s="86" t="str">
        <f t="shared" si="147"/>
        <v>898.072233167619-8193.28897481953j</v>
      </c>
      <c r="AN221" s="86" t="str">
        <f t="shared" si="148"/>
        <v>10898.0722331676-8193.28897481953j</v>
      </c>
      <c r="AO221" s="86" t="str">
        <f t="shared" si="149"/>
        <v>30.046926981837-0.0397909708813068j</v>
      </c>
      <c r="AP221" s="86" t="str">
        <f t="shared" si="150"/>
        <v>0.666666919089496+0.000290070468872082j</v>
      </c>
      <c r="AQ221" s="86" t="str">
        <f t="shared" si="133"/>
        <v>1+48.4589596361835j</v>
      </c>
      <c r="AR221" s="86">
        <f t="shared" si="134"/>
        <v>-4.1929473958713921E-5</v>
      </c>
      <c r="AS221" s="86" t="str">
        <f t="shared" si="135"/>
        <v>0.000255501668709485j</v>
      </c>
      <c r="AT221" s="86" t="str">
        <f t="shared" si="136"/>
        <v>-0.0000419294739587139+0.000255501668709485j</v>
      </c>
      <c r="AU221" s="86" t="str">
        <f t="shared" si="137"/>
        <v>18.4062736638956-3.41197525898941j</v>
      </c>
      <c r="AW221" s="86" t="str">
        <f t="shared" si="151"/>
        <v>8.03476538906816-7.21765016193252j</v>
      </c>
      <c r="AX221" s="86">
        <f t="shared" si="138"/>
        <v>20.668919237933334</v>
      </c>
      <c r="AY221" s="86">
        <f t="shared" si="139"/>
        <v>138.06656617309099</v>
      </c>
      <c r="AZ221" s="86" t="str">
        <f t="shared" si="140"/>
        <v>-0.694257540942792+0.493202725488923j</v>
      </c>
      <c r="BA221" s="86">
        <f t="shared" si="141"/>
        <v>-1.3951677670492759</v>
      </c>
      <c r="BB221" s="86">
        <f t="shared" si="142"/>
        <v>-35.390105125666281</v>
      </c>
      <c r="BD221" s="86" t="str">
        <f t="shared" si="143"/>
        <v>-0.709359129433443-0.12973091361995j</v>
      </c>
      <c r="BE221" s="86">
        <f t="shared" si="144"/>
        <v>-2.8397954845675777</v>
      </c>
      <c r="BF221" s="86">
        <f t="shared" si="145"/>
        <v>10.363985509961452</v>
      </c>
      <c r="BH221" s="86">
        <f t="shared" si="152"/>
        <v>3.8397954845675777</v>
      </c>
      <c r="BI221" s="157">
        <f t="shared" si="153"/>
        <v>-10.363985509961452</v>
      </c>
      <c r="BJ221" s="88"/>
      <c r="BK221" s="88"/>
      <c r="BL221" s="88"/>
      <c r="BM221" s="88"/>
      <c r="BN221" s="42"/>
      <c r="BO221" s="42"/>
      <c r="BP221" s="42"/>
    </row>
    <row r="222" spans="1:68" s="86" customFormat="1">
      <c r="A222" s="86">
        <v>158</v>
      </c>
      <c r="B222" s="86">
        <f t="shared" si="103"/>
        <v>144543.9770745929</v>
      </c>
      <c r="C222" s="86" t="str">
        <f t="shared" si="104"/>
        <v>908196.592996385j</v>
      </c>
      <c r="D222" s="86">
        <f t="shared" si="105"/>
        <v>0.97910703869145954</v>
      </c>
      <c r="E222" s="86" t="str">
        <f t="shared" si="106"/>
        <v>-0.227049148249096j</v>
      </c>
      <c r="F222" s="86" t="str">
        <f t="shared" si="107"/>
        <v>0.97910703869146-0.227049148249096j</v>
      </c>
      <c r="G222" s="86">
        <f t="shared" si="108"/>
        <v>4.4081848450112565E-2</v>
      </c>
      <c r="H222" s="86">
        <f t="shared" si="109"/>
        <v>-13.055793379941234</v>
      </c>
      <c r="J222" s="86">
        <f t="shared" si="110"/>
        <v>4.8</v>
      </c>
      <c r="K222" s="86" t="str">
        <f t="shared" si="111"/>
        <v>1+37.1316177046572j</v>
      </c>
      <c r="L222" s="86">
        <f t="shared" si="112"/>
        <v>-133.89123476725561</v>
      </c>
      <c r="M222" s="86" t="str">
        <f t="shared" si="113"/>
        <v>5.19215992216033j</v>
      </c>
      <c r="N222" s="86" t="str">
        <f t="shared" si="114"/>
        <v>-133.891234767256+5.19215992216033j</v>
      </c>
      <c r="O222" s="86" t="str">
        <f t="shared" si="115"/>
        <v>0.00328075353045803-0.277199501312975j</v>
      </c>
      <c r="P222" s="86" t="str">
        <f t="shared" si="116"/>
        <v>0.0157476169461985-1.33055760630228j</v>
      </c>
      <c r="R222" s="86">
        <f t="shared" si="117"/>
        <v>11.52</v>
      </c>
      <c r="S222" s="86" t="str">
        <f t="shared" si="118"/>
        <v>1+0.0771967104046927j</v>
      </c>
      <c r="T222" s="86" t="str">
        <f t="shared" si="119"/>
        <v>-133.891234767256+5.19215992216033j</v>
      </c>
      <c r="U222" s="86" t="str">
        <f t="shared" si="120"/>
        <v>-0.00743520920019311-0.000864892357054677j</v>
      </c>
      <c r="V222" s="86" t="str">
        <f t="shared" si="121"/>
        <v>-0.0856536099862246-0.00996355995326988j</v>
      </c>
      <c r="X222" s="86" t="str">
        <f t="shared" si="122"/>
        <v>-0.176847026319907-0.805841124157979j</v>
      </c>
      <c r="Y222" s="86">
        <f t="shared" si="123"/>
        <v>-1.6707309606759528</v>
      </c>
      <c r="Z222" s="86">
        <f t="shared" si="124"/>
        <v>77.622290649585892</v>
      </c>
      <c r="AB222" s="86" t="str">
        <f t="shared" si="125"/>
        <v>-0.0714018089248288-0.00830573520612694j</v>
      </c>
      <c r="AC222" s="86">
        <f t="shared" si="126"/>
        <v>-22.867444296688543</v>
      </c>
      <c r="AD222" s="86">
        <f t="shared" si="127"/>
        <v>6.6350475929763206</v>
      </c>
      <c r="AF222" s="86" t="str">
        <f t="shared" si="128"/>
        <v>-0.0392487184852469-0.0485134208451006j</v>
      </c>
      <c r="AG222" s="86">
        <f t="shared" si="129"/>
        <v>-24.096025020252085</v>
      </c>
      <c r="AH222" s="86">
        <f t="shared" si="130"/>
        <v>51.026169650789143</v>
      </c>
      <c r="AJ222" s="86" t="str">
        <f t="shared" si="131"/>
        <v>15.049971883036-0.0205708414492413j</v>
      </c>
      <c r="AK222" s="86" t="str">
        <f t="shared" si="132"/>
        <v>30.1-8.22835195220655E-10j</v>
      </c>
      <c r="AL222" s="86" t="str">
        <f t="shared" si="146"/>
        <v>10000-24468.5152901809j</v>
      </c>
      <c r="AM222" s="86" t="str">
        <f t="shared" si="147"/>
        <v>892.256693862327-7845.16337988359j</v>
      </c>
      <c r="AN222" s="86" t="str">
        <f t="shared" si="148"/>
        <v>10892.2566938623-7845.16337988359j</v>
      </c>
      <c r="AO222" s="86" t="str">
        <f t="shared" si="149"/>
        <v>30.0452802471334-0.0393033685234609j</v>
      </c>
      <c r="AP222" s="86" t="str">
        <f t="shared" si="150"/>
        <v>0.666666943442775+0.000303741046711175j</v>
      </c>
      <c r="AQ222" s="86" t="str">
        <f t="shared" si="133"/>
        <v>1+50.742760043894j</v>
      </c>
      <c r="AR222" s="86">
        <f t="shared" si="134"/>
        <v>-4.5984401791097625E-5</v>
      </c>
      <c r="AS222" s="86" t="str">
        <f t="shared" si="135"/>
        <v>0.000267543091380345j</v>
      </c>
      <c r="AT222" s="86" t="str">
        <f t="shared" si="136"/>
        <v>-0.0000459844017910976+0.000267543091380345j</v>
      </c>
      <c r="AU222" s="86" t="str">
        <f t="shared" si="137"/>
        <v>18.3595871820496-3.52935532301106j</v>
      </c>
      <c r="AW222" s="86" t="str">
        <f t="shared" si="151"/>
        <v>7.72672668284666-7.34142282354946j</v>
      </c>
      <c r="AX222" s="86">
        <f t="shared" si="138"/>
        <v>20.553737219627955</v>
      </c>
      <c r="AY222" s="86">
        <f t="shared" si="139"/>
        <v>136.46477676120955</v>
      </c>
      <c r="AZ222" s="86" t="str">
        <f t="shared" si="140"/>
        <v>-0.612678176231612+0.460014723845615j</v>
      </c>
      <c r="BA222" s="86">
        <f t="shared" si="141"/>
        <v>-2.3137070770605912</v>
      </c>
      <c r="BB222" s="86">
        <f t="shared" si="142"/>
        <v>-36.900175645814073</v>
      </c>
      <c r="BD222" s="86" t="str">
        <f t="shared" si="143"/>
        <v>-0.659421655428175-0.0867085056373493j</v>
      </c>
      <c r="BE222" s="86">
        <f t="shared" si="144"/>
        <v>-3.5422878006241358</v>
      </c>
      <c r="BF222" s="86">
        <f t="shared" si="145"/>
        <v>7.490946411998749</v>
      </c>
      <c r="BH222" s="86">
        <f t="shared" si="152"/>
        <v>4.5422878006241358</v>
      </c>
      <c r="BI222" s="157">
        <f t="shared" si="153"/>
        <v>-7.490946411998749</v>
      </c>
      <c r="BJ222" s="88"/>
      <c r="BK222" s="88"/>
      <c r="BL222" s="88"/>
      <c r="BM222" s="88"/>
      <c r="BN222" s="42"/>
      <c r="BO222" s="42"/>
      <c r="BP222" s="42"/>
    </row>
    <row r="223" spans="1:68" s="86" customFormat="1">
      <c r="A223" s="86">
        <v>159</v>
      </c>
      <c r="B223" s="86">
        <f t="shared" si="103"/>
        <v>151356.12484362093</v>
      </c>
      <c r="C223" s="86" t="str">
        <f t="shared" si="104"/>
        <v>950998.579769078j</v>
      </c>
      <c r="D223" s="86">
        <f t="shared" si="105"/>
        <v>0.9770913234723223</v>
      </c>
      <c r="E223" s="86" t="str">
        <f t="shared" si="106"/>
        <v>-0.237749644942269j</v>
      </c>
      <c r="F223" s="86" t="str">
        <f t="shared" si="107"/>
        <v>0.977091323472322-0.237749644942269j</v>
      </c>
      <c r="G223" s="86">
        <f t="shared" si="108"/>
        <v>4.8509537051230678E-2</v>
      </c>
      <c r="H223" s="86">
        <f t="shared" si="109"/>
        <v>-13.675668718846325</v>
      </c>
      <c r="J223" s="86">
        <f t="shared" si="110"/>
        <v>4.8</v>
      </c>
      <c r="K223" s="86" t="str">
        <f t="shared" si="111"/>
        <v>1+38.8815769338588j</v>
      </c>
      <c r="L223" s="86">
        <f t="shared" si="112"/>
        <v>-146.90529777312719</v>
      </c>
      <c r="M223" s="86" t="str">
        <f t="shared" si="113"/>
        <v>5.43685888053982j</v>
      </c>
      <c r="N223" s="86" t="str">
        <f t="shared" si="114"/>
        <v>-146.905297773127+5.43685888053982j</v>
      </c>
      <c r="O223" s="86" t="str">
        <f t="shared" si="115"/>
        <v>0.00298408990162565-0.264560594119611j</v>
      </c>
      <c r="P223" s="86" t="str">
        <f t="shared" si="116"/>
        <v>0.0143236315278031-1.26989085177413j</v>
      </c>
      <c r="R223" s="86">
        <f t="shared" si="117"/>
        <v>11.52</v>
      </c>
      <c r="S223" s="86" t="str">
        <f t="shared" si="118"/>
        <v>1+0.0808348792803716j</v>
      </c>
      <c r="T223" s="86" t="str">
        <f t="shared" si="119"/>
        <v>-146.905297773127+5.43685888053982j</v>
      </c>
      <c r="U223" s="86" t="str">
        <f t="shared" si="120"/>
        <v>-0.00677745904012027-0.000801080488137929j</v>
      </c>
      <c r="V223" s="86" t="str">
        <f t="shared" si="121"/>
        <v>-0.0780763281421855-0.00922844722334894j</v>
      </c>
      <c r="X223" s="86" t="str">
        <f t="shared" si="122"/>
        <v>-0.177610241954272-0.767515447472653j</v>
      </c>
      <c r="Y223" s="86">
        <f t="shared" si="123"/>
        <v>-2.0717048213427049</v>
      </c>
      <c r="Z223" s="86">
        <f t="shared" si="124"/>
        <v>76.970567004047396</v>
      </c>
      <c r="AB223" s="86" t="str">
        <f t="shared" si="125"/>
        <v>-0.0650853018857832-0.00769293699845694j</v>
      </c>
      <c r="AC223" s="86">
        <f t="shared" si="126"/>
        <v>-23.670087425107752</v>
      </c>
      <c r="AD223" s="86">
        <f t="shared" si="127"/>
        <v>6.7409570060885358</v>
      </c>
      <c r="AF223" s="86" t="str">
        <f t="shared" si="128"/>
        <v>-0.0376330442384929-0.0444763318476155j</v>
      </c>
      <c r="AG223" s="86">
        <f t="shared" si="129"/>
        <v>-24.692382461943367</v>
      </c>
      <c r="AH223" s="86">
        <f t="shared" si="130"/>
        <v>49.764223522506995</v>
      </c>
      <c r="AJ223" s="86" t="str">
        <f t="shared" si="131"/>
        <v>15.0499691703676-0.0215403114564148j</v>
      </c>
      <c r="AK223" s="86" t="str">
        <f t="shared" si="132"/>
        <v>30.1-8.61614223256581E-10j</v>
      </c>
      <c r="AL223" s="86" t="str">
        <f t="shared" si="146"/>
        <v>10000-23367.2506930749j</v>
      </c>
      <c r="AM223" s="86" t="str">
        <f t="shared" si="147"/>
        <v>885.96603982119-7513.38718096609j</v>
      </c>
      <c r="AN223" s="86" t="str">
        <f t="shared" si="148"/>
        <v>10885.9660398212-7513.38718096609j</v>
      </c>
      <c r="AO223" s="86" t="str">
        <f t="shared" si="149"/>
        <v>30.0436821287111-0.0387628638386196j</v>
      </c>
      <c r="AP223" s="86" t="str">
        <f t="shared" si="150"/>
        <v>0.66666697014561+0.000318055895747125j</v>
      </c>
      <c r="AQ223" s="86" t="str">
        <f t="shared" si="133"/>
        <v>1+53.1341926488579j</v>
      </c>
      <c r="AR223" s="86">
        <f t="shared" si="134"/>
        <v>-5.0430541746240441E-5</v>
      </c>
      <c r="AS223" s="86" t="str">
        <f t="shared" si="135"/>
        <v>0.000280152008818149j</v>
      </c>
      <c r="AT223" s="86" t="str">
        <f t="shared" si="136"/>
        <v>-0.0000504305417462404+0.000280152008818149j</v>
      </c>
      <c r="AU223" s="86" t="str">
        <f t="shared" si="137"/>
        <v>18.3086702176789-3.65271754447799j</v>
      </c>
      <c r="AW223" s="86" t="str">
        <f t="shared" si="151"/>
        <v>7.40594551526037-7.45432820698116j</v>
      </c>
      <c r="AX223" s="86">
        <f t="shared" si="138"/>
        <v>20.430282262225141</v>
      </c>
      <c r="AY223" s="86">
        <f t="shared" si="139"/>
        <v>134.81345469850297</v>
      </c>
      <c r="AZ223" s="86" t="str">
        <f t="shared" si="140"/>
        <v>-0.53936387687251+0.428193729444175j</v>
      </c>
      <c r="BA223" s="86">
        <f t="shared" si="141"/>
        <v>-3.2398051628826128</v>
      </c>
      <c r="BB223" s="86">
        <f t="shared" si="142"/>
        <v>-38.44558829540847</v>
      </c>
      <c r="BD223" s="86" t="str">
        <f t="shared" si="143"/>
        <v>-0.610249450238396-0.0488602272005121j</v>
      </c>
      <c r="BE223" s="86">
        <f t="shared" si="144"/>
        <v>-4.2621001997182342</v>
      </c>
      <c r="BF223" s="86">
        <f t="shared" si="145"/>
        <v>4.5776782210099043</v>
      </c>
      <c r="BH223" s="86">
        <f t="shared" si="152"/>
        <v>5.2621001997182342</v>
      </c>
      <c r="BI223" s="157">
        <f t="shared" si="153"/>
        <v>-4.5776782210099043</v>
      </c>
      <c r="BJ223" s="88"/>
      <c r="BK223" s="88"/>
      <c r="BL223" s="88"/>
      <c r="BM223" s="88"/>
      <c r="BN223" s="42"/>
      <c r="BO223" s="42"/>
      <c r="BP223" s="42"/>
    </row>
    <row r="224" spans="1:68" s="86" customFormat="1">
      <c r="A224" s="86">
        <v>160</v>
      </c>
      <c r="B224" s="86">
        <f t="shared" si="103"/>
        <v>158489.31924611155</v>
      </c>
      <c r="C224" s="86" t="str">
        <f t="shared" si="104"/>
        <v>995817.762032063j</v>
      </c>
      <c r="D224" s="86">
        <f t="shared" si="105"/>
        <v>0.97488113568490409</v>
      </c>
      <c r="E224" s="86" t="str">
        <f t="shared" si="106"/>
        <v>-0.248954440508016j</v>
      </c>
      <c r="F224" s="86" t="str">
        <f t="shared" si="107"/>
        <v>0.974881135684904-0.248954440508016j</v>
      </c>
      <c r="G224" s="86">
        <f t="shared" si="108"/>
        <v>5.3399286085945658E-2</v>
      </c>
      <c r="H224" s="86">
        <f t="shared" si="109"/>
        <v>-14.325402494003503</v>
      </c>
      <c r="J224" s="86">
        <f t="shared" si="110"/>
        <v>4.8</v>
      </c>
      <c r="K224" s="86" t="str">
        <f t="shared" si="111"/>
        <v>1+40.7140092006809j</v>
      </c>
      <c r="L224" s="86">
        <f t="shared" si="112"/>
        <v>-161.1749341022994</v>
      </c>
      <c r="M224" s="86" t="str">
        <f t="shared" si="113"/>
        <v>5.6930901455373j</v>
      </c>
      <c r="N224" s="86" t="str">
        <f t="shared" si="114"/>
        <v>-161.174934102299+5.6930901455373j</v>
      </c>
      <c r="O224" s="86" t="str">
        <f t="shared" si="115"/>
        <v>0.00271488708574667-0.252511678260933j</v>
      </c>
      <c r="P224" s="86" t="str">
        <f t="shared" si="116"/>
        <v>0.013031458011584-1.21205605565248j</v>
      </c>
      <c r="R224" s="86">
        <f t="shared" si="117"/>
        <v>11.52</v>
      </c>
      <c r="S224" s="86" t="str">
        <f t="shared" si="118"/>
        <v>1+0.0846445097727254j</v>
      </c>
      <c r="T224" s="86" t="str">
        <f t="shared" si="119"/>
        <v>-161.174934102299+5.6930901455373j</v>
      </c>
      <c r="U224" s="86" t="str">
        <f t="shared" si="120"/>
        <v>-0.00617818001508014-0.000743399997036044j</v>
      </c>
      <c r="V224" s="86" t="str">
        <f t="shared" si="121"/>
        <v>-0.0711726337737232-0.00856396796585523j</v>
      </c>
      <c r="X224" s="86" t="str">
        <f t="shared" si="122"/>
        <v>-0.178302379804836-0.730904109124737j</v>
      </c>
      <c r="Y224" s="86">
        <f t="shared" si="123"/>
        <v>-2.4717393511640147</v>
      </c>
      <c r="Z224" s="86">
        <f t="shared" si="124"/>
        <v>76.290591109428902</v>
      </c>
      <c r="AB224" s="86" t="str">
        <f t="shared" si="125"/>
        <v>-0.0593303049130737-0.00713901964476095j</v>
      </c>
      <c r="AC224" s="86">
        <f t="shared" si="126"/>
        <v>-24.472039859867767</v>
      </c>
      <c r="AD224" s="86">
        <f t="shared" si="127"/>
        <v>6.861225361607751</v>
      </c>
      <c r="AF224" s="86" t="str">
        <f t="shared" si="128"/>
        <v>-0.0359958251561772-0.0407065997766939j</v>
      </c>
      <c r="AG224" s="86">
        <f t="shared" si="129"/>
        <v>-25.297767497017993</v>
      </c>
      <c r="AH224" s="86">
        <f t="shared" si="130"/>
        <v>48.51447702692542</v>
      </c>
      <c r="AJ224" s="86" t="str">
        <f t="shared" si="131"/>
        <v>15.0499661959869-0.0225554706021985j</v>
      </c>
      <c r="AK224" s="86" t="str">
        <f t="shared" si="132"/>
        <v>30.1-9.0222085057867E-10j</v>
      </c>
      <c r="AL224" s="86" t="str">
        <f t="shared" si="146"/>
        <v>10000-22315.5511675908j</v>
      </c>
      <c r="AM224" s="86" t="str">
        <f t="shared" si="147"/>
        <v>879.169643893186-7197.22052528865j</v>
      </c>
      <c r="AN224" s="86" t="str">
        <f t="shared" si="148"/>
        <v>10879.1696438932-7197.22052528865j</v>
      </c>
      <c r="AO224" s="86" t="str">
        <f t="shared" si="149"/>
        <v>30.0421358051061-0.0381750011277072j</v>
      </c>
      <c r="AP224" s="86" t="str">
        <f t="shared" si="150"/>
        <v>0.666666999424683+0.000333045379058909j</v>
      </c>
      <c r="AQ224" s="86" t="str">
        <f t="shared" si="133"/>
        <v>1+55.6383300002554j</v>
      </c>
      <c r="AR224" s="86">
        <f t="shared" si="134"/>
        <v>-5.530563726405572E-5</v>
      </c>
      <c r="AS224" s="86" t="str">
        <f t="shared" si="135"/>
        <v>0.000293355166227292j</v>
      </c>
      <c r="AT224" s="86" t="str">
        <f t="shared" si="136"/>
        <v>-0.0000553056372640557+0.000293355166227292j</v>
      </c>
      <c r="AU224" s="86" t="str">
        <f t="shared" si="137"/>
        <v>18.2531665696088-3.78211511829836j</v>
      </c>
      <c r="AW224" s="86" t="str">
        <f t="shared" si="151"/>
        <v>7.07311191645583-7.55496586503767j</v>
      </c>
      <c r="AX224" s="86">
        <f t="shared" si="138"/>
        <v>20.298155090856458</v>
      </c>
      <c r="AY224" s="86">
        <f t="shared" si="139"/>
        <v>133.11333936504491</v>
      </c>
      <c r="AZ224" s="86" t="str">
        <f t="shared" si="140"/>
        <v>-0.473584936413622+0.397743343459378j</v>
      </c>
      <c r="BA224" s="86">
        <f t="shared" si="141"/>
        <v>-4.1738847690113028</v>
      </c>
      <c r="BB224" s="86">
        <f t="shared" si="142"/>
        <v>-40.025435273347341</v>
      </c>
      <c r="BD224" s="86" t="str">
        <f t="shared" si="143"/>
        <v>-0.56213947164949-0.0159751056201494j</v>
      </c>
      <c r="BE224" s="86">
        <f t="shared" si="144"/>
        <v>-4.999612406161539</v>
      </c>
      <c r="BF224" s="86">
        <f t="shared" si="145"/>
        <v>1.6278163919704127</v>
      </c>
      <c r="BH224" s="86">
        <f t="shared" si="152"/>
        <v>5.999612406161539</v>
      </c>
      <c r="BI224" s="157">
        <f t="shared" si="153"/>
        <v>-1.6278163919704127</v>
      </c>
      <c r="BJ224" s="88"/>
      <c r="BK224" s="88"/>
      <c r="BL224" s="88"/>
      <c r="BM224" s="88"/>
      <c r="BN224" s="42"/>
      <c r="BO224" s="42"/>
      <c r="BP224" s="42"/>
    </row>
    <row r="225" spans="1:68" s="86" customFormat="1">
      <c r="A225" s="86">
        <v>161</v>
      </c>
      <c r="B225" s="86">
        <f t="shared" si="103"/>
        <v>165958.69074375625</v>
      </c>
      <c r="C225" s="86" t="str">
        <f t="shared" si="104"/>
        <v>1042749.20727993j</v>
      </c>
      <c r="D225" s="86">
        <f t="shared" si="105"/>
        <v>0.97245771296661832</v>
      </c>
      <c r="E225" s="86" t="str">
        <f t="shared" si="106"/>
        <v>-0.260687301819983j</v>
      </c>
      <c r="F225" s="86" t="str">
        <f t="shared" si="107"/>
        <v>0.972457712966618-0.260687301819983j</v>
      </c>
      <c r="G225" s="86">
        <f t="shared" si="108"/>
        <v>5.8802581305446591E-2</v>
      </c>
      <c r="H225" s="86">
        <f t="shared" si="109"/>
        <v>-15.006488829504148</v>
      </c>
      <c r="J225" s="86">
        <f t="shared" si="110"/>
        <v>4.8</v>
      </c>
      <c r="K225" s="86" t="str">
        <f t="shared" si="111"/>
        <v>1+42.6328013396399j</v>
      </c>
      <c r="L225" s="86">
        <f t="shared" si="112"/>
        <v>-176.82127920412873</v>
      </c>
      <c r="M225" s="86" t="str">
        <f t="shared" si="113"/>
        <v>5.96139721801936j</v>
      </c>
      <c r="N225" s="86" t="str">
        <f t="shared" si="114"/>
        <v>-176.821279204129+5.96139721801936j</v>
      </c>
      <c r="O225" s="86" t="str">
        <f t="shared" si="115"/>
        <v>0.00247049728278087-0.241023444213472j</v>
      </c>
      <c r="P225" s="86" t="str">
        <f t="shared" si="116"/>
        <v>0.0118583869573482-1.15691253222467j</v>
      </c>
      <c r="R225" s="86">
        <f t="shared" si="117"/>
        <v>11.52</v>
      </c>
      <c r="S225" s="86" t="str">
        <f t="shared" si="118"/>
        <v>1+0.0886336826187941j</v>
      </c>
      <c r="T225" s="86" t="str">
        <f t="shared" si="119"/>
        <v>-176.821279204129+5.96139721801936j</v>
      </c>
      <c r="U225" s="86" t="str">
        <f t="shared" si="120"/>
        <v>-0.0056321265096024-0.000691144337801042j</v>
      </c>
      <c r="V225" s="86" t="str">
        <f t="shared" si="121"/>
        <v>-0.0648820973906196-0.007961982771468j</v>
      </c>
      <c r="X225" s="86" t="str">
        <f t="shared" si="122"/>
        <v>-0.178930363195602-0.695918211158893j</v>
      </c>
      <c r="Y225" s="86">
        <f t="shared" si="123"/>
        <v>-2.8708253949224187</v>
      </c>
      <c r="Z225" s="86">
        <f t="shared" si="124"/>
        <v>75.580774003710857</v>
      </c>
      <c r="AB225" s="86" t="str">
        <f t="shared" si="125"/>
        <v>-0.0540864433066185-0.00663719804223741j</v>
      </c>
      <c r="AC225" s="86">
        <f t="shared" si="126"/>
        <v>-25.273319177749084</v>
      </c>
      <c r="AD225" s="86">
        <f t="shared" si="127"/>
        <v>6.9960529007537104</v>
      </c>
      <c r="AF225" s="86" t="str">
        <f t="shared" si="128"/>
        <v>-0.0343472153253905-0.0371954452105114j</v>
      </c>
      <c r="AG225" s="86">
        <f t="shared" si="129"/>
        <v>-25.912120252690286</v>
      </c>
      <c r="AH225" s="86">
        <f t="shared" si="130"/>
        <v>47.279834360358564</v>
      </c>
      <c r="AJ225" s="86" t="str">
        <f t="shared" si="131"/>
        <v>15.0499629346447-0.0236184720641381j</v>
      </c>
      <c r="AK225" s="86" t="str">
        <f t="shared" si="132"/>
        <v>30.1-9.4474120928769E-10j</v>
      </c>
      <c r="AL225" s="86" t="str">
        <f t="shared" si="146"/>
        <v>10000-21311.1859180312j</v>
      </c>
      <c r="AM225" s="86" t="str">
        <f t="shared" si="147"/>
        <v>871.836392232633-6895.95288359263j</v>
      </c>
      <c r="AN225" s="86" t="str">
        <f t="shared" si="148"/>
        <v>10871.8363922326-6895.95288359263j</v>
      </c>
      <c r="AO225" s="86" t="str">
        <f t="shared" si="149"/>
        <v>30.0406437229339-0.0375454493137009j</v>
      </c>
      <c r="AP225" s="86" t="str">
        <f t="shared" si="150"/>
        <v>0.666667031528541+0.000348741290621156j</v>
      </c>
      <c r="AQ225" s="86" t="str">
        <f t="shared" si="133"/>
        <v>1+58.2604837091442j</v>
      </c>
      <c r="AR225" s="86">
        <f t="shared" si="134"/>
        <v>-6.06510732034553E-5</v>
      </c>
      <c r="AS225" s="86" t="str">
        <f t="shared" si="135"/>
        <v>0.000307180569274814j</v>
      </c>
      <c r="AT225" s="86" t="str">
        <f t="shared" si="136"/>
        <v>-0.0000606510732034553+0.000307180569274814j</v>
      </c>
      <c r="AU225" s="86" t="str">
        <f t="shared" si="137"/>
        <v>18.1926954187636-3.91758666393703j</v>
      </c>
      <c r="AW225" s="86" t="str">
        <f t="shared" si="151"/>
        <v>6.72908942741213-7.64196764667675j</v>
      </c>
      <c r="AX225" s="86">
        <f t="shared" si="138"/>
        <v>20.156963039532677</v>
      </c>
      <c r="AY225" s="86">
        <f t="shared" si="139"/>
        <v>131.36534118575156</v>
      </c>
      <c r="AZ225" s="86" t="str">
        <f t="shared" si="140"/>
        <v>-0.414673766524257+0.368664550699335j</v>
      </c>
      <c r="BA225" s="86">
        <f t="shared" si="141"/>
        <v>-5.1163561382163989</v>
      </c>
      <c r="BB225" s="86">
        <f t="shared" si="142"/>
        <v>-41.638605913494757</v>
      </c>
      <c r="BD225" s="86" t="str">
        <f t="shared" si="143"/>
        <v>-0.515371872409599+0.0121888311561347j</v>
      </c>
      <c r="BE225" s="86">
        <f t="shared" si="144"/>
        <v>-5.7551572131576076</v>
      </c>
      <c r="BF225" s="86">
        <f t="shared" si="145"/>
        <v>-1.3548244538899041</v>
      </c>
      <c r="BH225" s="86">
        <f t="shared" si="152"/>
        <v>6.7551572131576076</v>
      </c>
      <c r="BI225" s="157">
        <f t="shared" si="153"/>
        <v>1.3548244538899041</v>
      </c>
      <c r="BJ225" s="88"/>
      <c r="BK225" s="88"/>
      <c r="BL225" s="88"/>
      <c r="BM225" s="88"/>
      <c r="BN225" s="42"/>
      <c r="BO225" s="42"/>
      <c r="BP225" s="42"/>
    </row>
    <row r="226" spans="1:68" s="86" customFormat="1">
      <c r="A226" s="86">
        <v>162</v>
      </c>
      <c r="B226" s="86">
        <f t="shared" si="103"/>
        <v>173780.08287493771</v>
      </c>
      <c r="C226" s="86" t="str">
        <f t="shared" si="104"/>
        <v>1091892.46340026j</v>
      </c>
      <c r="D226" s="86">
        <f t="shared" si="105"/>
        <v>0.96980048279597975</v>
      </c>
      <c r="E226" s="86" t="str">
        <f t="shared" si="106"/>
        <v>-0.272973115850065j</v>
      </c>
      <c r="F226" s="86" t="str">
        <f t="shared" si="107"/>
        <v>0.96980048279598-0.272973115850065j</v>
      </c>
      <c r="G226" s="86">
        <f t="shared" si="108"/>
        <v>6.4777224350696383E-2</v>
      </c>
      <c r="H226" s="86">
        <f t="shared" si="109"/>
        <v>-15.720502939107778</v>
      </c>
      <c r="J226" s="86">
        <f t="shared" si="110"/>
        <v>4.8</v>
      </c>
      <c r="K226" s="86" t="str">
        <f t="shared" si="111"/>
        <v>1+44.6420233661196j</v>
      </c>
      <c r="L226" s="86">
        <f t="shared" si="112"/>
        <v>-193.97715545761761</v>
      </c>
      <c r="M226" s="86" t="str">
        <f t="shared" si="113"/>
        <v>6.24234921325929j</v>
      </c>
      <c r="N226" s="86" t="str">
        <f t="shared" si="114"/>
        <v>-193.977155457618+6.24234921325929j</v>
      </c>
      <c r="O226" s="86" t="str">
        <f t="shared" si="115"/>
        <v>0.00224854539011511-0.230068262704901j</v>
      </c>
      <c r="P226" s="86" t="str">
        <f t="shared" si="116"/>
        <v>0.0107930178725525-1.10432766098352j</v>
      </c>
      <c r="R226" s="86">
        <f t="shared" si="117"/>
        <v>11.52</v>
      </c>
      <c r="S226" s="86" t="str">
        <f t="shared" si="118"/>
        <v>1+0.0928108593890221j</v>
      </c>
      <c r="T226" s="86" t="str">
        <f t="shared" si="119"/>
        <v>-193.977155457618+6.24234921325929j</v>
      </c>
      <c r="U226" s="86" t="str">
        <f t="shared" si="120"/>
        <v>-0.00513453153739367-0.000643696408462942j</v>
      </c>
      <c r="V226" s="86" t="str">
        <f t="shared" si="121"/>
        <v>-0.0591498033107751-0.00741538262549309j</v>
      </c>
      <c r="X226" s="86" t="str">
        <f t="shared" si="122"/>
        <v>-0.179500391430393-0.662473774469492j</v>
      </c>
      <c r="Y226" s="86">
        <f t="shared" si="123"/>
        <v>-3.2689437002073074</v>
      </c>
      <c r="Z226" s="86">
        <f t="shared" si="124"/>
        <v>74.839452865501713</v>
      </c>
      <c r="AB226" s="86" t="str">
        <f t="shared" si="125"/>
        <v>-0.0493079387385588-0.00618154603658977j</v>
      </c>
      <c r="AC226" s="86">
        <f t="shared" si="126"/>
        <v>-26.073937245775944</v>
      </c>
      <c r="AD226" s="86">
        <f t="shared" si="127"/>
        <v>7.1456710491384001</v>
      </c>
      <c r="AF226" s="86" t="str">
        <f t="shared" si="128"/>
        <v>-0.0326969903707353-0.0339335258304653j</v>
      </c>
      <c r="AG226" s="86">
        <f t="shared" si="129"/>
        <v>-26.535340934262237</v>
      </c>
      <c r="AH226" s="86">
        <f t="shared" si="130"/>
        <v>46.063178485338426</v>
      </c>
      <c r="AJ226" s="86" t="str">
        <f t="shared" si="131"/>
        <v>15.0499593586558-0.0247315704832857j</v>
      </c>
      <c r="AK226" s="86" t="str">
        <f t="shared" si="132"/>
        <v>30.1-9.89265490765269E-10j</v>
      </c>
      <c r="AL226" s="86" t="str">
        <f t="shared" si="146"/>
        <v>10000-20352.0245510442j</v>
      </c>
      <c r="AM226" s="86" t="str">
        <f t="shared" si="147"/>
        <v>863.934975616543-6608.90130200311j</v>
      </c>
      <c r="AN226" s="86" t="str">
        <f t="shared" si="148"/>
        <v>10863.9349756165-6608.90130200311j</v>
      </c>
      <c r="AO226" s="86" t="str">
        <f t="shared" si="149"/>
        <v>30.0392076122048-0.0368798982625524j</v>
      </c>
      <c r="AP226" s="86" t="str">
        <f t="shared" si="150"/>
        <v>0.666667066729714+0.000365176922729512j</v>
      </c>
      <c r="AQ226" s="86" t="str">
        <f t="shared" si="133"/>
        <v>1+61.0062157150993j</v>
      </c>
      <c r="AR226" s="86">
        <f t="shared" si="134"/>
        <v>-6.6512227159887556E-5</v>
      </c>
      <c r="AS226" s="86" t="str">
        <f t="shared" si="135"/>
        <v>0.000321657543494185j</v>
      </c>
      <c r="AT226" s="86" t="str">
        <f t="shared" si="136"/>
        <v>-0.0000665122271598876+0.000321657543494185j</v>
      </c>
      <c r="AU226" s="86" t="str">
        <f t="shared" si="137"/>
        <v>18.1268506752337-4.05915308442972j</v>
      </c>
      <c r="AW226" s="86" t="str">
        <f t="shared" si="151"/>
        <v>6.3749161890802-7.71402264980197j</v>
      </c>
      <c r="AX226" s="86">
        <f t="shared" si="138"/>
        <v>20.006323146003567</v>
      </c>
      <c r="AY226" s="86">
        <f t="shared" si="139"/>
        <v>129.57053848285315</v>
      </c>
      <c r="AZ226" s="86" t="str">
        <f t="shared" si="140"/>
        <v>-0.36201856305166+0.34095571834209j</v>
      </c>
      <c r="BA226" s="86">
        <f t="shared" si="141"/>
        <v>-6.0676140997723742</v>
      </c>
      <c r="BB226" s="86">
        <f t="shared" si="142"/>
        <v>-43.283790468008476</v>
      </c>
      <c r="BD226" s="86" t="str">
        <f t="shared" si="143"/>
        <v>-0.470204560092449+0.0359019411310048j</v>
      </c>
      <c r="BE226" s="86">
        <f t="shared" si="144"/>
        <v>-6.5290177882586784</v>
      </c>
      <c r="BF226" s="86">
        <f t="shared" si="145"/>
        <v>-4.3662830318084502</v>
      </c>
      <c r="BH226" s="86">
        <f t="shared" si="152"/>
        <v>7.5290177882586784</v>
      </c>
      <c r="BI226" s="157">
        <f t="shared" si="153"/>
        <v>4.3662830318084502</v>
      </c>
      <c r="BJ226" s="88"/>
      <c r="BK226" s="88"/>
      <c r="BL226" s="88"/>
      <c r="BM226" s="88"/>
      <c r="BN226" s="42"/>
      <c r="BO226" s="42"/>
      <c r="BP226" s="42"/>
    </row>
    <row r="227" spans="1:68" s="86" customFormat="1">
      <c r="A227" s="86">
        <v>163</v>
      </c>
      <c r="B227" s="86">
        <f t="shared" si="103"/>
        <v>181970.08586099852</v>
      </c>
      <c r="C227" s="86" t="str">
        <f t="shared" si="104"/>
        <v>1143351.76982803j</v>
      </c>
      <c r="D227" s="86">
        <f t="shared" si="105"/>
        <v>0.96688688785174104</v>
      </c>
      <c r="E227" s="86" t="str">
        <f t="shared" si="106"/>
        <v>-0.285837942457007j</v>
      </c>
      <c r="F227" s="86" t="str">
        <f t="shared" si="107"/>
        <v>0.966886887851741-0.285837942457007j</v>
      </c>
      <c r="G227" s="86">
        <f t="shared" si="108"/>
        <v>7.13881990649846E-2</v>
      </c>
      <c r="H227" s="86">
        <f t="shared" si="109"/>
        <v>-16.469105962757173</v>
      </c>
      <c r="J227" s="86">
        <f t="shared" si="110"/>
        <v>4.8</v>
      </c>
      <c r="K227" s="86" t="str">
        <f t="shared" si="111"/>
        <v>1+46.745937109419j</v>
      </c>
      <c r="L227" s="86">
        <f t="shared" si="112"/>
        <v>-212.78819970529625</v>
      </c>
      <c r="M227" s="86" t="str">
        <f t="shared" si="113"/>
        <v>6.53654206810685j</v>
      </c>
      <c r="N227" s="86" t="str">
        <f t="shared" si="114"/>
        <v>-212.788199705296+6.53654206810685j</v>
      </c>
      <c r="O227" s="86" t="str">
        <f t="shared" si="115"/>
        <v>0.00204689813914149-0.219620061349014j</v>
      </c>
      <c r="P227" s="86" t="str">
        <f t="shared" si="116"/>
        <v>0.00982511106787915-1.05417629447527j</v>
      </c>
      <c r="R227" s="86">
        <f t="shared" si="117"/>
        <v>11.52</v>
      </c>
      <c r="S227" s="86" t="str">
        <f t="shared" si="118"/>
        <v>1+0.0971849004353826j</v>
      </c>
      <c r="T227" s="86" t="str">
        <f t="shared" si="119"/>
        <v>-212.788199705296+6.53654206810685j</v>
      </c>
      <c r="U227" s="86" t="str">
        <f t="shared" si="120"/>
        <v>-0.00468106172719676-0.000600516652312411j</v>
      </c>
      <c r="V227" s="86" t="str">
        <f t="shared" si="121"/>
        <v>-0.0539258310973067-0.00691795183463897j</v>
      </c>
      <c r="X227" s="86" t="str">
        <f t="shared" si="122"/>
        <v>-0.180018023368658-0.630491366577862j</v>
      </c>
      <c r="Y227" s="86">
        <f t="shared" si="123"/>
        <v>-3.6660643933895787</v>
      </c>
      <c r="Z227" s="86">
        <f t="shared" si="124"/>
        <v>74.064885459026996</v>
      </c>
      <c r="AB227" s="86" t="str">
        <f t="shared" si="125"/>
        <v>-0.0449531769734134-0.00576688215625123j</v>
      </c>
      <c r="AC227" s="86">
        <f t="shared" si="126"/>
        <v>-26.873900355838778</v>
      </c>
      <c r="AD227" s="86">
        <f t="shared" si="127"/>
        <v>7.310341863323174</v>
      </c>
      <c r="AF227" s="86" t="str">
        <f t="shared" si="128"/>
        <v>-0.0310544369461474-0.0309109678835408j</v>
      </c>
      <c r="AG227" s="86">
        <f t="shared" si="129"/>
        <v>-27.167290848561834</v>
      </c>
      <c r="AH227" s="86">
        <f t="shared" si="130"/>
        <v>44.867342800193228</v>
      </c>
      <c r="AJ227" s="86" t="str">
        <f t="shared" si="131"/>
        <v>15.0499554376638-0.0258971267441562j</v>
      </c>
      <c r="AK227" s="86" t="str">
        <f t="shared" si="132"/>
        <v>30.1-1.03588813698189E-09j</v>
      </c>
      <c r="AL227" s="86" t="str">
        <f t="shared" si="146"/>
        <v>10000-19436.0325567735j</v>
      </c>
      <c r="AM227" s="86" t="str">
        <f t="shared" si="147"/>
        <v>855.434238290786-6335.40873323631j</v>
      </c>
      <c r="AN227" s="86" t="str">
        <f t="shared" si="148"/>
        <v>10855.4342382908-6335.40873323631j</v>
      </c>
      <c r="AO227" s="86" t="str">
        <f t="shared" si="149"/>
        <v>30.0378285166676-0.0361839631435561j</v>
      </c>
      <c r="AP227" s="86" t="str">
        <f t="shared" si="150"/>
        <v>0.666667105327024+0.000382387136602042j</v>
      </c>
      <c r="AQ227" s="86" t="str">
        <f t="shared" si="133"/>
        <v>1+63.8813500838317j</v>
      </c>
      <c r="AR227" s="86">
        <f t="shared" si="134"/>
        <v>-7.2938854677353005E-5</v>
      </c>
      <c r="AS227" s="86" t="str">
        <f t="shared" si="135"/>
        <v>0.000336816796488684j</v>
      </c>
      <c r="AT227" s="86" t="str">
        <f t="shared" si="136"/>
        <v>-0.000072938854677353+0.000336816796488684j</v>
      </c>
      <c r="AU227" s="86" t="str">
        <f t="shared" si="137"/>
        <v>18.055200540835-4.20681409950419j</v>
      </c>
      <c r="AW227" s="86" t="str">
        <f t="shared" si="151"/>
        <v>6.01180188010882-7.76990314871716j</v>
      </c>
      <c r="AX227" s="86">
        <f t="shared" si="138"/>
        <v>19.845865209099248</v>
      </c>
      <c r="AY227" s="86">
        <f t="shared" si="139"/>
        <v>127.73017120750707</v>
      </c>
      <c r="AZ227" s="86" t="str">
        <f t="shared" si="140"/>
        <v>-0.315057709669768+0.314612478321247j</v>
      </c>
      <c r="BA227" s="86">
        <f t="shared" si="141"/>
        <v>-7.0280351467395397</v>
      </c>
      <c r="BB227" s="86">
        <f t="shared" si="142"/>
        <v>-44.959486929169771</v>
      </c>
      <c r="BD227" s="86" t="str">
        <f t="shared" si="143"/>
        <v>-0.426868349106788+0.055459352571255j</v>
      </c>
      <c r="BE227" s="86">
        <f t="shared" si="144"/>
        <v>-7.3214256394625945</v>
      </c>
      <c r="BF227" s="86">
        <f t="shared" si="145"/>
        <v>-7.4024859922996882</v>
      </c>
      <c r="BH227" s="86">
        <f t="shared" si="152"/>
        <v>8.3214256394625945</v>
      </c>
      <c r="BI227" s="157">
        <f t="shared" si="153"/>
        <v>7.4024859922996882</v>
      </c>
      <c r="BJ227" s="88"/>
      <c r="BK227" s="88"/>
      <c r="BL227" s="88"/>
      <c r="BM227" s="88"/>
      <c r="BN227" s="42"/>
      <c r="BO227" s="42"/>
      <c r="BP227" s="42"/>
    </row>
    <row r="228" spans="1:68" s="86" customFormat="1">
      <c r="A228" s="86">
        <v>164</v>
      </c>
      <c r="B228" s="86">
        <f t="shared" si="103"/>
        <v>190546.07179632501</v>
      </c>
      <c r="C228" s="86" t="str">
        <f t="shared" si="104"/>
        <v>1197236.27865146j</v>
      </c>
      <c r="D228" s="86">
        <f t="shared" si="105"/>
        <v>0.96369219452298938</v>
      </c>
      <c r="E228" s="86" t="str">
        <f t="shared" si="106"/>
        <v>-0.299309069662865j</v>
      </c>
      <c r="F228" s="86" t="str">
        <f t="shared" si="107"/>
        <v>0.963692194522989-0.299309069662865j</v>
      </c>
      <c r="G228" s="86">
        <f t="shared" si="108"/>
        <v>7.8708668161730999E-2</v>
      </c>
      <c r="H228" s="86">
        <f t="shared" si="109"/>
        <v>-17.254050037028101</v>
      </c>
      <c r="J228" s="86">
        <f t="shared" si="110"/>
        <v>4.8</v>
      </c>
      <c r="K228" s="86" t="str">
        <f t="shared" si="111"/>
        <v>1+48.9490052526649j</v>
      </c>
      <c r="L228" s="86">
        <f t="shared" si="112"/>
        <v>-233.41409956956593</v>
      </c>
      <c r="M228" s="86" t="str">
        <f t="shared" si="113"/>
        <v>6.8445998050504j</v>
      </c>
      <c r="N228" s="86" t="str">
        <f t="shared" si="114"/>
        <v>-233.414099569566+6.8445998050504j</v>
      </c>
      <c r="O228" s="86" t="str">
        <f t="shared" si="115"/>
        <v>0.00186363714877861-0.209654213230657j</v>
      </c>
      <c r="P228" s="86" t="str">
        <f t="shared" si="116"/>
        <v>0.00894545831413733-1.00634022350715j</v>
      </c>
      <c r="R228" s="86">
        <f t="shared" si="117"/>
        <v>11.52</v>
      </c>
      <c r="S228" s="86" t="str">
        <f t="shared" si="118"/>
        <v>1+0.101765083685374j</v>
      </c>
      <c r="T228" s="86" t="str">
        <f t="shared" si="119"/>
        <v>-233.414099569566+6.8445998050504j</v>
      </c>
      <c r="U228" s="86" t="str">
        <f t="shared" si="120"/>
        <v>-0.00426777676400255-0.000561132801890696j</v>
      </c>
      <c r="V228" s="86" t="str">
        <f t="shared" si="121"/>
        <v>-0.0491647883213094-0.00646424987778082j</v>
      </c>
      <c r="X228" s="86" t="str">
        <f t="shared" si="122"/>
        <v>-0.180488250170286-0.599895764982672j</v>
      </c>
      <c r="Y228" s="86">
        <f t="shared" si="123"/>
        <v>-4.0621462935049628</v>
      </c>
      <c r="Z228" s="86">
        <f t="shared" si="124"/>
        <v>73.255244430510444</v>
      </c>
      <c r="AB228" s="86" t="str">
        <f t="shared" si="125"/>
        <v>-0.0409843183738825-0.00538867112185797j</v>
      </c>
      <c r="AC228" s="86">
        <f t="shared" si="126"/>
        <v>-27.673209313116274</v>
      </c>
      <c r="AD228" s="86">
        <f t="shared" si="127"/>
        <v>7.4903575384450107</v>
      </c>
      <c r="AF228" s="86" t="str">
        <f t="shared" si="128"/>
        <v>-0.0294282518245787-0.0281174184104796j</v>
      </c>
      <c r="AG228" s="86">
        <f t="shared" si="129"/>
        <v>-27.807794006273173</v>
      </c>
      <c r="AH228" s="86">
        <f t="shared" si="130"/>
        <v>43.69508451762681</v>
      </c>
      <c r="AJ228" s="86" t="str">
        <f t="shared" si="131"/>
        <v>15.049951138384-0.0271176129796818j</v>
      </c>
      <c r="AK228" s="86" t="str">
        <f t="shared" si="132"/>
        <v>30.1-1.08470804082101E-09j</v>
      </c>
      <c r="AL228" s="86" t="str">
        <f t="shared" si="146"/>
        <v>10000-18561.2669933898j</v>
      </c>
      <c r="AM228" s="86" t="str">
        <f t="shared" si="147"/>
        <v>846.303587729868-6074.84245387435j</v>
      </c>
      <c r="AN228" s="86" t="str">
        <f t="shared" si="148"/>
        <v>10846.3035877299-6074.84245387435j</v>
      </c>
      <c r="AO228" s="86" t="str">
        <f t="shared" si="149"/>
        <v>30.036506836772-0.0354630988202652j</v>
      </c>
      <c r="AP228" s="86" t="str">
        <f t="shared" si="150"/>
        <v>0.666667147648122+0.000400408436306192j</v>
      </c>
      <c r="AQ228" s="86" t="str">
        <f t="shared" si="133"/>
        <v>1+66.8919853608144j</v>
      </c>
      <c r="AR228" s="86">
        <f t="shared" si="134"/>
        <v>-7.998551162498954E-5</v>
      </c>
      <c r="AS228" s="86" t="str">
        <f t="shared" si="135"/>
        <v>0.000352690483066353j</v>
      </c>
      <c r="AT228" s="86" t="str">
        <f t="shared" si="136"/>
        <v>-0.0000799855116249895+0.000352690483066353j</v>
      </c>
      <c r="AU228" s="86" t="str">
        <f t="shared" si="137"/>
        <v>17.977287344838-4.36054444263804j</v>
      </c>
      <c r="AW228" s="86" t="str">
        <f t="shared" si="151"/>
        <v>5.64112019291148-7.80849070340978j</v>
      </c>
      <c r="AX228" s="86">
        <f t="shared" si="138"/>
        <v>19.675234720343973</v>
      </c>
      <c r="AY228" s="86">
        <f t="shared" si="139"/>
        <v>125.845631527687</v>
      </c>
      <c r="AZ228" s="86" t="str">
        <f t="shared" si="140"/>
        <v>-0.273274854330382+0.289627527529576j</v>
      </c>
      <c r="BA228" s="86">
        <f t="shared" si="141"/>
        <v>-7.9979745927723105</v>
      </c>
      <c r="BB228" s="86">
        <f t="shared" si="142"/>
        <v>-46.664010933867985</v>
      </c>
      <c r="BD228" s="86" t="str">
        <f t="shared" si="143"/>
        <v>-0.385562905871828+0.0711764940219275j</v>
      </c>
      <c r="BE228" s="86">
        <f t="shared" si="144"/>
        <v>-8.1325592859292026</v>
      </c>
      <c r="BF228" s="86">
        <f t="shared" si="145"/>
        <v>-10.459283954686242</v>
      </c>
      <c r="BH228" s="86">
        <f t="shared" si="152"/>
        <v>9.1325592859292026</v>
      </c>
      <c r="BI228" s="157">
        <f t="shared" si="153"/>
        <v>10.459283954686242</v>
      </c>
      <c r="BJ228" s="88"/>
      <c r="BK228" s="88"/>
      <c r="BL228" s="88"/>
      <c r="BM228" s="88"/>
      <c r="BN228" s="42"/>
      <c r="BO228" s="42"/>
      <c r="BP228" s="42"/>
    </row>
    <row r="229" spans="1:68" s="86" customFormat="1">
      <c r="A229" s="86">
        <v>165</v>
      </c>
      <c r="B229" s="86">
        <f t="shared" si="103"/>
        <v>199526.23149688821</v>
      </c>
      <c r="C229" s="86" t="str">
        <f t="shared" si="104"/>
        <v>1253660.28613816j</v>
      </c>
      <c r="D229" s="86">
        <f t="shared" si="105"/>
        <v>0.96018928294465034</v>
      </c>
      <c r="E229" s="86" t="str">
        <f t="shared" si="106"/>
        <v>-0.31341507153454j</v>
      </c>
      <c r="F229" s="86" t="str">
        <f t="shared" si="107"/>
        <v>0.96018928294465-0.31341507153454j</v>
      </c>
      <c r="G229" s="86">
        <f t="shared" si="108"/>
        <v>8.6821120564013976E-2</v>
      </c>
      <c r="H229" s="86">
        <f t="shared" si="109"/>
        <v>-18.077183575156401</v>
      </c>
      <c r="J229" s="86">
        <f t="shared" si="110"/>
        <v>4.8</v>
      </c>
      <c r="K229" s="86" t="str">
        <f t="shared" si="111"/>
        <v>1+51.2559007987587j</v>
      </c>
      <c r="L229" s="86">
        <f t="shared" si="112"/>
        <v>-256.02994904656322</v>
      </c>
      <c r="M229" s="86" t="str">
        <f t="shared" si="113"/>
        <v>7.16717585585186j</v>
      </c>
      <c r="N229" s="86" t="str">
        <f t="shared" si="114"/>
        <v>-256.029949046563+7.16717585585186j</v>
      </c>
      <c r="O229" s="86" t="str">
        <f t="shared" si="115"/>
        <v>0.00169703533797042-0.200147436028034j</v>
      </c>
      <c r="P229" s="86" t="str">
        <f t="shared" si="116"/>
        <v>0.00814576962225802-0.960707692934563j</v>
      </c>
      <c r="R229" s="86">
        <f t="shared" si="117"/>
        <v>11.52</v>
      </c>
      <c r="S229" s="86" t="str">
        <f t="shared" si="118"/>
        <v>1+0.106561124321744j</v>
      </c>
      <c r="T229" s="86" t="str">
        <f t="shared" si="119"/>
        <v>-256.029949046563+7.16717585585186j</v>
      </c>
      <c r="U229" s="86" t="str">
        <f t="shared" si="120"/>
        <v>-0.00389109280876452-0.00052513102960915j</v>
      </c>
      <c r="V229" s="86" t="str">
        <f t="shared" si="121"/>
        <v>-0.0448253891569673-0.00604950946109741j</v>
      </c>
      <c r="X229" s="86" t="str">
        <f t="shared" si="122"/>
        <v>-0.180915558780475-0.570615651840332j</v>
      </c>
      <c r="Y229" s="86">
        <f t="shared" si="123"/>
        <v>-4.4571360467922592</v>
      </c>
      <c r="Z229" s="86">
        <f t="shared" si="124"/>
        <v>72.408611469154337</v>
      </c>
      <c r="AB229" s="86" t="str">
        <f t="shared" si="125"/>
        <v>-0.0373669466130104-0.00504293886386913j</v>
      </c>
      <c r="AC229" s="86">
        <f t="shared" si="126"/>
        <v>-28.47185948019559</v>
      </c>
      <c r="AD229" s="86">
        <f t="shared" si="127"/>
        <v>7.6860399562235671</v>
      </c>
      <c r="AF229" s="86" t="str">
        <f t="shared" si="128"/>
        <v>-0.0278264543665867-0.0255421153275907j</v>
      </c>
      <c r="AG229" s="86">
        <f t="shared" si="129"/>
        <v>-28.456639239496578</v>
      </c>
      <c r="AH229" s="86">
        <f t="shared" si="130"/>
        <v>42.549060354813832</v>
      </c>
      <c r="AJ229" s="86" t="str">
        <f t="shared" si="131"/>
        <v>15.0499464243202-0.0283956178117192j</v>
      </c>
      <c r="AK229" s="86" t="str">
        <f t="shared" si="132"/>
        <v>30.1-1.13582875584403E-09j</v>
      </c>
      <c r="AL229" s="86" t="str">
        <f t="shared" si="146"/>
        <v>10000-17725.8723658518j</v>
      </c>
      <c r="AM229" s="86" t="str">
        <f t="shared" si="147"/>
        <v>836.513467376074-5826.59257615475j</v>
      </c>
      <c r="AN229" s="86" t="str">
        <f t="shared" si="148"/>
        <v>10836.5134673761-5826.59257615475j</v>
      </c>
      <c r="AO229" s="86" t="str">
        <f t="shared" si="149"/>
        <v>30.0352423826736-0.0347225256304431j</v>
      </c>
      <c r="AP229" s="86" t="str">
        <f t="shared" si="150"/>
        <v>0.666667194052272+0.000419279046167675j</v>
      </c>
      <c r="AQ229" s="86" t="str">
        <f t="shared" si="133"/>
        <v>1+70.0445075071113j</v>
      </c>
      <c r="AR229" s="86">
        <f t="shared" si="134"/>
        <v>-8.7712017323771422E-5</v>
      </c>
      <c r="AS229" s="86" t="str">
        <f t="shared" si="135"/>
        <v>0.000369312273444639j</v>
      </c>
      <c r="AT229" s="86" t="str">
        <f t="shared" si="136"/>
        <v>-0.0000877120173237714+0.000369312273444639j</v>
      </c>
      <c r="AU229" s="86" t="str">
        <f t="shared" si="137"/>
        <v>17.8926277185835-4.52028971810067j</v>
      </c>
      <c r="AW229" s="86" t="str">
        <f t="shared" si="151"/>
        <v>5.26439671188212-7.82880156715098j</v>
      </c>
      <c r="AX229" s="86">
        <f t="shared" si="138"/>
        <v>19.49409557839375</v>
      </c>
      <c r="AY229" s="86">
        <f t="shared" si="139"/>
        <v>123.91845137255851</v>
      </c>
      <c r="AZ229" s="86" t="str">
        <f t="shared" si="140"/>
        <v>-0.236194598563112+0.265990379430408j</v>
      </c>
      <c r="BA229" s="86">
        <f t="shared" si="141"/>
        <v>-8.9777639018018327</v>
      </c>
      <c r="BB229" s="86">
        <f t="shared" si="142"/>
        <v>-48.395508671217954</v>
      </c>
      <c r="BD229" s="86" t="str">
        <f t="shared" si="143"/>
        <v>-0.34645364737579+0.0833839616083074j</v>
      </c>
      <c r="BE229" s="86">
        <f t="shared" si="144"/>
        <v>-8.9625436611028224</v>
      </c>
      <c r="BF229" s="86">
        <f t="shared" si="145"/>
        <v>-13.532488272627745</v>
      </c>
      <c r="BH229" s="86">
        <f t="shared" si="152"/>
        <v>9.9625436611028224</v>
      </c>
      <c r="BI229" s="157">
        <f t="shared" si="153"/>
        <v>13.532488272627745</v>
      </c>
      <c r="BJ229" s="88"/>
      <c r="BK229" s="88"/>
      <c r="BL229" s="88"/>
      <c r="BM229" s="88"/>
      <c r="BN229" s="42"/>
      <c r="BO229" s="42"/>
      <c r="BP229" s="42"/>
    </row>
    <row r="230" spans="1:68" s="86" customFormat="1">
      <c r="A230" s="86">
        <v>166</v>
      </c>
      <c r="B230" s="86">
        <f t="shared" si="103"/>
        <v>208929.61308540421</v>
      </c>
      <c r="C230" s="86" t="str">
        <f t="shared" si="104"/>
        <v>1312743.47517293j</v>
      </c>
      <c r="D230" s="86">
        <f t="shared" si="105"/>
        <v>0.95634841677598315</v>
      </c>
      <c r="E230" s="86" t="str">
        <f t="shared" si="106"/>
        <v>-0.328185868793232j</v>
      </c>
      <c r="F230" s="86" t="str">
        <f t="shared" si="107"/>
        <v>0.956348416775983-0.328185868793232j</v>
      </c>
      <c r="G230" s="86">
        <f t="shared" si="108"/>
        <v>9.5818692686782406E-2</v>
      </c>
      <c r="H230" s="86">
        <f t="shared" si="109"/>
        <v>-18.940456717045411</v>
      </c>
      <c r="J230" s="86">
        <f t="shared" si="110"/>
        <v>4.8</v>
      </c>
      <c r="K230" s="86" t="str">
        <f t="shared" si="111"/>
        <v>1+53.6715169824452j</v>
      </c>
      <c r="L230" s="86">
        <f t="shared" si="112"/>
        <v>-280.82773488535224</v>
      </c>
      <c r="M230" s="86" t="str">
        <f t="shared" si="113"/>
        <v>7.50495444756364j</v>
      </c>
      <c r="N230" s="86" t="str">
        <f t="shared" si="114"/>
        <v>-280.827734885352+7.50495444756364j</v>
      </c>
      <c r="O230" s="86" t="str">
        <f t="shared" si="115"/>
        <v>0.0015455362269423-0.191077700446402j</v>
      </c>
      <c r="P230" s="86" t="str">
        <f t="shared" si="116"/>
        <v>0.00741857388932304-0.917172962142729j</v>
      </c>
      <c r="R230" s="86">
        <f t="shared" si="117"/>
        <v>11.52</v>
      </c>
      <c r="S230" s="86" t="str">
        <f t="shared" si="118"/>
        <v>1+0.111583195389699j</v>
      </c>
      <c r="T230" s="86" t="str">
        <f t="shared" si="119"/>
        <v>-280.827734885352+7.50495444756364j</v>
      </c>
      <c r="U230" s="86" t="str">
        <f t="shared" si="120"/>
        <v>-0.00354774947638083-0.000492148304574435j</v>
      </c>
      <c r="V230" s="86" t="str">
        <f t="shared" si="121"/>
        <v>-0.0408700739679072-0.00566954846869749j</v>
      </c>
      <c r="X230" s="86" t="str">
        <f t="shared" si="122"/>
        <v>-0.181303987475247-0.542583336291504j</v>
      </c>
      <c r="Y230" s="86">
        <f t="shared" si="123"/>
        <v>-4.8509670613734741</v>
      </c>
      <c r="Z230" s="86">
        <f t="shared" si="124"/>
        <v>71.522971362705832</v>
      </c>
      <c r="AB230" s="86" t="str">
        <f t="shared" si="125"/>
        <v>-0.0340697515571084-0.00472619912362245j</v>
      </c>
      <c r="AC230" s="86">
        <f t="shared" si="126"/>
        <v>-29.269840778481793</v>
      </c>
      <c r="AD230" s="86">
        <f t="shared" si="127"/>
        <v>7.8977402528503831</v>
      </c>
      <c r="AF230" s="86" t="str">
        <f t="shared" si="128"/>
        <v>-0.0262563153020288-0.0231739717656745j</v>
      </c>
      <c r="AG230" s="86">
        <f t="shared" si="129"/>
        <v>-29.113582755092239</v>
      </c>
      <c r="AH230" s="86">
        <f t="shared" si="130"/>
        <v>41.431805030407929</v>
      </c>
      <c r="AJ230" s="86" t="str">
        <f t="shared" si="131"/>
        <v>15.0499412554554-0.0297338518381766j</v>
      </c>
      <c r="AK230" s="86" t="str">
        <f t="shared" si="132"/>
        <v>30.1-1.18935871594143E-09j</v>
      </c>
      <c r="AL230" s="86" t="str">
        <f t="shared" si="146"/>
        <v>10000-16928.0766901507j</v>
      </c>
      <c r="AM230" s="86" t="str">
        <f t="shared" si="147"/>
        <v>826.035892639074-5590.07066435315j</v>
      </c>
      <c r="AN230" s="86" t="str">
        <f t="shared" si="148"/>
        <v>10826.0358926391-5590.07066435315j</v>
      </c>
      <c r="AO230" s="86" t="str">
        <f t="shared" si="149"/>
        <v>30.0340344347038-0.0339671673150325j</v>
      </c>
      <c r="AP230" s="86" t="str">
        <f t="shared" si="150"/>
        <v>0.666667244933396+0.000439038991825214j</v>
      </c>
      <c r="AQ230" s="86" t="str">
        <f t="shared" si="133"/>
        <v>1+73.3456034448619j</v>
      </c>
      <c r="AR230" s="86">
        <f t="shared" si="134"/>
        <v>-9.6183962354863642E-5</v>
      </c>
      <c r="AS230" s="86" t="str">
        <f t="shared" si="135"/>
        <v>0.000386717424669463j</v>
      </c>
      <c r="AT230" s="86" t="str">
        <f t="shared" si="136"/>
        <v>-0.0000961839623548636+0.000386717424669463j</v>
      </c>
      <c r="AU230" s="86" t="str">
        <f t="shared" si="137"/>
        <v>17.8007131828727-4.68596192224863j</v>
      </c>
      <c r="AW230" s="86" t="str">
        <f t="shared" si="151"/>
        <v>4.88329225874719-7.83001046186702j</v>
      </c>
      <c r="AX230" s="86">
        <f t="shared" si="138"/>
        <v>19.302132495966106</v>
      </c>
      <c r="AY230" s="86">
        <f t="shared" si="139"/>
        <v>121.95028716536153</v>
      </c>
      <c r="AZ230" s="86" t="str">
        <f t="shared" si="140"/>
        <v>-0.203378742619098+0.243687099531685j</v>
      </c>
      <c r="BA230" s="86">
        <f t="shared" si="141"/>
        <v>-9.9677082825157051</v>
      </c>
      <c r="BB230" s="86">
        <f t="shared" si="142"/>
        <v>-50.151972581787987</v>
      </c>
      <c r="BD230" s="86" t="str">
        <f t="shared" si="143"/>
        <v>-0.309669702625864+0.0924219465772199j</v>
      </c>
      <c r="BE230" s="86">
        <f t="shared" si="144"/>
        <v>-9.8114502591261612</v>
      </c>
      <c r="BF230" s="86">
        <f t="shared" si="145"/>
        <v>-16.617907804230498</v>
      </c>
      <c r="BH230" s="86">
        <f t="shared" si="152"/>
        <v>10.811450259126161</v>
      </c>
      <c r="BI230" s="157">
        <f t="shared" si="153"/>
        <v>16.617907804230498</v>
      </c>
      <c r="BJ230" s="88"/>
      <c r="BK230" s="88"/>
      <c r="BL230" s="88"/>
      <c r="BM230" s="88"/>
      <c r="BN230" s="42"/>
      <c r="BO230" s="42"/>
      <c r="BP230" s="42"/>
    </row>
    <row r="231" spans="1:68" s="86" customFormat="1">
      <c r="A231" s="86">
        <v>167</v>
      </c>
      <c r="B231" s="86">
        <f t="shared" si="103"/>
        <v>218776.16239495529</v>
      </c>
      <c r="C231" s="86" t="str">
        <f t="shared" si="104"/>
        <v>1374611.16912112j</v>
      </c>
      <c r="D231" s="86">
        <f t="shared" si="105"/>
        <v>0.95213699076773606</v>
      </c>
      <c r="E231" s="86" t="str">
        <f t="shared" si="106"/>
        <v>-0.34365279228028j</v>
      </c>
      <c r="F231" s="86" t="str">
        <f t="shared" si="107"/>
        <v>0.952136990767736-0.34365279228028j</v>
      </c>
      <c r="G231" s="86">
        <f t="shared" si="108"/>
        <v>0.10580669018299685</v>
      </c>
      <c r="H231" s="86">
        <f t="shared" si="109"/>
        <v>-19.845926889557937</v>
      </c>
      <c r="J231" s="86">
        <f t="shared" si="110"/>
        <v>4.8</v>
      </c>
      <c r="K231" s="86" t="str">
        <f t="shared" si="111"/>
        <v>1+56.200977649517j</v>
      </c>
      <c r="L231" s="86">
        <f t="shared" si="112"/>
        <v>-308.01796637020954</v>
      </c>
      <c r="M231" s="86" t="str">
        <f t="shared" si="113"/>
        <v>7.85865205386544j</v>
      </c>
      <c r="N231" s="86" t="str">
        <f t="shared" si="114"/>
        <v>-308.01796637021+7.85865205386544j</v>
      </c>
      <c r="O231" s="86" t="str">
        <f t="shared" si="115"/>
        <v>0.00140773572983939-0.182424146897643j</v>
      </c>
      <c r="P231" s="86" t="str">
        <f t="shared" si="116"/>
        <v>0.00675713150322907-0.875635905108686j</v>
      </c>
      <c r="R231" s="86">
        <f t="shared" si="117"/>
        <v>11.52</v>
      </c>
      <c r="S231" s="86" t="str">
        <f t="shared" si="118"/>
        <v>1+0.116841949375295j</v>
      </c>
      <c r="T231" s="86" t="str">
        <f t="shared" si="119"/>
        <v>-308.01796637021+7.85865205386544j</v>
      </c>
      <c r="U231" s="86" t="str">
        <f t="shared" si="120"/>
        <v>-0.00323478000079227-0.000461865785131952j</v>
      </c>
      <c r="V231" s="86" t="str">
        <f t="shared" si="121"/>
        <v>-0.0372646656091269-0.00532069384472009j</v>
      </c>
      <c r="X231" s="86" t="str">
        <f t="shared" si="122"/>
        <v>-0.181657174580915-0.515734501231552j</v>
      </c>
      <c r="Y231" s="86">
        <f t="shared" si="123"/>
        <v>-5.2435582180162852</v>
      </c>
      <c r="Z231" s="86">
        <f t="shared" si="124"/>
        <v>70.596205999020583</v>
      </c>
      <c r="AB231" s="86" t="str">
        <f t="shared" si="125"/>
        <v>-0.0310642427551908-0.00443539000060028j</v>
      </c>
      <c r="AC231" s="86">
        <f t="shared" si="126"/>
        <v>-30.067137648212178</v>
      </c>
      <c r="AD231" s="86">
        <f t="shared" si="127"/>
        <v>8.1258383860763388</v>
      </c>
      <c r="AF231" s="86" t="str">
        <f t="shared" si="128"/>
        <v>-0.0247243037956062-0.0210016706361703j</v>
      </c>
      <c r="AG231" s="86">
        <f t="shared" si="129"/>
        <v>-29.778351032963783</v>
      </c>
      <c r="AH231" s="86">
        <f t="shared" si="130"/>
        <v>40.345712938947372</v>
      </c>
      <c r="AJ231" s="86" t="str">
        <f t="shared" si="131"/>
        <v>15.049935587912-0.0311351533783142j</v>
      </c>
      <c r="AK231" s="86" t="str">
        <f t="shared" si="132"/>
        <v>30.1-1.24541146533543E-09j</v>
      </c>
      <c r="AL231" s="86" t="str">
        <f t="shared" si="146"/>
        <v>10000-16166.1877346962j</v>
      </c>
      <c r="AM231" s="86" t="str">
        <f t="shared" si="147"/>
        <v>814.845048148208-5364.70846727081j</v>
      </c>
      <c r="AN231" s="86" t="str">
        <f t="shared" si="148"/>
        <v>10814.8450481482-5364.70846727081j</v>
      </c>
      <c r="AO231" s="86" t="str">
        <f t="shared" si="149"/>
        <v>30.0328818088343-0.0332016013255161j</v>
      </c>
      <c r="AP231" s="86" t="str">
        <f t="shared" si="150"/>
        <v>0.666667300723421+0.000459730185102441j</v>
      </c>
      <c r="AQ231" s="86" t="str">
        <f t="shared" si="133"/>
        <v>1+76.8022752411352j</v>
      </c>
      <c r="AR231" s="86">
        <f t="shared" si="134"/>
        <v>-1.054732653603788E-4</v>
      </c>
      <c r="AS231" s="86" t="str">
        <f t="shared" si="135"/>
        <v>0.000404942855400117j</v>
      </c>
      <c r="AT231" s="86" t="str">
        <f t="shared" si="136"/>
        <v>-0.000105473265360379+0.000404942855400117j</v>
      </c>
      <c r="AU231" s="86" t="str">
        <f t="shared" si="137"/>
        <v>17.7010112300093-4.85743464387407j</v>
      </c>
      <c r="AW231" s="86" t="str">
        <f t="shared" si="151"/>
        <v>4.49958198596449-7.81147179592244j</v>
      </c>
      <c r="AX231" s="86">
        <f t="shared" si="138"/>
        <v>19.099053014881228</v>
      </c>
      <c r="AY231" s="86">
        <f t="shared" si="139"/>
        <v>119.94290211007491</v>
      </c>
      <c r="AZ231" s="86" t="str">
        <f t="shared" si="140"/>
        <v>-0.17442303100249+0.222700055196433j</v>
      </c>
      <c r="BA231" s="86">
        <f t="shared" si="141"/>
        <v>-10.968084633330953</v>
      </c>
      <c r="BB231" s="86">
        <f t="shared" si="142"/>
        <v>-51.931259503848764</v>
      </c>
      <c r="BD231" s="86" t="str">
        <f t="shared" si="143"/>
        <v>-0.27530298981592+0.098634462903525j</v>
      </c>
      <c r="BE231" s="86">
        <f t="shared" si="144"/>
        <v>-10.679298018082552</v>
      </c>
      <c r="BF231" s="86">
        <f t="shared" si="145"/>
        <v>-19.711384950977788</v>
      </c>
      <c r="BH231" s="86">
        <f t="shared" si="152"/>
        <v>11.679298018082552</v>
      </c>
      <c r="BI231" s="157">
        <f t="shared" si="153"/>
        <v>19.711384950977788</v>
      </c>
      <c r="BJ231" s="88"/>
      <c r="BK231" s="88"/>
      <c r="BL231" s="88"/>
      <c r="BM231" s="88"/>
      <c r="BN231" s="42"/>
      <c r="BO231" s="42"/>
      <c r="BP231" s="42"/>
    </row>
    <row r="232" spans="1:68" s="86" customFormat="1">
      <c r="A232" s="86">
        <v>168</v>
      </c>
      <c r="B232" s="86">
        <f t="shared" si="103"/>
        <v>229086.7652767775</v>
      </c>
      <c r="C232" s="86" t="str">
        <f t="shared" si="104"/>
        <v>1439394.59765635j</v>
      </c>
      <c r="D232" s="86">
        <f t="shared" si="105"/>
        <v>0.94751925397502235</v>
      </c>
      <c r="E232" s="86" t="str">
        <f t="shared" si="106"/>
        <v>-0.359848649414087j</v>
      </c>
      <c r="F232" s="86" t="str">
        <f t="shared" si="107"/>
        <v>0.947519253975022-0.359848649414087j</v>
      </c>
      <c r="G232" s="86">
        <f t="shared" si="108"/>
        <v>0.1169043401910015</v>
      </c>
      <c r="H232" s="86">
        <f t="shared" si="109"/>
        <v>-20.795764391231167</v>
      </c>
      <c r="J232" s="86">
        <f t="shared" si="110"/>
        <v>4.8</v>
      </c>
      <c r="K232" s="86" t="str">
        <f t="shared" si="111"/>
        <v>1+58.8496481251799j</v>
      </c>
      <c r="L232" s="86">
        <f t="shared" si="112"/>
        <v>-337.83146234144488</v>
      </c>
      <c r="M232" s="86" t="str">
        <f t="shared" si="113"/>
        <v>8.22901891480135j</v>
      </c>
      <c r="N232" s="86" t="str">
        <f t="shared" si="114"/>
        <v>-337.831462341445+8.22901891480135j</v>
      </c>
      <c r="O232" s="86" t="str">
        <f t="shared" si="115"/>
        <v>0.00128236610198771-0.174167009497779j</v>
      </c>
      <c r="P232" s="86" t="str">
        <f t="shared" si="116"/>
        <v>0.00615535728954101-0.836001645589339j</v>
      </c>
      <c r="R232" s="86">
        <f t="shared" si="117"/>
        <v>11.52</v>
      </c>
      <c r="S232" s="86" t="str">
        <f t="shared" si="118"/>
        <v>1+0.12234854080079j</v>
      </c>
      <c r="T232" s="86" t="str">
        <f t="shared" si="119"/>
        <v>-337.831462341445+8.22901891480135j</v>
      </c>
      <c r="U232" s="86" t="str">
        <f t="shared" si="120"/>
        <v>-0.00294948425868876-0.00043400310183739j</v>
      </c>
      <c r="V232" s="86" t="str">
        <f t="shared" si="121"/>
        <v>-0.0339780586600945-0.00499971573316673j</v>
      </c>
      <c r="X232" s="86" t="str">
        <f t="shared" si="122"/>
        <v>-0.181978401308347-0.49000797173468j</v>
      </c>
      <c r="Y232" s="86">
        <f t="shared" si="123"/>
        <v>-5.6348123291689998</v>
      </c>
      <c r="Z232" s="86">
        <f t="shared" si="124"/>
        <v>69.626088392324675</v>
      </c>
      <c r="AB232" s="86" t="str">
        <f t="shared" si="125"/>
        <v>-0.0283244903802055-0.00416781905065583j</v>
      </c>
      <c r="AC232" s="86">
        <f t="shared" si="126"/>
        <v>-30.863728968190067</v>
      </c>
      <c r="AD232" s="86">
        <f t="shared" si="127"/>
        <v>8.3707426802739064</v>
      </c>
      <c r="AF232" s="86" t="str">
        <f t="shared" si="128"/>
        <v>-0.0232360537638651-0.019013765225126j</v>
      </c>
      <c r="AG232" s="86">
        <f t="shared" si="129"/>
        <v>-30.450643971834378</v>
      </c>
      <c r="AH232" s="86">
        <f t="shared" si="130"/>
        <v>39.293023238499956</v>
      </c>
      <c r="AJ232" s="86" t="str">
        <f t="shared" si="131"/>
        <v>15.0499293735791-0.0326024944883362j</v>
      </c>
      <c r="AK232" s="86" t="str">
        <f t="shared" si="132"/>
        <v>30.1-1.30410589942263E-09j</v>
      </c>
      <c r="AL232" s="86" t="str">
        <f t="shared" si="146"/>
        <v>10000-15438.5894308655j</v>
      </c>
      <c r="AM232" s="86" t="str">
        <f t="shared" si="147"/>
        <v>802.917941442137-5149.95677942235j</v>
      </c>
      <c r="AN232" s="86" t="str">
        <f t="shared" si="148"/>
        <v>10802.9179414421-5149.95677942235j</v>
      </c>
      <c r="AO232" s="86" t="str">
        <f t="shared" si="149"/>
        <v>30.0317829248799-0.032430021295559j</v>
      </c>
      <c r="AP232" s="86" t="str">
        <f t="shared" si="150"/>
        <v>0.666667361895945+0.000481396512876586j</v>
      </c>
      <c r="AQ232" s="86" t="str">
        <f t="shared" si="133"/>
        <v>1+80.4218549602556j</v>
      </c>
      <c r="AR232" s="86">
        <f t="shared" si="134"/>
        <v>-1.1565878356329466E-4</v>
      </c>
      <c r="AS232" s="86" t="str">
        <f t="shared" si="135"/>
        <v>0.000424027224218711j</v>
      </c>
      <c r="AT232" s="86" t="str">
        <f t="shared" si="136"/>
        <v>-0.000115658783563295+0.000424027224218711j</v>
      </c>
      <c r="AU232" s="86" t="str">
        <f t="shared" si="137"/>
        <v>17.5929669897429-5.03453797155666j</v>
      </c>
      <c r="AW232" s="86" t="str">
        <f t="shared" si="151"/>
        <v>4.115130714456-7.77273746096601j</v>
      </c>
      <c r="AX232" s="86">
        <f t="shared" si="138"/>
        <v>18.884589055747231</v>
      </c>
      <c r="AY232" s="86">
        <f t="shared" si="139"/>
        <v>117.89814652332817</v>
      </c>
      <c r="AZ232" s="86" t="str">
        <f t="shared" si="140"/>
        <v>-0.148954343600457+0.203007707253346j</v>
      </c>
      <c r="BA232" s="86">
        <f t="shared" si="141"/>
        <v>-11.979139912442847</v>
      </c>
      <c r="BB232" s="86">
        <f t="shared" si="142"/>
        <v>-53.731110796398028</v>
      </c>
      <c r="BD232" s="86" t="str">
        <f t="shared" si="143"/>
        <v>-0.243408403765781+0.102363616260043j</v>
      </c>
      <c r="BE232" s="86">
        <f t="shared" si="144"/>
        <v>-11.566054916087179</v>
      </c>
      <c r="BF232" s="86">
        <f t="shared" si="145"/>
        <v>-22.808830238171936</v>
      </c>
      <c r="BH232" s="86">
        <f t="shared" si="152"/>
        <v>12.566054916087179</v>
      </c>
      <c r="BI232" s="157">
        <f t="shared" si="153"/>
        <v>22.808830238171936</v>
      </c>
      <c r="BJ232" s="88"/>
      <c r="BK232" s="88"/>
      <c r="BL232" s="88"/>
      <c r="BM232" s="88"/>
      <c r="BN232" s="42"/>
      <c r="BO232" s="42"/>
      <c r="BP232" s="42"/>
    </row>
    <row r="233" spans="1:68" s="86" customFormat="1">
      <c r="A233" s="86">
        <v>169</v>
      </c>
      <c r="B233" s="86">
        <f t="shared" si="103"/>
        <v>239883.29190194918</v>
      </c>
      <c r="C233" s="86" t="str">
        <f t="shared" si="104"/>
        <v>1507231.1751162j</v>
      </c>
      <c r="D233" s="86">
        <f t="shared" si="105"/>
        <v>0.94245600626628423</v>
      </c>
      <c r="E233" s="86" t="str">
        <f t="shared" si="106"/>
        <v>-0.37680779377905j</v>
      </c>
      <c r="F233" s="86" t="str">
        <f t="shared" si="107"/>
        <v>0.942456006266284-0.37680779377905j</v>
      </c>
      <c r="G233" s="86">
        <f t="shared" si="108"/>
        <v>0.12924680783615328</v>
      </c>
      <c r="H233" s="86">
        <f t="shared" si="109"/>
        <v>-21.792257881782049</v>
      </c>
      <c r="J233" s="86">
        <f t="shared" si="110"/>
        <v>4.8</v>
      </c>
      <c r="K233" s="86" t="str">
        <f t="shared" si="111"/>
        <v>1+61.6231465946258j</v>
      </c>
      <c r="L233" s="86">
        <f t="shared" si="112"/>
        <v>-370.52131062470283</v>
      </c>
      <c r="M233" s="86" t="str">
        <f t="shared" si="113"/>
        <v>8.61684062813931j</v>
      </c>
      <c r="N233" s="86" t="str">
        <f t="shared" si="114"/>
        <v>-370.521310624703+8.61684062813931j</v>
      </c>
      <c r="O233" s="86" t="str">
        <f t="shared" si="115"/>
        <v>0.00116828175560843-0.166287546573363j</v>
      </c>
      <c r="P233" s="86" t="str">
        <f t="shared" si="116"/>
        <v>0.00560775242692046-0.798180223552142j</v>
      </c>
      <c r="R233" s="86">
        <f t="shared" si="117"/>
        <v>11.52</v>
      </c>
      <c r="S233" s="86" t="str">
        <f t="shared" si="118"/>
        <v>1+0.128114649884877j</v>
      </c>
      <c r="T233" s="86" t="str">
        <f t="shared" si="119"/>
        <v>-370.521310624703+8.61684062813931j</v>
      </c>
      <c r="U233" s="86" t="str">
        <f t="shared" si="120"/>
        <v>-0.00268940436048589-0.000408313406828698j</v>
      </c>
      <c r="V233" s="86" t="str">
        <f t="shared" si="121"/>
        <v>-0.0309819382327975-0.0047037704466666j</v>
      </c>
      <c r="X233" s="86" t="str">
        <f t="shared" si="122"/>
        <v>-0.18227062949948-0.465345502697899j</v>
      </c>
      <c r="Y233" s="86">
        <f t="shared" si="123"/>
        <v>-6.0246143145085913</v>
      </c>
      <c r="Z233" s="86">
        <f t="shared" si="124"/>
        <v>68.610276847619488</v>
      </c>
      <c r="AB233" s="86" t="str">
        <f t="shared" si="125"/>
        <v>-0.0258268908242727-0.00392111574413688j</v>
      </c>
      <c r="AC233" s="86">
        <f t="shared" si="126"/>
        <v>-31.659587936180287</v>
      </c>
      <c r="AD233" s="86">
        <f t="shared" si="127"/>
        <v>8.6328893273844756</v>
      </c>
      <c r="AF233" s="86" t="str">
        <f t="shared" si="128"/>
        <v>-0.021796349442263-0.0171987816992772j</v>
      </c>
      <c r="AG233" s="86">
        <f t="shared" si="129"/>
        <v>-31.130138183251731</v>
      </c>
      <c r="AH233" s="86">
        <f t="shared" si="130"/>
        <v>38.275808451519623</v>
      </c>
      <c r="AJ233" s="86" t="str">
        <f t="shared" si="131"/>
        <v>15.0499225597044-0.034138987259932j</v>
      </c>
      <c r="AK233" s="86" t="str">
        <f t="shared" si="132"/>
        <v>30.1-1.36556651696703E-09j</v>
      </c>
      <c r="AL233" s="86" t="str">
        <f t="shared" si="146"/>
        <v>10000-14743.7384451055j</v>
      </c>
      <c r="AM233" s="86" t="str">
        <f t="shared" si="147"/>
        <v>790.235104975476-4945.28444410212j</v>
      </c>
      <c r="AN233" s="86" t="str">
        <f t="shared" si="148"/>
        <v>10790.2351049755-4945.28444410212j</v>
      </c>
      <c r="AO233" s="86" t="str">
        <f t="shared" si="149"/>
        <v>30.0307358754494-0.0316562111104231j</v>
      </c>
      <c r="AP233" s="86" t="str">
        <f t="shared" si="150"/>
        <v>0.666667428970259+0.00050408393013174j</v>
      </c>
      <c r="AQ233" s="86" t="str">
        <f t="shared" si="133"/>
        <v>1+84.2120202160923j</v>
      </c>
      <c r="AR233" s="86">
        <f t="shared" si="134"/>
        <v>-1.2682698218920995E-4</v>
      </c>
      <c r="AS233" s="86" t="str">
        <f t="shared" si="135"/>
        <v>0.000444011011630191j</v>
      </c>
      <c r="AT233" s="86" t="str">
        <f t="shared" si="136"/>
        <v>-0.00012682698218921+0.000444011011630191j</v>
      </c>
      <c r="AU233" s="86" t="str">
        <f t="shared" si="137"/>
        <v>17.4760055745735-5.21705315199317j</v>
      </c>
      <c r="AW233" s="86" t="str">
        <f t="shared" si="151"/>
        <v>3.73186521009799-7.71357046299238j</v>
      </c>
      <c r="AX233" s="86">
        <f t="shared" si="138"/>
        <v>18.65849794450509</v>
      </c>
      <c r="AY233" s="86">
        <f t="shared" si="139"/>
        <v>115.81793681350098</v>
      </c>
      <c r="AZ233" s="86" t="str">
        <f t="shared" si="140"/>
        <v>-0.126628277938051+0.184584466782727j</v>
      </c>
      <c r="BA233" s="86">
        <f t="shared" si="141"/>
        <v>-13.001089991675192</v>
      </c>
      <c r="BB233" s="86">
        <f t="shared" si="142"/>
        <v>-55.549173859114561</v>
      </c>
      <c r="BD233" s="86" t="str">
        <f t="shared" si="143"/>
        <v>-0.214005052705719+0.103944142179298j</v>
      </c>
      <c r="BE233" s="86">
        <f t="shared" si="144"/>
        <v>-12.471640238746621</v>
      </c>
      <c r="BF233" s="86">
        <f t="shared" si="145"/>
        <v>-25.906254734979399</v>
      </c>
      <c r="BH233" s="86">
        <f t="shared" si="152"/>
        <v>13.471640238746621</v>
      </c>
      <c r="BI233" s="157">
        <f t="shared" si="153"/>
        <v>25.906254734979399</v>
      </c>
      <c r="BJ233" s="88"/>
      <c r="BK233" s="88"/>
      <c r="BL233" s="88"/>
      <c r="BM233" s="88"/>
      <c r="BN233" s="42"/>
      <c r="BO233" s="42"/>
      <c r="BP233" s="42"/>
    </row>
    <row r="234" spans="1:68" s="86" customFormat="1">
      <c r="A234" s="86">
        <v>170</v>
      </c>
      <c r="B234" s="86">
        <f t="shared" si="103"/>
        <v>251188.64315095812</v>
      </c>
      <c r="C234" s="86" t="str">
        <f t="shared" si="104"/>
        <v>1578264.79197648j</v>
      </c>
      <c r="D234" s="86">
        <f t="shared" si="105"/>
        <v>0.93690426555198036</v>
      </c>
      <c r="E234" s="86" t="str">
        <f t="shared" si="106"/>
        <v>-0.39456619799412j</v>
      </c>
      <c r="F234" s="86" t="str">
        <f t="shared" si="107"/>
        <v>0.93690426555198-0.39456619799412j</v>
      </c>
      <c r="G234" s="86">
        <f t="shared" si="108"/>
        <v>0.14298751453936012</v>
      </c>
      <c r="H234" s="86">
        <f t="shared" si="109"/>
        <v>-22.837819613640395</v>
      </c>
      <c r="J234" s="86">
        <f t="shared" si="110"/>
        <v>4.8</v>
      </c>
      <c r="K234" s="86" t="str">
        <f t="shared" si="111"/>
        <v>1+64.5273560199584j</v>
      </c>
      <c r="L234" s="86">
        <f t="shared" si="112"/>
        <v>-406.36501650252723</v>
      </c>
      <c r="M234" s="86" t="str">
        <f t="shared" si="113"/>
        <v>9.02293981572953j</v>
      </c>
      <c r="N234" s="86" t="str">
        <f t="shared" si="114"/>
        <v>-406.365016502527+9.02293981572953j</v>
      </c>
      <c r="O234" s="86" t="str">
        <f t="shared" si="115"/>
        <v>0.00106444670013036-0.1587679769699j</v>
      </c>
      <c r="P234" s="86" t="str">
        <f t="shared" si="116"/>
        <v>0.00510934416062573-0.76208628945552j</v>
      </c>
      <c r="R234" s="86">
        <f t="shared" si="117"/>
        <v>11.52</v>
      </c>
      <c r="S234" s="86" t="str">
        <f t="shared" si="118"/>
        <v>1+0.134152507318001j</v>
      </c>
      <c r="T234" s="86" t="str">
        <f t="shared" si="119"/>
        <v>-406.365016502527+9.02293981572953j</v>
      </c>
      <c r="U234" s="86" t="str">
        <f t="shared" si="120"/>
        <v>-0.00245230254969188-0.000384579083551251j</v>
      </c>
      <c r="V234" s="86" t="str">
        <f t="shared" si="121"/>
        <v>-0.0282505253724505-0.00443035104251041j</v>
      </c>
      <c r="X234" s="86" t="str">
        <f t="shared" si="122"/>
        <v>-0.182536534963637-0.441691583576902j</v>
      </c>
      <c r="Y234" s="86">
        <f t="shared" si="123"/>
        <v>-6.4128290572523312</v>
      </c>
      <c r="Z234" s="86">
        <f t="shared" si="124"/>
        <v>67.546309420631957</v>
      </c>
      <c r="AB234" s="86" t="str">
        <f t="shared" si="125"/>
        <v>-0.0235499544618627-0.00369319026551385j</v>
      </c>
      <c r="AC234" s="86">
        <f t="shared" si="126"/>
        <v>-32.454681910806194</v>
      </c>
      <c r="AD234" s="86">
        <f t="shared" si="127"/>
        <v>8.912741820475901</v>
      </c>
      <c r="AF234" s="86" t="str">
        <f t="shared" si="128"/>
        <v>-0.0204091293296119-0.0155453197140384j</v>
      </c>
      <c r="AG234" s="86">
        <f t="shared" si="129"/>
        <v>-31.816490337234214</v>
      </c>
      <c r="AH234" s="86">
        <f t="shared" si="130"/>
        <v>37.295966549233469</v>
      </c>
      <c r="AJ234" s="86" t="str">
        <f t="shared" si="131"/>
        <v>15.0499150884466-0.0357478904150278j</v>
      </c>
      <c r="AK234" s="86" t="str">
        <f t="shared" si="132"/>
        <v>30.1-1.42992368417861E-09j</v>
      </c>
      <c r="AL234" s="86" t="str">
        <f t="shared" si="146"/>
        <v>10000-14080.1609053149j</v>
      </c>
      <c r="AM234" s="86" t="str">
        <f t="shared" si="147"/>
        <v>776.781334585283-4750.17751140684j</v>
      </c>
      <c r="AN234" s="86" t="str">
        <f t="shared" si="148"/>
        <v>10776.7813345853-4750.17751140684j</v>
      </c>
      <c r="AO234" s="86" t="str">
        <f t="shared" si="149"/>
        <v>30.0297384939519-0.0308835297604726j</v>
      </c>
      <c r="AP234" s="86" t="str">
        <f t="shared" si="150"/>
        <v>0.666667502515749+0.000527840557393465j</v>
      </c>
      <c r="AQ234" s="86" t="str">
        <f t="shared" si="133"/>
        <v>1+88.1808104573099j</v>
      </c>
      <c r="AR234" s="86">
        <f t="shared" si="134"/>
        <v>-1.390726684727235E-4</v>
      </c>
      <c r="AS234" s="86" t="str">
        <f t="shared" si="135"/>
        <v>0.000464936605926934j</v>
      </c>
      <c r="AT234" s="86" t="str">
        <f t="shared" si="136"/>
        <v>-0.000139072668472724+0.000464936605926934j</v>
      </c>
      <c r="AU234" s="86" t="str">
        <f t="shared" si="137"/>
        <v>17.3495352042052-5.40470706237569j</v>
      </c>
      <c r="AW234" s="86" t="str">
        <f t="shared" si="151"/>
        <v>3.35174425783509-7.63395381198639j</v>
      </c>
      <c r="AX234" s="86">
        <f t="shared" si="138"/>
        <v>18.420562877870029</v>
      </c>
      <c r="AY234" s="86">
        <f t="shared" si="139"/>
        <v>113.70423379523385</v>
      </c>
      <c r="AZ234" s="86" t="str">
        <f t="shared" si="140"/>
        <v>-0.107127068545637+0.167400635370714j</v>
      </c>
      <c r="BA234" s="86">
        <f t="shared" si="141"/>
        <v>-14.034119032936163</v>
      </c>
      <c r="BB234" s="86">
        <f t="shared" si="142"/>
        <v>-57.383024384290152</v>
      </c>
      <c r="BD234" s="86" t="str">
        <f t="shared" si="143"/>
        <v>-0.187078434727472+0.103698414557375j</v>
      </c>
      <c r="BE234" s="86">
        <f t="shared" si="144"/>
        <v>-13.39592745936416</v>
      </c>
      <c r="BF234" s="86">
        <f t="shared" si="145"/>
        <v>-28.999799655532513</v>
      </c>
      <c r="BH234" s="86">
        <f t="shared" si="152"/>
        <v>14.39592745936416</v>
      </c>
      <c r="BI234" s="157">
        <f t="shared" si="153"/>
        <v>28.999799655532513</v>
      </c>
      <c r="BJ234" s="88"/>
      <c r="BK234" s="88"/>
      <c r="BL234" s="88"/>
      <c r="BM234" s="88"/>
      <c r="BN234" s="42"/>
      <c r="BO234" s="42"/>
      <c r="BP234" s="42"/>
    </row>
    <row r="235" spans="1:68" s="86" customFormat="1">
      <c r="A235" s="86">
        <v>171</v>
      </c>
      <c r="B235" s="86">
        <f t="shared" si="103"/>
        <v>263026.79918953823</v>
      </c>
      <c r="C235" s="86" t="str">
        <f t="shared" si="104"/>
        <v>1652646.12006218j</v>
      </c>
      <c r="D235" s="86">
        <f t="shared" si="105"/>
        <v>0.93081690290810648</v>
      </c>
      <c r="E235" s="86" t="str">
        <f t="shared" si="106"/>
        <v>-0.413161530015545j</v>
      </c>
      <c r="F235" s="86" t="str">
        <f t="shared" si="107"/>
        <v>0.930816902908106-0.413161530015545j</v>
      </c>
      <c r="G235" s="86">
        <f t="shared" si="108"/>
        <v>0.15830079938378397</v>
      </c>
      <c r="H235" s="86">
        <f t="shared" si="109"/>
        <v>-23.934990188155929</v>
      </c>
      <c r="J235" s="86">
        <f t="shared" si="110"/>
        <v>4.8</v>
      </c>
      <c r="K235" s="86" t="str">
        <f t="shared" si="111"/>
        <v>1+67.5684366187422j</v>
      </c>
      <c r="L235" s="86">
        <f t="shared" si="112"/>
        <v>-445.66685846652706</v>
      </c>
      <c r="M235" s="86" t="str">
        <f t="shared" si="113"/>
        <v>9.44817786839548j</v>
      </c>
      <c r="N235" s="86" t="str">
        <f t="shared" si="114"/>
        <v>-445.666858466527+9.44817786839548j</v>
      </c>
      <c r="O235" s="86" t="str">
        <f t="shared" si="115"/>
        <v>0.000969923398740465-0.151591421543916j</v>
      </c>
      <c r="P235" s="86" t="str">
        <f t="shared" si="116"/>
        <v>0.00465563231395423-0.727638823410797j</v>
      </c>
      <c r="R235" s="86">
        <f t="shared" si="117"/>
        <v>11.52</v>
      </c>
      <c r="S235" s="86" t="str">
        <f t="shared" si="118"/>
        <v>1+0.140474920205285j</v>
      </c>
      <c r="T235" s="86" t="str">
        <f t="shared" si="119"/>
        <v>-445.666858466527+9.44817786839548j</v>
      </c>
      <c r="U235" s="86" t="str">
        <f t="shared" si="120"/>
        <v>-0.00223614118021394-0.00036260802602832j</v>
      </c>
      <c r="V235" s="86" t="str">
        <f t="shared" si="121"/>
        <v>-0.0257603463960646-0.00417724445984625j</v>
      </c>
      <c r="X235" s="86" t="str">
        <f t="shared" si="122"/>
        <v>-0.18277853698099-0.418993258350775j</v>
      </c>
      <c r="Y235" s="86">
        <f t="shared" si="123"/>
        <v>-6.7992989016041054</v>
      </c>
      <c r="Z235" s="86">
        <f t="shared" si="124"/>
        <v>66.431598886018818</v>
      </c>
      <c r="AB235" s="86" t="str">
        <f t="shared" si="125"/>
        <v>-0.0214741133678431-0.00348219778246603j</v>
      </c>
      <c r="AC235" s="86">
        <f t="shared" si="126"/>
        <v>-33.248972215732906</v>
      </c>
      <c r="AD235" s="86">
        <f t="shared" si="127"/>
        <v>9.2107902951590859</v>
      </c>
      <c r="AF235" s="86" t="str">
        <f t="shared" si="128"/>
        <v>-0.0190775069117173-0.0140421477945801j</v>
      </c>
      <c r="AG235" s="86">
        <f t="shared" si="129"/>
        <v>-32.509340469535545</v>
      </c>
      <c r="AH235" s="86">
        <f t="shared" si="130"/>
        <v>36.355216372947865</v>
      </c>
      <c r="AJ235" s="86" t="str">
        <f t="shared" si="131"/>
        <v>15.0499068963837-0.0374326162106065j</v>
      </c>
      <c r="AK235" s="86" t="str">
        <f t="shared" si="132"/>
        <v>30.1-1.49731391123754E-09j</v>
      </c>
      <c r="AL235" s="86" t="str">
        <f t="shared" si="146"/>
        <v>10000-13446.4492745647j</v>
      </c>
      <c r="AM235" s="86" t="str">
        <f t="shared" si="147"/>
        <v>762.546448515325-4564.13856333229j</v>
      </c>
      <c r="AN235" s="86" t="str">
        <f t="shared" si="148"/>
        <v>10762.5464485153-4564.13856333229j</v>
      </c>
      <c r="AO235" s="86" t="str">
        <f t="shared" si="149"/>
        <v>30.0287884202725-0.0301149059974067j</v>
      </c>
      <c r="AP235" s="86" t="str">
        <f t="shared" si="150"/>
        <v>0.666667583156741+0.000552716782750539j</v>
      </c>
      <c r="AQ235" s="86" t="str">
        <f t="shared" si="133"/>
        <v>1+92.3366440201141j</v>
      </c>
      <c r="AR235" s="86">
        <f t="shared" si="134"/>
        <v>-1.5249979647940441E-4</v>
      </c>
      <c r="AS235" s="86" t="str">
        <f t="shared" si="135"/>
        <v>0.000486848393099981j</v>
      </c>
      <c r="AT235" s="86" t="str">
        <f t="shared" si="136"/>
        <v>-0.000152499796479404+0.000486848393099981j</v>
      </c>
      <c r="AU235" s="86" t="str">
        <f t="shared" si="137"/>
        <v>17.2129512105723-5.59716658212852j</v>
      </c>
      <c r="AW235" s="86" t="str">
        <f t="shared" si="151"/>
        <v>2.97672750885135-7.53409430350048j</v>
      </c>
      <c r="AX235" s="86">
        <f t="shared" si="138"/>
        <v>18.170592812729804</v>
      </c>
      <c r="AY235" s="86">
        <f t="shared" si="139"/>
        <v>111.55902108257958</v>
      </c>
      <c r="AZ235" s="86" t="str">
        <f t="shared" si="140"/>
        <v>-0.0901577904667904+0.151422441267063j</v>
      </c>
      <c r="BA235" s="86">
        <f t="shared" si="141"/>
        <v>-15.078379403003076</v>
      </c>
      <c r="BB235" s="86">
        <f t="shared" si="142"/>
        <v>-59.230188622261437</v>
      </c>
      <c r="BD235" s="86" t="str">
        <f t="shared" si="143"/>
        <v>-0.162583405332468+0.101932088525078j</v>
      </c>
      <c r="BE235" s="86">
        <f t="shared" si="144"/>
        <v>-14.338747656805737</v>
      </c>
      <c r="BF235" s="86">
        <f t="shared" si="145"/>
        <v>-32.085762544472772</v>
      </c>
      <c r="BH235" s="86">
        <f t="shared" si="152"/>
        <v>15.338747656805737</v>
      </c>
      <c r="BI235" s="157">
        <f t="shared" si="153"/>
        <v>32.085762544472772</v>
      </c>
      <c r="BJ235" s="88"/>
      <c r="BK235" s="88"/>
      <c r="BL235" s="88"/>
      <c r="BM235" s="88"/>
      <c r="BN235" s="42"/>
      <c r="BO235" s="42"/>
      <c r="BP235" s="42"/>
    </row>
    <row r="236" spans="1:68" s="86" customFormat="1">
      <c r="A236" s="86">
        <v>172</v>
      </c>
      <c r="B236" s="86">
        <f t="shared" si="103"/>
        <v>275422.87033381691</v>
      </c>
      <c r="C236" s="86" t="str">
        <f t="shared" si="104"/>
        <v>1730532.93214267j</v>
      </c>
      <c r="D236" s="86">
        <f t="shared" si="105"/>
        <v>0.9241422424970811</v>
      </c>
      <c r="E236" s="86" t="str">
        <f t="shared" si="106"/>
        <v>-0.432633233035668j</v>
      </c>
      <c r="F236" s="86" t="str">
        <f t="shared" si="107"/>
        <v>0.924142242497081-0.432633233035668j</v>
      </c>
      <c r="G236" s="86">
        <f t="shared" si="108"/>
        <v>0.17538496810476867</v>
      </c>
      <c r="H236" s="86">
        <f t="shared" si="109"/>
        <v>-25.086442550708359</v>
      </c>
      <c r="J236" s="86">
        <f t="shared" si="110"/>
        <v>4.8</v>
      </c>
      <c r="K236" s="86" t="str">
        <f t="shared" si="111"/>
        <v>1+70.7528389306531j</v>
      </c>
      <c r="L236" s="86">
        <f t="shared" si="112"/>
        <v>-488.7604712483249</v>
      </c>
      <c r="M236" s="86" t="str">
        <f t="shared" si="113"/>
        <v>9.89345677305964j</v>
      </c>
      <c r="N236" s="86" t="str">
        <f t="shared" si="114"/>
        <v>-488.760471248325+9.89345677305964j</v>
      </c>
      <c r="O236" s="86" t="str">
        <f t="shared" si="115"/>
        <v>0.000883862862654687-0.144741849296739j</v>
      </c>
      <c r="P236" s="86" t="str">
        <f t="shared" si="116"/>
        <v>0.0042425417407425-0.694760876624347j</v>
      </c>
      <c r="R236" s="86">
        <f t="shared" si="117"/>
        <v>11.52</v>
      </c>
      <c r="S236" s="86" t="str">
        <f t="shared" si="118"/>
        <v>1+0.147095299232127j</v>
      </c>
      <c r="T236" s="86" t="str">
        <f t="shared" si="119"/>
        <v>-488.760471248325+9.89345677305964j</v>
      </c>
      <c r="U236" s="86" t="str">
        <f t="shared" si="120"/>
        <v>-0.0020390645661027-0.000342230409810202j</v>
      </c>
      <c r="V236" s="86" t="str">
        <f t="shared" si="121"/>
        <v>-0.0234900238015031-0.00394249432101353j</v>
      </c>
      <c r="X236" s="86" t="str">
        <f t="shared" si="122"/>
        <v>-0.182998824466369-0.397199959081037j</v>
      </c>
      <c r="Y236" s="86">
        <f t="shared" si="123"/>
        <v>-7.1838407482359292</v>
      </c>
      <c r="Z236" s="86">
        <f t="shared" si="124"/>
        <v>65.263428495565336</v>
      </c>
      <c r="AB236" s="86" t="str">
        <f t="shared" si="125"/>
        <v>-0.0195815470169249-0.00328650743665683j</v>
      </c>
      <c r="AC236" s="86">
        <f t="shared" si="126"/>
        <v>-34.042413906937114</v>
      </c>
      <c r="AD236" s="86">
        <f t="shared" si="127"/>
        <v>9.527550752360554</v>
      </c>
      <c r="AF236" s="86" t="str">
        <f t="shared" si="128"/>
        <v>-0.0178038060163185-0.0126782907638532j</v>
      </c>
      <c r="AG236" s="86">
        <f t="shared" si="129"/>
        <v>-33.20831517019294</v>
      </c>
      <c r="AH236" s="86">
        <f t="shared" si="130"/>
        <v>35.455096146122514</v>
      </c>
      <c r="AJ236" s="86" t="str">
        <f t="shared" si="131"/>
        <v>15.0498979139757-0.039196737668108j</v>
      </c>
      <c r="AK236" s="86" t="str">
        <f t="shared" si="132"/>
        <v>30.1-1.56788014185058E-09j</v>
      </c>
      <c r="AL236" s="86" t="str">
        <f t="shared" si="146"/>
        <v>10000-12841.2593655225j</v>
      </c>
      <c r="AM236" s="86" t="str">
        <f t="shared" si="147"/>
        <v>747.52604692741-4386.68621607874j</v>
      </c>
      <c r="AN236" s="86" t="str">
        <f t="shared" si="148"/>
        <v>10747.5260469274-4386.68621607874j</v>
      </c>
      <c r="AO236" s="86" t="str">
        <f t="shared" si="149"/>
        <v>30.0278831630184-0.0293528417260754j</v>
      </c>
      <c r="AP236" s="86" t="str">
        <f t="shared" si="150"/>
        <v>0.666667671577783+0.000578765368679359j</v>
      </c>
      <c r="AQ236" s="86" t="str">
        <f t="shared" si="133"/>
        <v>1+96.6883359846752j</v>
      </c>
      <c r="AR236" s="86">
        <f t="shared" si="134"/>
        <v>-1.6722234957555589E-4</v>
      </c>
      <c r="AS236" s="86" t="str">
        <f t="shared" si="135"/>
        <v>0.000509792850987699j</v>
      </c>
      <c r="AT236" s="86" t="str">
        <f t="shared" si="136"/>
        <v>-0.000167222349575556+0.000509792850987699j</v>
      </c>
      <c r="AU236" s="86" t="str">
        <f t="shared" si="137"/>
        <v>17.0656410227794-5.794032974608j</v>
      </c>
      <c r="AW236" s="86" t="str">
        <f t="shared" si="151"/>
        <v>2.6087441346447-7.41442105903152j</v>
      </c>
      <c r="AX236" s="86">
        <f t="shared" si="138"/>
        <v>17.908421789496721</v>
      </c>
      <c r="AY236" s="86">
        <f t="shared" si="139"/>
        <v>109.38428432239034</v>
      </c>
      <c r="AZ236" s="86" t="str">
        <f t="shared" si="140"/>
        <v>-0.0754507958766843+0.136612177571859j</v>
      </c>
      <c r="BA236" s="86">
        <f t="shared" si="141"/>
        <v>-16.133992117440396</v>
      </c>
      <c r="BB236" s="86">
        <f t="shared" si="142"/>
        <v>-61.088164925249089</v>
      </c>
      <c r="BD236" s="86" t="str">
        <f t="shared" si="143"/>
        <v>-0.140447760551461+0.0989304975907815j</v>
      </c>
      <c r="BE236" s="86">
        <f t="shared" si="144"/>
        <v>-15.299893380696222</v>
      </c>
      <c r="BF236" s="86">
        <f t="shared" si="145"/>
        <v>-35.160619531487043</v>
      </c>
      <c r="BH236" s="86">
        <f t="shared" si="152"/>
        <v>16.299893380696222</v>
      </c>
      <c r="BI236" s="157">
        <f t="shared" si="153"/>
        <v>35.160619531487043</v>
      </c>
      <c r="BJ236" s="88"/>
      <c r="BK236" s="88"/>
      <c r="BL236" s="88"/>
      <c r="BM236" s="88"/>
      <c r="BN236" s="42"/>
      <c r="BO236" s="42"/>
      <c r="BP236" s="42"/>
    </row>
    <row r="237" spans="1:68" s="86" customFormat="1">
      <c r="A237" s="86">
        <v>173</v>
      </c>
      <c r="B237" s="86">
        <f t="shared" si="103"/>
        <v>288403.15031266079</v>
      </c>
      <c r="C237" s="86" t="str">
        <f t="shared" si="104"/>
        <v>1812090.43658882j</v>
      </c>
      <c r="D237" s="86">
        <f t="shared" si="105"/>
        <v>0.9168236228897324</v>
      </c>
      <c r="E237" s="86" t="str">
        <f t="shared" si="106"/>
        <v>-0.453022609147205j</v>
      </c>
      <c r="F237" s="86" t="str">
        <f t="shared" si="107"/>
        <v>0.916823622889732-0.453022609147205j</v>
      </c>
      <c r="G237" s="86">
        <f t="shared" si="108"/>
        <v>0.19446577678443344</v>
      </c>
      <c r="H237" s="86">
        <f t="shared" si="109"/>
        <v>-26.29498485406689</v>
      </c>
      <c r="J237" s="86">
        <f t="shared" si="110"/>
        <v>4.8</v>
      </c>
      <c r="K237" s="86" t="str">
        <f t="shared" si="111"/>
        <v>1+74.0873174999339j</v>
      </c>
      <c r="L237" s="86">
        <f t="shared" si="112"/>
        <v>-536.01167805659895</v>
      </c>
      <c r="M237" s="86" t="str">
        <f t="shared" si="113"/>
        <v>10.3597210259783j</v>
      </c>
      <c r="N237" s="86" t="str">
        <f t="shared" si="114"/>
        <v>-536.011678056599+10.3597210259783j</v>
      </c>
      <c r="O237" s="86" t="str">
        <f t="shared" si="115"/>
        <v>0.000805495829749669-0.13820402767424j</v>
      </c>
      <c r="P237" s="86" t="str">
        <f t="shared" si="116"/>
        <v>0.00386637998279841-0.663379332836352j</v>
      </c>
      <c r="R237" s="86">
        <f t="shared" si="117"/>
        <v>11.52</v>
      </c>
      <c r="S237" s="86" t="str">
        <f t="shared" si="118"/>
        <v>1+0.15402768711005j</v>
      </c>
      <c r="T237" s="86" t="str">
        <f t="shared" si="119"/>
        <v>-536.011678056599+10.3597210259783j</v>
      </c>
      <c r="U237" s="86" t="str">
        <f t="shared" si="120"/>
        <v>-0.00185938252018618-0.000323295887746425j</v>
      </c>
      <c r="V237" s="86" t="str">
        <f t="shared" si="121"/>
        <v>-0.0214200866325448-0.00372436862683882j</v>
      </c>
      <c r="X237" s="86" t="str">
        <f t="shared" si="122"/>
        <v>-0.183199379215816-0.376263351628401j</v>
      </c>
      <c r="Y237" s="86">
        <f t="shared" si="123"/>
        <v>-7.5662427020481582</v>
      </c>
      <c r="Z237" s="86">
        <f t="shared" si="124"/>
        <v>64.038948893529792</v>
      </c>
      <c r="AB237" s="86" t="str">
        <f t="shared" si="125"/>
        <v>-0.0178560242018546-0.00310467541417041j</v>
      </c>
      <c r="AC237" s="86">
        <f t="shared" si="126"/>
        <v>-34.834955503940542</v>
      </c>
      <c r="AD237" s="86">
        <f t="shared" si="127"/>
        <v>9.863564133938695</v>
      </c>
      <c r="AF237" s="86" t="str">
        <f t="shared" si="128"/>
        <v>-0.0165896082891365-0.0114431071590882j</v>
      </c>
      <c r="AG237" s="86">
        <f t="shared" si="129"/>
        <v>-33.913030584945254</v>
      </c>
      <c r="AH237" s="86">
        <f t="shared" si="130"/>
        <v>34.59696475192527</v>
      </c>
      <c r="AJ237" s="86" t="str">
        <f t="shared" si="131"/>
        <v>15.0498880649735-0.0410439961425773j</v>
      </c>
      <c r="AK237" s="86" t="str">
        <f t="shared" si="132"/>
        <v>30.1-1.64177205645384E-09j</v>
      </c>
      <c r="AL237" s="86" t="str">
        <f t="shared" si="146"/>
        <v>10000-12263.3074892523j</v>
      </c>
      <c r="AM237" s="86" t="str">
        <f t="shared" si="147"/>
        <v>731.722247789286-4217.35480656536j</v>
      </c>
      <c r="AN237" s="86" t="str">
        <f t="shared" si="148"/>
        <v>10731.7222477893-4217.35480656536j</v>
      </c>
      <c r="AO237" s="86" t="str">
        <f t="shared" si="149"/>
        <v>30.0270201574956-0.0285994230392574j</v>
      </c>
      <c r="AP237" s="86" t="str">
        <f t="shared" si="150"/>
        <v>0.666667768529474+0.000606041563896508j</v>
      </c>
      <c r="AQ237" s="86" t="str">
        <f t="shared" si="133"/>
        <v>1+101.245116873091j</v>
      </c>
      <c r="AR237" s="86">
        <f t="shared" si="134"/>
        <v>-1.8336530803704477E-4</v>
      </c>
      <c r="AS237" s="86" t="str">
        <f t="shared" si="135"/>
        <v>0.000533818647861478j</v>
      </c>
      <c r="AT237" s="86" t="str">
        <f t="shared" si="136"/>
        <v>-0.000183365308037045+0.000533818647861478j</v>
      </c>
      <c r="AU237" s="86" t="str">
        <f t="shared" si="137"/>
        <v>16.9069902244136-5.99483641738445j</v>
      </c>
      <c r="AW237" s="86" t="str">
        <f t="shared" si="151"/>
        <v>2.2496623171829-7.27557893221135j</v>
      </c>
      <c r="AX237" s="86">
        <f t="shared" si="138"/>
        <v>17.633907724830284</v>
      </c>
      <c r="AY237" s="86">
        <f t="shared" si="139"/>
        <v>107.18199200856063</v>
      </c>
      <c r="AZ237" s="86" t="str">
        <f t="shared" si="140"/>
        <v>-0.062758335816311+0.122928442209726j</v>
      </c>
      <c r="BA237" s="86">
        <f t="shared" si="141"/>
        <v>-17.201047779110251</v>
      </c>
      <c r="BB237" s="86">
        <f t="shared" si="142"/>
        <v>-62.954443857500692</v>
      </c>
      <c r="BD237" s="86" t="str">
        <f t="shared" si="143"/>
        <v>-0.120576245990595+0.0949558775947935j</v>
      </c>
      <c r="BE237" s="86">
        <f t="shared" si="144"/>
        <v>-16.279122860114956</v>
      </c>
      <c r="BF237" s="86">
        <f t="shared" si="145"/>
        <v>-38.221043239513904</v>
      </c>
      <c r="BH237" s="86">
        <f t="shared" si="152"/>
        <v>17.279122860114956</v>
      </c>
      <c r="BI237" s="157">
        <f t="shared" si="153"/>
        <v>38.221043239513904</v>
      </c>
      <c r="BJ237" s="88"/>
      <c r="BK237" s="88"/>
      <c r="BL237" s="88"/>
      <c r="BM237" s="88"/>
      <c r="BN237" s="42"/>
      <c r="BO237" s="42"/>
      <c r="BP237" s="42"/>
    </row>
    <row r="238" spans="1:68" s="86" customFormat="1">
      <c r="A238" s="86">
        <v>174</v>
      </c>
      <c r="B238" s="86">
        <f t="shared" si="103"/>
        <v>301995.17204020178</v>
      </c>
      <c r="C238" s="86" t="str">
        <f t="shared" si="104"/>
        <v>1897491.62780217j</v>
      </c>
      <c r="D238" s="86">
        <f t="shared" si="105"/>
        <v>0.90879891606440866</v>
      </c>
      <c r="E238" s="86" t="str">
        <f t="shared" si="106"/>
        <v>-0.474372906950543j</v>
      </c>
      <c r="F238" s="86" t="str">
        <f t="shared" si="107"/>
        <v>0.908798916064409-0.474372906950543j</v>
      </c>
      <c r="G238" s="86">
        <f t="shared" si="108"/>
        <v>0.21580039846376672</v>
      </c>
      <c r="H238" s="86">
        <f t="shared" si="109"/>
        <v>-27.563561715248973</v>
      </c>
      <c r="J238" s="86">
        <f t="shared" si="110"/>
        <v>4.8</v>
      </c>
      <c r="K238" s="86" t="str">
        <f t="shared" si="111"/>
        <v>1+77.5789452026917j</v>
      </c>
      <c r="L238" s="86">
        <f t="shared" si="112"/>
        <v>-587.82159606332357</v>
      </c>
      <c r="M238" s="86" t="str">
        <f t="shared" si="113"/>
        <v>10.847959636145j</v>
      </c>
      <c r="N238" s="86" t="str">
        <f t="shared" si="114"/>
        <v>-587.821596063324+10.847959636145j</v>
      </c>
      <c r="O238" s="86" t="str">
        <f t="shared" si="115"/>
        <v>0.000734124895456105-0.131963476614257j</v>
      </c>
      <c r="P238" s="86" t="str">
        <f t="shared" si="116"/>
        <v>0.0035237994981893-0.633424687748434j</v>
      </c>
      <c r="R238" s="86">
        <f t="shared" si="117"/>
        <v>11.52</v>
      </c>
      <c r="S238" s="86" t="str">
        <f t="shared" si="118"/>
        <v>1+0.161286788363184j</v>
      </c>
      <c r="T238" s="86" t="str">
        <f t="shared" si="119"/>
        <v>-587.821596063324+10.847959636145j</v>
      </c>
      <c r="U238" s="86" t="str">
        <f t="shared" si="120"/>
        <v>-0.00169555541739871-0.00030567115311057j</v>
      </c>
      <c r="V238" s="86" t="str">
        <f t="shared" si="121"/>
        <v>-0.0195327984084331-0.00352133168383377j</v>
      </c>
      <c r="X238" s="86" t="str">
        <f t="shared" si="122"/>
        <v>-0.183381996598733-0.356137192262257j</v>
      </c>
      <c r="Y238" s="86">
        <f t="shared" si="123"/>
        <v>-7.946260225191196</v>
      </c>
      <c r="Z238" s="86">
        <f t="shared" si="124"/>
        <v>62.755176660840178</v>
      </c>
      <c r="AB238" s="86" t="str">
        <f t="shared" si="125"/>
        <v>-0.0162827595935588-0.00293542154370938j</v>
      </c>
      <c r="AC238" s="86">
        <f t="shared" si="126"/>
        <v>-35.626538686047219</v>
      </c>
      <c r="AD238" s="86">
        <f t="shared" si="127"/>
        <v>10.219395220406284</v>
      </c>
      <c r="AF238" s="86" t="str">
        <f t="shared" si="128"/>
        <v>-0.0154358101010381-0.0103263552582282j</v>
      </c>
      <c r="AG238" s="86">
        <f t="shared" si="129"/>
        <v>-34.623095174387203</v>
      </c>
      <c r="AH238" s="86">
        <f t="shared" si="130"/>
        <v>33.782005393475771</v>
      </c>
      <c r="AJ238" s="86" t="str">
        <f t="shared" si="131"/>
        <v>15.0498772657721-0.0429783092474354j</v>
      </c>
      <c r="AK238" s="86" t="str">
        <f t="shared" si="132"/>
        <v>30.1-1.71914638970504E-09j</v>
      </c>
      <c r="AL238" s="86" t="str">
        <f t="shared" si="146"/>
        <v>10000-11711.3677323371j</v>
      </c>
      <c r="AM238" s="86" t="str">
        <f t="shared" si="147"/>
        <v>715.144371430702-4055.69426579899j</v>
      </c>
      <c r="AN238" s="86" t="str">
        <f t="shared" si="148"/>
        <v>10715.1443714307-4055.69426579899j</v>
      </c>
      <c r="AO238" s="86" t="str">
        <f t="shared" si="149"/>
        <v>30.0261968187976-0.0278563378200983j</v>
      </c>
      <c r="AP238" s="86" t="str">
        <f t="shared" si="150"/>
        <v>0.666667874834825+0.000634603220475553j</v>
      </c>
      <c r="AQ238" s="86" t="str">
        <f t="shared" si="133"/>
        <v>1+106.016652228563j</v>
      </c>
      <c r="AR238" s="86">
        <f t="shared" si="134"/>
        <v>-2.010657100113123E-4</v>
      </c>
      <c r="AS238" s="86" t="str">
        <f t="shared" si="135"/>
        <v>0.000558976745657683j</v>
      </c>
      <c r="AT238" s="86" t="str">
        <f t="shared" si="136"/>
        <v>-0.000201065710011312+0.000558976745657683j</v>
      </c>
      <c r="AU238" s="86" t="str">
        <f t="shared" si="137"/>
        <v>16.7363897627679-6.19903084984327j</v>
      </c>
      <c r="AW238" s="86" t="str">
        <f t="shared" si="151"/>
        <v>1.90126053754447-7.11841711593867j</v>
      </c>
      <c r="AX238" s="86">
        <f t="shared" si="138"/>
        <v>17.346930733484395</v>
      </c>
      <c r="AY238" s="86">
        <f t="shared" si="139"/>
        <v>104.9540785572546</v>
      </c>
      <c r="AZ238" s="86" t="str">
        <f t="shared" si="140"/>
        <v>-0.0518533232167929+0.110326473443391j</v>
      </c>
      <c r="BA238" s="86">
        <f t="shared" si="141"/>
        <v>-18.279607952562831</v>
      </c>
      <c r="BB238" s="86">
        <f t="shared" si="142"/>
        <v>-64.82652622233914</v>
      </c>
      <c r="BD238" s="86" t="str">
        <f t="shared" si="143"/>
        <v>-0.102854800625569+0.0902454430724744j</v>
      </c>
      <c r="BE238" s="86">
        <f t="shared" si="144"/>
        <v>-17.276164440902814</v>
      </c>
      <c r="BF238" s="86">
        <f t="shared" si="145"/>
        <v>-41.26391604926954</v>
      </c>
      <c r="BH238" s="86">
        <f t="shared" si="152"/>
        <v>18.276164440902814</v>
      </c>
      <c r="BI238" s="157">
        <f t="shared" si="153"/>
        <v>41.26391604926954</v>
      </c>
      <c r="BJ238" s="88"/>
      <c r="BK238" s="88"/>
      <c r="BL238" s="88"/>
      <c r="BM238" s="88"/>
      <c r="BN238" s="42"/>
      <c r="BO238" s="42"/>
      <c r="BP238" s="42"/>
    </row>
    <row r="239" spans="1:68" s="86" customFormat="1">
      <c r="A239" s="86">
        <v>175</v>
      </c>
      <c r="B239" s="86">
        <f t="shared" si="103"/>
        <v>316227.76601683802</v>
      </c>
      <c r="C239" s="86" t="str">
        <f t="shared" si="104"/>
        <v>1986917.65315922j</v>
      </c>
      <c r="D239" s="86">
        <f t="shared" si="105"/>
        <v>0.9</v>
      </c>
      <c r="E239" s="86" t="str">
        <f t="shared" si="106"/>
        <v>-0.496729413289805j</v>
      </c>
      <c r="F239" s="86" t="str">
        <f t="shared" si="107"/>
        <v>0.9-0.496729413289805j</v>
      </c>
      <c r="G239" s="86">
        <f t="shared" si="108"/>
        <v>0.23968191981825424</v>
      </c>
      <c r="H239" s="86">
        <f t="shared" si="109"/>
        <v>-28.895253265077685</v>
      </c>
      <c r="J239" s="86">
        <f t="shared" si="110"/>
        <v>4.8</v>
      </c>
      <c r="K239" s="86" t="str">
        <f t="shared" si="111"/>
        <v>1+81.2351282494147j</v>
      </c>
      <c r="L239" s="86">
        <f t="shared" si="112"/>
        <v>-644.63004150166091</v>
      </c>
      <c r="M239" s="86" t="str">
        <f t="shared" si="113"/>
        <v>11.3592082231113j</v>
      </c>
      <c r="N239" s="86" t="str">
        <f t="shared" si="114"/>
        <v>-644.630041501661+11.3592082231113j</v>
      </c>
      <c r="O239" s="86" t="str">
        <f t="shared" si="115"/>
        <v>0.000669117481827922-0.126006425973251j</v>
      </c>
      <c r="P239" s="86" t="str">
        <f t="shared" si="116"/>
        <v>0.00321176391277403-0.604830844671605j</v>
      </c>
      <c r="R239" s="86">
        <f t="shared" si="117"/>
        <v>11.52</v>
      </c>
      <c r="S239" s="86" t="str">
        <f t="shared" si="118"/>
        <v>1+0.168888000518534j</v>
      </c>
      <c r="T239" s="86" t="str">
        <f t="shared" si="119"/>
        <v>-644.630041501661+11.3592082231113j</v>
      </c>
      <c r="U239" s="86" t="str">
        <f t="shared" si="120"/>
        <v>-0.00154618063571431-0.000289237820620054j</v>
      </c>
      <c r="V239" s="86" t="str">
        <f t="shared" si="121"/>
        <v>-0.0178120009234289-0.00333201969354302j</v>
      </c>
      <c r="X239" s="86" t="str">
        <f t="shared" si="122"/>
        <v>-0.18354830400795-0.336777194046567j</v>
      </c>
      <c r="Y239" s="86">
        <f t="shared" si="123"/>
        <v>-8.3236117492865453</v>
      </c>
      <c r="Z239" s="86">
        <f t="shared" si="124"/>
        <v>61.408995086292634</v>
      </c>
      <c r="AB239" s="86" t="str">
        <f t="shared" si="125"/>
        <v>-0.014848283530701-0.00277760894760172j</v>
      </c>
      <c r="AC239" s="86">
        <f t="shared" si="126"/>
        <v>-36.417097954864971</v>
      </c>
      <c r="AD239" s="86">
        <f t="shared" si="127"/>
        <v>10.595631317603022</v>
      </c>
      <c r="AF239" s="86" t="str">
        <f t="shared" si="128"/>
        <v>-0.0143426861810391-0.00931824698520392j</v>
      </c>
      <c r="AG239" s="86">
        <f t="shared" si="129"/>
        <v>-35.338112189510895</v>
      </c>
      <c r="AH239" s="86">
        <f t="shared" si="130"/>
        <v>33.011231217751998</v>
      </c>
      <c r="AJ239" s="86" t="str">
        <f t="shared" si="131"/>
        <v>15.0498654247011-0.0450037791514639j</v>
      </c>
      <c r="AK239" s="86" t="str">
        <f t="shared" si="132"/>
        <v>30.1-1.80016726293878E-09j</v>
      </c>
      <c r="AL239" s="86" t="str">
        <f t="shared" si="146"/>
        <v>10000-11184.2693565527j</v>
      </c>
      <c r="AM239" s="86" t="str">
        <f t="shared" si="147"/>
        <v>697.809543264853-3901.27017618887j</v>
      </c>
      <c r="AN239" s="86" t="str">
        <f t="shared" si="148"/>
        <v>10697.8095432649-3901.27017618887j</v>
      </c>
      <c r="AO239" s="86" t="str">
        <f t="shared" si="149"/>
        <v>30.0254105895696-0.0271248988819169j</v>
      </c>
      <c r="AP239" s="86" t="str">
        <f t="shared" si="150"/>
        <v>0.666667991396246+0.000664510916475051j</v>
      </c>
      <c r="AQ239" s="86" t="str">
        <f t="shared" si="133"/>
        <v>1+111.013063117312j</v>
      </c>
      <c r="AR239" s="86">
        <f t="shared" si="134"/>
        <v>-2.2047381483906566E-4</v>
      </c>
      <c r="AS239" s="86" t="str">
        <f t="shared" si="135"/>
        <v>0.000585320508074746j</v>
      </c>
      <c r="AT239" s="86" t="str">
        <f t="shared" si="136"/>
        <v>-0.000220473814839066+0.000585320508074746j</v>
      </c>
      <c r="AU239" s="86" t="str">
        <f t="shared" si="137"/>
        <v>16.5532443693465-6.40598933805731j</v>
      </c>
      <c r="AW239" s="86" t="str">
        <f t="shared" si="151"/>
        <v>1.56520150346145-6.9439734843939j</v>
      </c>
      <c r="AX239" s="86">
        <f t="shared" si="138"/>
        <v>17.047391060832933</v>
      </c>
      <c r="AY239" s="86">
        <f t="shared" si="139"/>
        <v>102.70243022607768</v>
      </c>
      <c r="AZ239" s="86" t="str">
        <f t="shared" si="140"/>
        <v>-0.0425281985882366+0.0987585694251361j</v>
      </c>
      <c r="BA239" s="86">
        <f t="shared" si="141"/>
        <v>-19.369706894032049</v>
      </c>
      <c r="BB239" s="86">
        <f t="shared" si="142"/>
        <v>-66.701938456319297</v>
      </c>
      <c r="BD239" s="86" t="str">
        <f t="shared" si="143"/>
        <v>-0.0871548539605275+0.0850102983452522j</v>
      </c>
      <c r="BE239" s="86">
        <f t="shared" si="144"/>
        <v>-18.290721128677962</v>
      </c>
      <c r="BF239" s="86">
        <f t="shared" si="145"/>
        <v>-44.286338556170421</v>
      </c>
      <c r="BH239" s="86">
        <f t="shared" si="152"/>
        <v>19.290721128677962</v>
      </c>
      <c r="BI239" s="157">
        <f t="shared" si="153"/>
        <v>44.286338556170421</v>
      </c>
      <c r="BJ239" s="88"/>
      <c r="BK239" s="88"/>
      <c r="BL239" s="88"/>
      <c r="BM239" s="88"/>
      <c r="BN239" s="42"/>
      <c r="BO239" s="42"/>
      <c r="BP239" s="42"/>
    </row>
    <row r="240" spans="1:68" s="86" customFormat="1">
      <c r="A240" s="86">
        <v>176</v>
      </c>
      <c r="B240" s="86">
        <f t="shared" si="103"/>
        <v>331131.12148259114</v>
      </c>
      <c r="C240" s="86" t="str">
        <f t="shared" si="104"/>
        <v>2080558.19724932j</v>
      </c>
      <c r="D240" s="86">
        <f t="shared" si="105"/>
        <v>0.89035218038568098</v>
      </c>
      <c r="E240" s="86" t="str">
        <f t="shared" si="106"/>
        <v>-0.52013954931233j</v>
      </c>
      <c r="F240" s="86" t="str">
        <f t="shared" si="107"/>
        <v>0.890352180385681-0.52013954931233j</v>
      </c>
      <c r="G240" s="86">
        <f t="shared" si="108"/>
        <v>0.26644441068259594</v>
      </c>
      <c r="H240" s="86">
        <f t="shared" si="109"/>
        <v>-30.29327123935742</v>
      </c>
      <c r="J240" s="86">
        <f t="shared" si="110"/>
        <v>4.8</v>
      </c>
      <c r="K240" s="86" t="str">
        <f t="shared" si="111"/>
        <v>1+85.0636218945385j</v>
      </c>
      <c r="L240" s="86">
        <f t="shared" si="112"/>
        <v>-706.91926328159468</v>
      </c>
      <c r="M240" s="86" t="str">
        <f t="shared" si="113"/>
        <v>11.8945512136744j</v>
      </c>
      <c r="N240" s="86" t="str">
        <f t="shared" si="114"/>
        <v>-706.919263281595+11.8945512136744j</v>
      </c>
      <c r="O240" s="86" t="str">
        <f t="shared" si="115"/>
        <v>0.000609899546000445-0.120319776007111j</v>
      </c>
      <c r="P240" s="86" t="str">
        <f t="shared" si="116"/>
        <v>0.00292751782080214-0.577534924834133j</v>
      </c>
      <c r="R240" s="86">
        <f t="shared" si="117"/>
        <v>11.52</v>
      </c>
      <c r="S240" s="86" t="str">
        <f t="shared" si="118"/>
        <v>1+0.176847446766192j</v>
      </c>
      <c r="T240" s="86" t="str">
        <f t="shared" si="119"/>
        <v>-706.919263281595+11.8945512136744j</v>
      </c>
      <c r="U240" s="86" t="str">
        <f t="shared" si="120"/>
        <v>-0.00140998024273609-0.00027389058274475j</v>
      </c>
      <c r="V240" s="86" t="str">
        <f t="shared" si="121"/>
        <v>-0.0162429723963198-0.00315521951321952j</v>
      </c>
      <c r="X240" s="86" t="str">
        <f t="shared" si="122"/>
        <v>-0.183699777337413-0.318140902015173j</v>
      </c>
      <c r="Y240" s="86">
        <f t="shared" si="123"/>
        <v>-8.6979737050417398</v>
      </c>
      <c r="Z240" s="86">
        <f t="shared" si="124"/>
        <v>59.997157913522486</v>
      </c>
      <c r="AB240" s="86" t="str">
        <f t="shared" si="125"/>
        <v>-0.0135403237715237-0.00263022633646175j</v>
      </c>
      <c r="AC240" s="86">
        <f t="shared" si="126"/>
        <v>-37.206560264737483</v>
      </c>
      <c r="AD240" s="86">
        <f t="shared" si="127"/>
        <v>10.992880696613014</v>
      </c>
      <c r="AF240" s="86" t="str">
        <f t="shared" si="128"/>
        <v>-0.0133099573919042-0.00840948954358322j</v>
      </c>
      <c r="AG240" s="86">
        <f t="shared" si="129"/>
        <v>-36.057681835875464</v>
      </c>
      <c r="AH240" s="86">
        <f t="shared" si="130"/>
        <v>32.285492467625204</v>
      </c>
      <c r="AJ240" s="86" t="str">
        <f t="shared" si="131"/>
        <v>15.0498524412463-0.0471247012653617j</v>
      </c>
      <c r="AK240" s="86" t="str">
        <f t="shared" si="132"/>
        <v>30.1-1.88500653228986E-09j</v>
      </c>
      <c r="AL240" s="86" t="str">
        <f t="shared" si="146"/>
        <v>10000-10680.8943155745j</v>
      </c>
      <c r="AM240" s="86" t="str">
        <f t="shared" si="147"/>
        <v>679.743182568705-3753.66400326998j</v>
      </c>
      <c r="AN240" s="86" t="str">
        <f t="shared" si="148"/>
        <v>10679.7431825687-3753.66400326998j</v>
      </c>
      <c r="AO240" s="86" t="str">
        <f t="shared" si="149"/>
        <v>30.0246589821534-0.0264060716776394j</v>
      </c>
      <c r="AP240" s="86" t="str">
        <f t="shared" si="150"/>
        <v>0.666668119203209+0.000695828084336299j</v>
      </c>
      <c r="AQ240" s="86" t="str">
        <f t="shared" si="133"/>
        <v>1+116.244947596714j</v>
      </c>
      <c r="AR240" s="86">
        <f t="shared" si="134"/>
        <v>-2.4175437861116093E-4</v>
      </c>
      <c r="AS240" s="86" t="str">
        <f t="shared" si="135"/>
        <v>0.000612905813764725j</v>
      </c>
      <c r="AT240" s="86" t="str">
        <f t="shared" si="136"/>
        <v>-0.000241754378611161+0.000612905813764725j</v>
      </c>
      <c r="AU240" s="86" t="str">
        <f t="shared" si="137"/>
        <v>16.3569822224178-6.61500018776258j</v>
      </c>
      <c r="AW240" s="86" t="str">
        <f t="shared" si="151"/>
        <v>1.24300939082962-6.75345535937006j</v>
      </c>
      <c r="AX240" s="86">
        <f t="shared" si="138"/>
        <v>16.735206725558957</v>
      </c>
      <c r="AY240" s="86">
        <f t="shared" si="139"/>
        <v>100.42887433144536</v>
      </c>
      <c r="AZ240" s="86" t="str">
        <f t="shared" si="140"/>
        <v>-0.0345938657512114+0.088174576106173j</v>
      </c>
      <c r="BA240" s="86">
        <f t="shared" si="141"/>
        <v>-20.471353539178544</v>
      </c>
      <c r="BB240" s="86">
        <f t="shared" si="142"/>
        <v>-68.578244971941572</v>
      </c>
      <c r="BD240" s="86" t="str">
        <f t="shared" si="143"/>
        <v>-0.0733375142573576+0.0794351286065851j</v>
      </c>
      <c r="BE240" s="86">
        <f t="shared" si="144"/>
        <v>-19.322475110316507</v>
      </c>
      <c r="BF240" s="86">
        <f t="shared" si="145"/>
        <v>-47.285633200929425</v>
      </c>
      <c r="BH240" s="86">
        <f t="shared" si="152"/>
        <v>20.322475110316507</v>
      </c>
      <c r="BI240" s="157">
        <f t="shared" si="153"/>
        <v>47.285633200929425</v>
      </c>
      <c r="BJ240" s="88"/>
      <c r="BK240" s="88"/>
      <c r="BL240" s="88"/>
      <c r="BM240" s="88"/>
      <c r="BN240" s="42"/>
      <c r="BO240" s="42"/>
      <c r="BP240" s="42"/>
    </row>
    <row r="241" spans="1:68" s="86" customFormat="1">
      <c r="A241" s="86">
        <v>177</v>
      </c>
      <c r="B241" s="86">
        <f t="shared" si="103"/>
        <v>346736.85045253224</v>
      </c>
      <c r="C241" s="86" t="str">
        <f t="shared" si="104"/>
        <v>2178611.88422108j</v>
      </c>
      <c r="D241" s="86">
        <f t="shared" si="105"/>
        <v>0.87977355653825773</v>
      </c>
      <c r="E241" s="86" t="str">
        <f t="shared" si="106"/>
        <v>-0.54465297105527j</v>
      </c>
      <c r="F241" s="86" t="str">
        <f t="shared" si="107"/>
        <v>0.879773556538258-0.54465297105527j</v>
      </c>
      <c r="G241" s="86">
        <f t="shared" si="108"/>
        <v>0.29646860010741805</v>
      </c>
      <c r="H241" s="86">
        <f t="shared" si="109"/>
        <v>-31.760951184690445</v>
      </c>
      <c r="J241" s="86">
        <f t="shared" si="110"/>
        <v>4.8</v>
      </c>
      <c r="K241" s="86" t="str">
        <f t="shared" si="111"/>
        <v>1+89.0725468863789j</v>
      </c>
      <c r="L241" s="86">
        <f t="shared" si="112"/>
        <v>-775.21803681801816</v>
      </c>
      <c r="M241" s="86" t="str">
        <f t="shared" si="113"/>
        <v>12.4551241420919j</v>
      </c>
      <c r="N241" s="86" t="str">
        <f t="shared" si="114"/>
        <v>-775.218036818018+12.4551241420919j</v>
      </c>
      <c r="O241" s="86" t="str">
        <f t="shared" si="115"/>
        <v>0.000555949942280163-0.114891060618781j</v>
      </c>
      <c r="P241" s="86" t="str">
        <f t="shared" si="116"/>
        <v>0.00266855972294478-0.551477090970149j</v>
      </c>
      <c r="R241" s="86">
        <f t="shared" si="117"/>
        <v>11.52</v>
      </c>
      <c r="S241" s="86" t="str">
        <f t="shared" si="118"/>
        <v>1+0.185182010158792j</v>
      </c>
      <c r="T241" s="86" t="str">
        <f t="shared" si="119"/>
        <v>-775.218036818018+12.4551241420919j</v>
      </c>
      <c r="U241" s="86" t="str">
        <f t="shared" si="120"/>
        <v>-0.00128578980942858-0.00025953560456578j</v>
      </c>
      <c r="V241" s="86" t="str">
        <f t="shared" si="121"/>
        <v>-0.0148122986046172-0.00298985016459779j</v>
      </c>
      <c r="X241" s="86" t="str">
        <f t="shared" si="122"/>
        <v>-0.183837755720877-0.300187576261882j</v>
      </c>
      <c r="Y241" s="86">
        <f t="shared" si="123"/>
        <v>-9.0689749364639169</v>
      </c>
      <c r="Z241" s="86">
        <f t="shared" si="124"/>
        <v>58.516296988711304</v>
      </c>
      <c r="AB241" s="86" t="str">
        <f t="shared" si="125"/>
        <v>-0.012347698069871-0.00249237259469639j</v>
      </c>
      <c r="AC241" s="86">
        <f t="shared" si="126"/>
        <v>-37.994844623160994</v>
      </c>
      <c r="AD241" s="86">
        <f t="shared" si="127"/>
        <v>11.411770748602351</v>
      </c>
      <c r="AF241" s="86" t="str">
        <f t="shared" si="128"/>
        <v>-0.0123368602924593-0.00759131511902219j</v>
      </c>
      <c r="AG241" s="86">
        <f t="shared" si="129"/>
        <v>-36.781403111448576</v>
      </c>
      <c r="AH241" s="86">
        <f t="shared" si="130"/>
        <v>31.605484727188895</v>
      </c>
      <c r="AJ241" s="86" t="str">
        <f t="shared" si="131"/>
        <v>15.049838205197-0.049345573336017j</v>
      </c>
      <c r="AK241" s="86" t="str">
        <f t="shared" si="132"/>
        <v>30.1-1.97384415322314E-09j</v>
      </c>
      <c r="AL241" s="86" t="str">
        <f t="shared" si="146"/>
        <v>10000-10200.1748834521j</v>
      </c>
      <c r="AM241" s="86" t="str">
        <f t="shared" si="147"/>
        <v>660.979345178739-3612.47348485341j</v>
      </c>
      <c r="AN241" s="86" t="str">
        <f t="shared" si="148"/>
        <v>10660.9793451787-3612.47348485341j</v>
      </c>
      <c r="AO241" s="86" t="str">
        <f t="shared" si="149"/>
        <v>30.0239396149255-0.0257005056685272j</v>
      </c>
      <c r="AP241" s="86" t="str">
        <f t="shared" si="150"/>
        <v>0.666668259340644+0.000728621145321337j</v>
      </c>
      <c r="AQ241" s="86" t="str">
        <f t="shared" si="133"/>
        <v>1+121.7234031952j</v>
      </c>
      <c r="AR241" s="86">
        <f t="shared" si="134"/>
        <v>-2.6508805278889757E-4</v>
      </c>
      <c r="AS241" s="86" t="str">
        <f t="shared" si="135"/>
        <v>0.000641791174859412j</v>
      </c>
      <c r="AT241" s="86" t="str">
        <f t="shared" si="136"/>
        <v>-0.000265088052788898+0.000641791174859412j</v>
      </c>
      <c r="AU241" s="86" t="str">
        <f t="shared" si="137"/>
        <v>16.1470658443633-6.82526406489767j</v>
      </c>
      <c r="AW241" s="86" t="str">
        <f t="shared" si="151"/>
        <v>0.936050880934587-6.5482174932299j</v>
      </c>
      <c r="AX241" s="86">
        <f t="shared" si="138"/>
        <v>16.4103109850316</v>
      </c>
      <c r="AY241" s="86">
        <f t="shared" si="139"/>
        <v>98.135172065449211</v>
      </c>
      <c r="AZ241" s="86" t="str">
        <f t="shared" si="140"/>
        <v>-0.0278786714800547+0.0785224249393673j</v>
      </c>
      <c r="BA241" s="86">
        <f t="shared" si="141"/>
        <v>-21.584533638129418</v>
      </c>
      <c r="BB241" s="86">
        <f t="shared" si="142"/>
        <v>-70.45305718594841</v>
      </c>
      <c r="BD241" s="86" t="str">
        <f t="shared" si="143"/>
        <v>-0.061257511403725+0.073678587174002j</v>
      </c>
      <c r="BE241" s="86">
        <f t="shared" si="144"/>
        <v>-20.371092126417022</v>
      </c>
      <c r="BF241" s="86">
        <f t="shared" si="145"/>
        <v>-50.259343207361752</v>
      </c>
      <c r="BH241" s="86">
        <f t="shared" si="152"/>
        <v>21.371092126417022</v>
      </c>
      <c r="BI241" s="157">
        <f t="shared" si="153"/>
        <v>50.259343207361752</v>
      </c>
      <c r="BJ241" s="88"/>
      <c r="BK241" s="88"/>
      <c r="BL241" s="88"/>
      <c r="BM241" s="88"/>
      <c r="BN241" s="42"/>
      <c r="BO241" s="42"/>
      <c r="BP241" s="42"/>
    </row>
    <row r="242" spans="1:68" s="86" customFormat="1">
      <c r="A242" s="86">
        <v>178</v>
      </c>
      <c r="B242" s="86">
        <f t="shared" si="103"/>
        <v>363078.05477010191</v>
      </c>
      <c r="C242" s="86" t="str">
        <f t="shared" si="104"/>
        <v>2281286.69909085j</v>
      </c>
      <c r="D242" s="86">
        <f t="shared" si="105"/>
        <v>0.86817432614435874</v>
      </c>
      <c r="E242" s="86" t="str">
        <f t="shared" si="106"/>
        <v>-0.570321674772713j</v>
      </c>
      <c r="F242" s="86" t="str">
        <f t="shared" si="107"/>
        <v>0.868174326144359-0.570321674772713j</v>
      </c>
      <c r="G242" s="86">
        <f t="shared" si="108"/>
        <v>0.33018817693156532</v>
      </c>
      <c r="H242" s="86">
        <f t="shared" si="109"/>
        <v>-33.301739650875234</v>
      </c>
      <c r="J242" s="86">
        <f t="shared" si="110"/>
        <v>4.8</v>
      </c>
      <c r="K242" s="86" t="str">
        <f t="shared" si="111"/>
        <v>1+93.2704066923294j</v>
      </c>
      <c r="L242" s="86">
        <f t="shared" si="112"/>
        <v>-850.10615282402159</v>
      </c>
      <c r="M242" s="86" t="str">
        <f t="shared" si="113"/>
        <v>13.0421160587024j</v>
      </c>
      <c r="N242" s="86" t="str">
        <f t="shared" si="114"/>
        <v>-850.106152824022+13.0421160587024j</v>
      </c>
      <c r="O242" s="86" t="str">
        <f t="shared" si="115"/>
        <v>0.000506795363229741-0.10970841311825j</v>
      </c>
      <c r="P242" s="86" t="str">
        <f t="shared" si="116"/>
        <v>0.00243261774350276-0.5266003829676j</v>
      </c>
      <c r="R242" s="86">
        <f t="shared" si="117"/>
        <v>11.52</v>
      </c>
      <c r="S242" s="86" t="str">
        <f t="shared" si="118"/>
        <v>1+0.193909369422722j</v>
      </c>
      <c r="T242" s="86" t="str">
        <f t="shared" si="119"/>
        <v>-850.106152824022+13.0421160587024j</v>
      </c>
      <c r="U242" s="86" t="str">
        <f t="shared" si="120"/>
        <v>-0.00117254824442035-0.000246089125476764j</v>
      </c>
      <c r="V242" s="86" t="str">
        <f t="shared" si="121"/>
        <v>-0.0135077557757224-0.00283494672549232j</v>
      </c>
      <c r="X242" s="86" t="str">
        <f t="shared" si="122"/>
        <v>-0.183963454734122-0.282878082168475j</v>
      </c>
      <c r="Y242" s="86">
        <f t="shared" si="123"/>
        <v>-9.436190482494256</v>
      </c>
      <c r="Z242" s="86">
        <f t="shared" si="124"/>
        <v>56.96293493532967</v>
      </c>
      <c r="AB242" s="86" t="str">
        <f t="shared" si="125"/>
        <v>-0.0112602165519527-0.00236324335236105j</v>
      </c>
      <c r="AC242" s="86">
        <f t="shared" si="126"/>
        <v>-38.781861663834469</v>
      </c>
      <c r="AD242" s="86">
        <f t="shared" si="127"/>
        <v>11.85294581364127</v>
      </c>
      <c r="AF242" s="86" t="str">
        <f t="shared" si="128"/>
        <v>-0.0114222164302103-0.0068554993801527j</v>
      </c>
      <c r="AG242" s="86">
        <f t="shared" si="129"/>
        <v>-37.508875314775466</v>
      </c>
      <c r="AH242" s="86">
        <f t="shared" si="130"/>
        <v>30.971757840456576</v>
      </c>
      <c r="AJ242" s="86" t="str">
        <f t="shared" si="131"/>
        <v>15.0498225957102-0.0516711049674624j</v>
      </c>
      <c r="AK242" s="86" t="str">
        <f t="shared" si="132"/>
        <v>30.1-2.0668685622433E-09j</v>
      </c>
      <c r="AL242" s="86" t="str">
        <f t="shared" si="146"/>
        <v>10000-9741.09138981891j</v>
      </c>
      <c r="AM242" s="86" t="str">
        <f t="shared" si="147"/>
        <v>641.560889813221-3477.3131527469j</v>
      </c>
      <c r="AN242" s="86" t="str">
        <f t="shared" si="148"/>
        <v>10641.5608898132-3477.3131527469j</v>
      </c>
      <c r="AO242" s="86" t="str">
        <f t="shared" si="149"/>
        <v>30.0232502427254-0.0250085685001572j</v>
      </c>
      <c r="AP242" s="86" t="str">
        <f t="shared" si="150"/>
        <v>0.666668412998153+0.00076295965027423j</v>
      </c>
      <c r="AQ242" s="86" t="str">
        <f t="shared" si="133"/>
        <v>1+127.460050451604j</v>
      </c>
      <c r="AR242" s="86">
        <f t="shared" si="134"/>
        <v>-2.9067291776069303E-4</v>
      </c>
      <c r="AS242" s="86" t="str">
        <f t="shared" si="135"/>
        <v>0.000672037861082416j</v>
      </c>
      <c r="AT242" s="86" t="str">
        <f t="shared" si="136"/>
        <v>-0.000290672917760693+0.000672037861082416j</v>
      </c>
      <c r="AU242" s="86" t="str">
        <f t="shared" si="137"/>
        <v>15.9230041785124-7.03589240711548j</v>
      </c>
      <c r="AW242" s="86" t="str">
        <f t="shared" si="151"/>
        <v>0.645520270900345-6.32973810725377j</v>
      </c>
      <c r="AX242" s="86">
        <f t="shared" si="138"/>
        <v>16.072649743335418</v>
      </c>
      <c r="AY242" s="86">
        <f t="shared" si="139"/>
        <v>95.823015044892628</v>
      </c>
      <c r="AZ242" s="86" t="str">
        <f t="shared" si="140"/>
        <v>-0.0222274095431669+0.0697487003158048j</v>
      </c>
      <c r="BA242" s="86">
        <f t="shared" si="141"/>
        <v>-22.709211920499097</v>
      </c>
      <c r="BB242" s="86">
        <f t="shared" si="142"/>
        <v>-72.324039141466059</v>
      </c>
      <c r="BD242" s="86" t="str">
        <f t="shared" si="143"/>
        <v>-0.0507667879151187+0.0678742747905684j</v>
      </c>
      <c r="BE242" s="86">
        <f t="shared" si="144"/>
        <v>-21.436225571440104</v>
      </c>
      <c r="BF242" s="86">
        <f t="shared" si="145"/>
        <v>-53.205227114650683</v>
      </c>
      <c r="BH242" s="86">
        <f t="shared" si="152"/>
        <v>22.436225571440104</v>
      </c>
      <c r="BI242" s="157">
        <f t="shared" si="153"/>
        <v>53.205227114650683</v>
      </c>
      <c r="BJ242" s="88"/>
      <c r="BK242" s="88"/>
      <c r="BL242" s="88"/>
      <c r="BM242" s="88"/>
      <c r="BN242" s="42"/>
      <c r="BO242" s="42"/>
      <c r="BP242" s="42"/>
    </row>
    <row r="243" spans="1:68" s="86" customFormat="1">
      <c r="A243" s="86">
        <v>179</v>
      </c>
      <c r="B243" s="86">
        <f t="shared" si="103"/>
        <v>380189.3963205617</v>
      </c>
      <c r="C243" s="86" t="str">
        <f t="shared" si="104"/>
        <v>2388800.42890683j</v>
      </c>
      <c r="D243" s="86">
        <f t="shared" si="105"/>
        <v>0.85545602292540668</v>
      </c>
      <c r="E243" s="86" t="str">
        <f t="shared" si="106"/>
        <v>-0.597200107226707j</v>
      </c>
      <c r="F243" s="86" t="str">
        <f t="shared" si="107"/>
        <v>0.855456022925407-0.597200107226707j</v>
      </c>
      <c r="G243" s="86">
        <f t="shared" si="108"/>
        <v>0.36809670824178919</v>
      </c>
      <c r="H243" s="86">
        <f t="shared" si="109"/>
        <v>-34.919175018912895</v>
      </c>
      <c r="J243" s="86">
        <f t="shared" si="110"/>
        <v>4.8</v>
      </c>
      <c r="K243" s="86" t="str">
        <f t="shared" si="111"/>
        <v>1+97.6661055358557j</v>
      </c>
      <c r="L243" s="86">
        <f t="shared" si="112"/>
        <v>-932.21933917484853</v>
      </c>
      <c r="M243" s="86" t="str">
        <f t="shared" si="113"/>
        <v>13.6567720520603j</v>
      </c>
      <c r="N243" s="86" t="str">
        <f t="shared" si="114"/>
        <v>-932.219339174849+13.6567720520603j</v>
      </c>
      <c r="O243" s="86" t="str">
        <f t="shared" si="115"/>
        <v>0.000462005794631607-0.104760534269194j</v>
      </c>
      <c r="P243" s="86" t="str">
        <f t="shared" si="116"/>
        <v>0.00221762781423171-0.502850564492131j</v>
      </c>
      <c r="R243" s="86">
        <f t="shared" si="117"/>
        <v>11.52</v>
      </c>
      <c r="S243" s="86" t="str">
        <f t="shared" si="118"/>
        <v>1+0.203048036457081j</v>
      </c>
      <c r="T243" s="86" t="str">
        <f t="shared" si="119"/>
        <v>-932.219339174849+13.6567720520603j</v>
      </c>
      <c r="U243" s="86" t="str">
        <f t="shared" si="120"/>
        <v>-0.00106928855293695-0.000233476240339609j</v>
      </c>
      <c r="V243" s="86" t="str">
        <f t="shared" si="121"/>
        <v>-0.0123182041298337-0.0026896462887123j</v>
      </c>
      <c r="X243" s="86" t="str">
        <f t="shared" si="122"/>
        <v>-0.184077978236854-0.26617478707908j</v>
      </c>
      <c r="Y243" s="86">
        <f t="shared" si="123"/>
        <v>-9.7991347334205141</v>
      </c>
      <c r="Z243" s="86">
        <f t="shared" si="124"/>
        <v>55.333504205352313</v>
      </c>
      <c r="AB243" s="86" t="str">
        <f t="shared" si="125"/>
        <v>-0.0102685929725189-0.0022421192803537j</v>
      </c>
      <c r="AC243" s="86">
        <f t="shared" si="126"/>
        <v>-39.56751319569635</v>
      </c>
      <c r="AD243" s="86">
        <f t="shared" si="127"/>
        <v>12.317064640094941</v>
      </c>
      <c r="AF243" s="86" t="str">
        <f t="shared" si="128"/>
        <v>-0.0105644996481799-0.0061943697926959j</v>
      </c>
      <c r="AG243" s="86">
        <f t="shared" si="129"/>
        <v>-38.239699230287833</v>
      </c>
      <c r="AH243" s="86">
        <f t="shared" si="130"/>
        <v>30.384725109409288</v>
      </c>
      <c r="AJ243" s="86" t="str">
        <f t="shared" si="131"/>
        <v>15.0498054802856-0.0541062275883372j</v>
      </c>
      <c r="AK243" s="86" t="str">
        <f t="shared" si="132"/>
        <v>30.1-2.16427707659388E-09j</v>
      </c>
      <c r="AL243" s="86" t="str">
        <f t="shared" si="146"/>
        <v>10000-9302.67005703431j</v>
      </c>
      <c r="AM243" s="86" t="str">
        <f t="shared" si="147"/>
        <v>621.539441699908-3347.81495439813j</v>
      </c>
      <c r="AN243" s="86" t="str">
        <f t="shared" si="148"/>
        <v>10621.5394416999-3347.81495439813j</v>
      </c>
      <c r="AO243" s="86" t="str">
        <f t="shared" si="149"/>
        <v>30.0225887813357-0.0243303821749109j</v>
      </c>
      <c r="AP243" s="86" t="str">
        <f t="shared" si="150"/>
        <v>0.666668581480096+0.000798916427001764j</v>
      </c>
      <c r="AQ243" s="86" t="str">
        <f t="shared" si="133"/>
        <v>1+133.467057563882j</v>
      </c>
      <c r="AR243" s="86">
        <f t="shared" si="134"/>
        <v>-3.1872616435353509E-4</v>
      </c>
      <c r="AS243" s="86" t="str">
        <f t="shared" si="135"/>
        <v>0.000703710029710462j</v>
      </c>
      <c r="AT243" s="86" t="str">
        <f t="shared" si="136"/>
        <v>-0.000318726164353535+0.000703710029710462j</v>
      </c>
      <c r="AU243" s="86" t="str">
        <f t="shared" si="137"/>
        <v>15.6843657319539-7.24590742604828j</v>
      </c>
      <c r="AW243" s="86" t="str">
        <f t="shared" si="151"/>
        <v>0.372428736451339-6.09959381590897j</v>
      </c>
      <c r="AX243" s="86">
        <f t="shared" si="138"/>
        <v>15.722179023420821</v>
      </c>
      <c r="AY243" s="86">
        <f t="shared" si="139"/>
        <v>93.494025550111147</v>
      </c>
      <c r="AZ243" s="86" t="str">
        <f t="shared" si="140"/>
        <v>-0.017500336002864+0.0617992165427074j</v>
      </c>
      <c r="BA243" s="86">
        <f t="shared" si="141"/>
        <v>-23.845334172275514</v>
      </c>
      <c r="BB243" s="86">
        <f t="shared" si="142"/>
        <v>-74.188909809793955</v>
      </c>
      <c r="BD243" s="86" t="str">
        <f t="shared" si="143"/>
        <v>-0.0417176629361935+0.0621321954072046j</v>
      </c>
      <c r="BE243" s="86">
        <f t="shared" si="144"/>
        <v>-22.517520206867012</v>
      </c>
      <c r="BF243" s="86">
        <f t="shared" si="145"/>
        <v>-56.121249340479594</v>
      </c>
      <c r="BH243" s="86">
        <f t="shared" si="152"/>
        <v>23.517520206867012</v>
      </c>
      <c r="BI243" s="157">
        <f t="shared" si="153"/>
        <v>56.121249340479594</v>
      </c>
      <c r="BJ243" s="88"/>
      <c r="BK243" s="88"/>
      <c r="BL243" s="88"/>
      <c r="BM243" s="88"/>
      <c r="BN243" s="42"/>
      <c r="BO243" s="42"/>
      <c r="BP243" s="42"/>
    </row>
    <row r="244" spans="1:68" s="86" customFormat="1">
      <c r="A244" s="86">
        <v>180</v>
      </c>
      <c r="B244" s="86">
        <f t="shared" si="103"/>
        <v>398107.17055349768</v>
      </c>
      <c r="C244" s="86" t="str">
        <f t="shared" si="104"/>
        <v>2501381.12470457j</v>
      </c>
      <c r="D244" s="86">
        <f t="shared" si="105"/>
        <v>0.8415106807538888</v>
      </c>
      <c r="E244" s="86" t="str">
        <f t="shared" si="106"/>
        <v>-0.625345281176143j</v>
      </c>
      <c r="F244" s="86" t="str">
        <f t="shared" si="107"/>
        <v>0.841510680753889-0.625345281176143j</v>
      </c>
      <c r="G244" s="86">
        <f t="shared" si="108"/>
        <v>0.41075513279186293</v>
      </c>
      <c r="H244" s="86">
        <f t="shared" si="109"/>
        <v>-36.616860376880155</v>
      </c>
      <c r="J244" s="86">
        <f t="shared" si="110"/>
        <v>4.8</v>
      </c>
      <c r="K244" s="86" t="str">
        <f t="shared" si="111"/>
        <v>1+102.268967283546j</v>
      </c>
      <c r="L244" s="86">
        <f t="shared" si="112"/>
        <v>-1022.2546576243681</v>
      </c>
      <c r="M244" s="86" t="str">
        <f t="shared" si="113"/>
        <v>14.300395889936j</v>
      </c>
      <c r="N244" s="86" t="str">
        <f t="shared" si="114"/>
        <v>-1022.25465762437+14.300395889936j</v>
      </c>
      <c r="O244" s="86" t="str">
        <f t="shared" si="115"/>
        <v>0.000421190427380908-0.100036662421612j</v>
      </c>
      <c r="P244" s="86" t="str">
        <f t="shared" si="116"/>
        <v>0.00202171405142836-0.480175979623738j</v>
      </c>
      <c r="R244" s="86">
        <f t="shared" si="117"/>
        <v>11.52</v>
      </c>
      <c r="S244" s="86" t="str">
        <f t="shared" si="118"/>
        <v>1+0.212617395599888j</v>
      </c>
      <c r="T244" s="86" t="str">
        <f t="shared" si="119"/>
        <v>-1022.25465762437+14.300395889936j</v>
      </c>
      <c r="U244" s="86" t="str">
        <f t="shared" si="120"/>
        <v>-0.000975129433907126-0.000221629836419821j</v>
      </c>
      <c r="V244" s="86" t="str">
        <f t="shared" si="121"/>
        <v>-0.0112334910786101-0.00255317571555634j</v>
      </c>
      <c r="X244" s="86" t="str">
        <f t="shared" si="122"/>
        <v>-0.184182329007882-0.250041462803619j</v>
      </c>
      <c r="Y244" s="86">
        <f t="shared" si="123"/>
        <v>-10.15725400565908</v>
      </c>
      <c r="Z244" s="86">
        <f t="shared" si="124"/>
        <v>53.624374093342382</v>
      </c>
      <c r="AB244" s="86" t="str">
        <f t="shared" si="125"/>
        <v>-0.00936436402018181-0.00212835588159081j</v>
      </c>
      <c r="AC244" s="86">
        <f t="shared" si="126"/>
        <v>-40.351691732152901</v>
      </c>
      <c r="AD244" s="86">
        <f t="shared" si="127"/>
        <v>12.804797428928111</v>
      </c>
      <c r="AF244" s="86" t="str">
        <f t="shared" si="128"/>
        <v>-0.00976190004373032-0.0056008049478889j</v>
      </c>
      <c r="AG244" s="86">
        <f t="shared" si="129"/>
        <v>-38.973478006154856</v>
      </c>
      <c r="AH244" s="86">
        <f t="shared" si="130"/>
        <v>29.844672411120115</v>
      </c>
      <c r="AJ244" s="86" t="str">
        <f t="shared" si="131"/>
        <v>15.0497867136404-0.0566561048865762j</v>
      </c>
      <c r="AK244" s="86" t="str">
        <f t="shared" si="132"/>
        <v>30.1-2.26627631279359E-09j</v>
      </c>
      <c r="AL244" s="86" t="str">
        <f t="shared" si="146"/>
        <v>10000-8883.98093467134j</v>
      </c>
      <c r="AM244" s="86" t="str">
        <f t="shared" si="147"/>
        <v>600.975133342112-3223.62893471279j</v>
      </c>
      <c r="AN244" s="86" t="str">
        <f t="shared" si="148"/>
        <v>10600.9751333421-3223.62893471279j</v>
      </c>
      <c r="AO244" s="86" t="str">
        <f t="shared" si="149"/>
        <v>30.0219533260347-0.0236658604377904j</v>
      </c>
      <c r="AP244" s="86" t="str">
        <f t="shared" si="150"/>
        <v>0.666668766216678+0.000836567734583442j</v>
      </c>
      <c r="AQ244" s="86" t="str">
        <f t="shared" si="133"/>
        <v>1+139.757166199494j</v>
      </c>
      <c r="AR244" s="86">
        <f t="shared" si="134"/>
        <v>-3.4948593757361311E-4</v>
      </c>
      <c r="AS244" s="86" t="str">
        <f t="shared" si="135"/>
        <v>0.00073687486165957j</v>
      </c>
      <c r="AT244" s="86" t="str">
        <f t="shared" si="136"/>
        <v>-0.000349485937573613+0.00073687486165957j</v>
      </c>
      <c r="AU244" s="86" t="str">
        <f t="shared" si="137"/>
        <v>15.4307926031501-7.45424400561726j</v>
      </c>
      <c r="AW244" s="86" t="str">
        <f t="shared" si="151"/>
        <v>0.117597648174888-5.85943421130897j</v>
      </c>
      <c r="AX244" s="86">
        <f t="shared" si="138"/>
        <v>15.358862620435417</v>
      </c>
      <c r="AY244" s="86">
        <f t="shared" si="139"/>
        <v>91.149760238888703</v>
      </c>
      <c r="AZ244" s="86" t="str">
        <f t="shared" si="140"/>
        <v>-0.0135721884518608+0.0546195852608498j</v>
      </c>
      <c r="BA244" s="86">
        <f t="shared" si="141"/>
        <v>-24.992829111717487</v>
      </c>
      <c r="BB244" s="86">
        <f t="shared" si="142"/>
        <v>-76.045442332183157</v>
      </c>
      <c r="BD244" s="86" t="str">
        <f t="shared" si="143"/>
        <v>-0.0339655246093898+0.0565405695938539j</v>
      </c>
      <c r="BE244" s="86">
        <f t="shared" si="144"/>
        <v>-23.614615385719446</v>
      </c>
      <c r="BF244" s="86">
        <f t="shared" si="145"/>
        <v>-59.005567349991139</v>
      </c>
      <c r="BH244" s="86">
        <f t="shared" si="152"/>
        <v>24.614615385719446</v>
      </c>
      <c r="BI244" s="157">
        <f t="shared" si="153"/>
        <v>59.005567349991139</v>
      </c>
      <c r="BJ244" s="88"/>
      <c r="BK244" s="88"/>
      <c r="BL244" s="88"/>
      <c r="BM244" s="88"/>
      <c r="BN244" s="42"/>
      <c r="BO244" s="42"/>
      <c r="BP244" s="42"/>
    </row>
    <row r="245" spans="1:68" s="86" customFormat="1">
      <c r="A245" s="86">
        <v>181</v>
      </c>
      <c r="B245" s="86">
        <f t="shared" si="103"/>
        <v>416869.38347033586</v>
      </c>
      <c r="C245" s="86" t="str">
        <f t="shared" si="104"/>
        <v>2619267.58523383j</v>
      </c>
      <c r="D245" s="86">
        <f t="shared" si="105"/>
        <v>0.8262199171250616</v>
      </c>
      <c r="E245" s="86" t="str">
        <f t="shared" si="106"/>
        <v>-0.654816896308458j</v>
      </c>
      <c r="F245" s="86" t="str">
        <f t="shared" si="107"/>
        <v>0.826219917125062-0.654816896308458j</v>
      </c>
      <c r="G245" s="86">
        <f t="shared" si="108"/>
        <v>0.45879973529075907</v>
      </c>
      <c r="H245" s="86">
        <f t="shared" si="109"/>
        <v>-38.398426620007896</v>
      </c>
      <c r="J245" s="86">
        <f t="shared" si="110"/>
        <v>4.8</v>
      </c>
      <c r="K245" s="86" t="str">
        <f t="shared" si="111"/>
        <v>1+107.088755222285j</v>
      </c>
      <c r="L245" s="86">
        <f t="shared" si="112"/>
        <v>-1120.9764211870861</v>
      </c>
      <c r="M245" s="86" t="str">
        <f t="shared" si="113"/>
        <v>14.9743527847818j</v>
      </c>
      <c r="N245" s="86" t="str">
        <f t="shared" si="114"/>
        <v>-1120.97642118709+14.9743527847818j</v>
      </c>
      <c r="O245" s="86" t="str">
        <f t="shared" si="115"/>
        <v>0.00038399397638378-0.0955265455517939j</v>
      </c>
      <c r="P245" s="86" t="str">
        <f t="shared" si="116"/>
        <v>0.00184317108664214-0.458527418648611j</v>
      </c>
      <c r="R245" s="86">
        <f t="shared" si="117"/>
        <v>11.52</v>
      </c>
      <c r="S245" s="86" t="str">
        <f t="shared" si="118"/>
        <v>1+0.222637744744876j</v>
      </c>
      <c r="T245" s="86" t="str">
        <f t="shared" si="119"/>
        <v>-1120.97642118709+14.9743527847818j</v>
      </c>
      <c r="U245" s="86" t="str">
        <f t="shared" si="120"/>
        <v>-0.000889267637256627-0.000210489665621491j</v>
      </c>
      <c r="V245" s="86" t="str">
        <f t="shared" si="121"/>
        <v>-0.0102443631811963-0.00242484094795958j</v>
      </c>
      <c r="X245" s="86" t="str">
        <f t="shared" si="122"/>
        <v>-0.184277418307874-0.234443193398008j</v>
      </c>
      <c r="Y245" s="86">
        <f t="shared" si="123"/>
        <v>-10.50991862959664</v>
      </c>
      <c r="Z245" s="86">
        <f t="shared" si="124"/>
        <v>51.8318875358855</v>
      </c>
      <c r="AB245" s="86" t="str">
        <f t="shared" si="125"/>
        <v>-0.00853981592297124-0.00202137458149348j</v>
      </c>
      <c r="AC245" s="86">
        <f t="shared" si="126"/>
        <v>-41.134280005717024</v>
      </c>
      <c r="AD245" s="86">
        <f t="shared" si="127"/>
        <v>13.316822415471222</v>
      </c>
      <c r="AF245" s="86" t="str">
        <f t="shared" si="128"/>
        <v>-0.00901238356245166-0.0050682262043381j</v>
      </c>
      <c r="AG245" s="86">
        <f t="shared" si="129"/>
        <v>-39.709817747106591</v>
      </c>
      <c r="AH245" s="86">
        <f t="shared" si="130"/>
        <v>29.351766912460988</v>
      </c>
      <c r="AJ245" s="86" t="str">
        <f t="shared" si="131"/>
        <v>15.0497661364769-0.0593261437329687j</v>
      </c>
      <c r="AK245" s="86" t="str">
        <f t="shared" si="132"/>
        <v>30.1-2.3730826248977E-09j</v>
      </c>
      <c r="AL245" s="86" t="str">
        <f t="shared" si="146"/>
        <v>10000-8484.13592696694j</v>
      </c>
      <c r="AM245" s="86" t="str">
        <f t="shared" si="147"/>
        <v>579.936110479223-3104.42393254709j</v>
      </c>
      <c r="AN245" s="86" t="str">
        <f t="shared" si="148"/>
        <v>10579.9361104792-3104.42393254709j</v>
      </c>
      <c r="AO245" s="86" t="str">
        <f t="shared" si="149"/>
        <v>30.021342164298-0.023014746616207j</v>
      </c>
      <c r="AP245" s="86" t="str">
        <f t="shared" si="150"/>
        <v>0.666668968776077+0.000875993424934796j</v>
      </c>
      <c r="AQ245" s="86" t="str">
        <f t="shared" si="133"/>
        <v>1+146.343718522185j</v>
      </c>
      <c r="AR245" s="86">
        <f t="shared" si="134"/>
        <v>-3.8321335822774166E-4</v>
      </c>
      <c r="AS245" s="86" t="str">
        <f t="shared" si="135"/>
        <v>0.000771602703984795j</v>
      </c>
      <c r="AT245" s="86" t="str">
        <f t="shared" si="136"/>
        <v>-0.000383213358227742+0.000771602703984795j</v>
      </c>
      <c r="AU245" s="86" t="str">
        <f t="shared" si="137"/>
        <v>15.1620151376548-7.65975379282371j</v>
      </c>
      <c r="AW245" s="86" t="str">
        <f t="shared" si="151"/>
        <v>-0.118344303665994-5.61095678824353j</v>
      </c>
      <c r="AX245" s="86">
        <f t="shared" si="138"/>
        <v>14.98267004329713</v>
      </c>
      <c r="AY245" s="86">
        <f t="shared" si="139"/>
        <v>88.791716959781198</v>
      </c>
      <c r="AZ245" s="86" t="str">
        <f t="shared" si="140"/>
        <v>-0.010331206860774+0.0481557562906407j</v>
      </c>
      <c r="BA245" s="86">
        <f t="shared" si="141"/>
        <v>-26.15160996241989</v>
      </c>
      <c r="BB245" s="86">
        <f t="shared" si="142"/>
        <v>-77.891460624747566</v>
      </c>
      <c r="BD245" s="86" t="str">
        <f t="shared" si="143"/>
        <v>-0.0273710339685155+0.0511678904289667j</v>
      </c>
      <c r="BE245" s="86">
        <f t="shared" si="144"/>
        <v>-24.727147703809447</v>
      </c>
      <c r="BF245" s="86">
        <f t="shared" si="145"/>
        <v>-61.856516127757772</v>
      </c>
      <c r="BH245" s="86">
        <f t="shared" si="152"/>
        <v>25.727147703809447</v>
      </c>
      <c r="BI245" s="157">
        <f t="shared" si="153"/>
        <v>61.856516127757772</v>
      </c>
      <c r="BJ245" s="88"/>
      <c r="BK245" s="88"/>
      <c r="BL245" s="88"/>
      <c r="BM245" s="88"/>
      <c r="BN245" s="42"/>
      <c r="BO245" s="42"/>
      <c r="BP245" s="42"/>
    </row>
    <row r="246" spans="1:68" s="86" customFormat="1">
      <c r="A246" s="86">
        <v>182</v>
      </c>
      <c r="B246" s="86">
        <f t="shared" si="103"/>
        <v>436515.83224016632</v>
      </c>
      <c r="C246" s="86" t="str">
        <f t="shared" si="104"/>
        <v>2742709.86348268j</v>
      </c>
      <c r="D246" s="86">
        <f t="shared" si="105"/>
        <v>0.80945392820367523</v>
      </c>
      <c r="E246" s="86" t="str">
        <f t="shared" si="106"/>
        <v>-0.68567746587067j</v>
      </c>
      <c r="F246" s="86" t="str">
        <f t="shared" si="107"/>
        <v>0.809453928203675-0.68567746587067j</v>
      </c>
      <c r="G246" s="86">
        <f t="shared" si="108"/>
        <v>0.51295043806945761</v>
      </c>
      <c r="H246" s="86">
        <f t="shared" si="109"/>
        <v>-40.267483740357953</v>
      </c>
      <c r="J246" s="86">
        <f t="shared" si="110"/>
        <v>4.8</v>
      </c>
      <c r="K246" s="86" t="str">
        <f t="shared" si="111"/>
        <v>1+112.135692768489j</v>
      </c>
      <c r="L246" s="86">
        <f t="shared" si="112"/>
        <v>-1229.2226824183965</v>
      </c>
      <c r="M246" s="86" t="str">
        <f t="shared" si="113"/>
        <v>15.6800722895305j</v>
      </c>
      <c r="N246" s="86" t="str">
        <f t="shared" si="114"/>
        <v>-1229.2226824184+15.6800722895305j</v>
      </c>
      <c r="O246" s="86" t="str">
        <f t="shared" si="115"/>
        <v>0.000350093362596058-0.0912204150501421j</v>
      </c>
      <c r="P246" s="86" t="str">
        <f t="shared" si="116"/>
        <v>0.00168044814046108-0.437857992240682j</v>
      </c>
      <c r="R246" s="86">
        <f t="shared" si="117"/>
        <v>11.52</v>
      </c>
      <c r="S246" s="86" t="str">
        <f t="shared" si="118"/>
        <v>1+0.233130338396028j</v>
      </c>
      <c r="T246" s="86" t="str">
        <f t="shared" si="119"/>
        <v>-1229.2226824184+15.6800722895305j</v>
      </c>
      <c r="U246" s="86" t="str">
        <f t="shared" si="120"/>
        <v>-0.000810971010983134-0.000200001534294237j</v>
      </c>
      <c r="V246" s="86" t="str">
        <f t="shared" si="121"/>
        <v>-0.0093423860465257-0.00230401767506961j</v>
      </c>
      <c r="X246" s="86" t="str">
        <f t="shared" si="122"/>
        <v>-0.184364074487292-0.219346287725437j</v>
      </c>
      <c r="Y246" s="86">
        <f t="shared" si="123"/>
        <v>-10.85641471452883</v>
      </c>
      <c r="Z246" s="86">
        <f t="shared" si="124"/>
        <v>49.952409729951341</v>
      </c>
      <c r="AB246" s="86" t="str">
        <f t="shared" si="125"/>
        <v>-0.00778791767799742-0.00192065494754052j</v>
      </c>
      <c r="AC246" s="86">
        <f t="shared" si="126"/>
        <v>-41.915150474454293</v>
      </c>
      <c r="AD246" s="86">
        <f t="shared" si="127"/>
        <v>13.853821940003314</v>
      </c>
      <c r="AF246" s="86" t="str">
        <f t="shared" si="128"/>
        <v>-0.00831374653053743-0.00459058296598511j</v>
      </c>
      <c r="AG246" s="86">
        <f t="shared" si="129"/>
        <v>-40.448327850217076</v>
      </c>
      <c r="AH246" s="86">
        <f t="shared" si="130"/>
        <v>28.90606510225544</v>
      </c>
      <c r="AJ246" s="86" t="str">
        <f t="shared" si="131"/>
        <v>15.0497435741305-0.0621220056161974j</v>
      </c>
      <c r="AK246" s="86" t="str">
        <f t="shared" si="132"/>
        <v>30.1-2.48492256341394E-09j</v>
      </c>
      <c r="AL246" s="86" t="str">
        <f t="shared" si="146"/>
        <v>10000-8102.2869090515j</v>
      </c>
      <c r="AM246" s="86" t="str">
        <f t="shared" si="147"/>
        <v>558.497801259798-2989.8882426104j</v>
      </c>
      <c r="AN246" s="86" t="str">
        <f t="shared" si="148"/>
        <v>10558.4978012598-2989.8882426104j</v>
      </c>
      <c r="AO246" s="86" t="str">
        <f t="shared" si="149"/>
        <v>30.0207537827978-0.0223766511575795j</v>
      </c>
      <c r="AP246" s="86" t="str">
        <f t="shared" si="150"/>
        <v>0.666669190877758+0.000917277111963093j</v>
      </c>
      <c r="AQ246" s="86" t="str">
        <f t="shared" si="133"/>
        <v>1+153.240685492504j</v>
      </c>
      <c r="AR246" s="86">
        <f t="shared" si="134"/>
        <v>-4.2019473958713864E-4</v>
      </c>
      <c r="AS246" s="86" t="str">
        <f t="shared" si="135"/>
        <v>0.000807967219095745j</v>
      </c>
      <c r="AT246" s="86" t="str">
        <f t="shared" si="136"/>
        <v>-0.000420194739587139+0.000807967219095745j</v>
      </c>
      <c r="AU246" s="86" t="str">
        <f t="shared" si="137"/>
        <v>14.8778668746516-7.86121175078726j</v>
      </c>
      <c r="AW246" s="86" t="str">
        <f t="shared" si="151"/>
        <v>-0.334960528070885-5.35588277136327j</v>
      </c>
      <c r="AX246" s="86">
        <f t="shared" si="138"/>
        <v>14.593574836602794</v>
      </c>
      <c r="AY246" s="86">
        <f t="shared" si="139"/>
        <v>86.421344147037303</v>
      </c>
      <c r="AZ246" s="86" t="str">
        <f t="shared" si="140"/>
        <v>-0.00767815772527131+0.0423545177118519j</v>
      </c>
      <c r="BA246" s="86">
        <f t="shared" si="141"/>
        <v>-27.321575637851513</v>
      </c>
      <c r="BB246" s="86">
        <f t="shared" si="142"/>
        <v>-79.724833912959369</v>
      </c>
      <c r="BD246" s="86" t="str">
        <f t="shared" si="143"/>
        <v>-0.021801847289917+0.0460651159028261j</v>
      </c>
      <c r="BE246" s="86">
        <f t="shared" si="144"/>
        <v>-25.854753013614303</v>
      </c>
      <c r="BF246" s="86">
        <f t="shared" si="145"/>
        <v>-64.6725907507073</v>
      </c>
      <c r="BH246" s="86">
        <f t="shared" si="152"/>
        <v>26.854753013614303</v>
      </c>
      <c r="BI246" s="157">
        <f t="shared" si="153"/>
        <v>64.6725907507073</v>
      </c>
      <c r="BJ246" s="88"/>
      <c r="BK246" s="88"/>
      <c r="BL246" s="88"/>
      <c r="BM246" s="88"/>
      <c r="BN246" s="42"/>
      <c r="BO246" s="42"/>
      <c r="BP246" s="42"/>
    </row>
    <row r="247" spans="1:68" s="86" customFormat="1">
      <c r="A247" s="86">
        <v>183</v>
      </c>
      <c r="B247" s="86">
        <f t="shared" si="103"/>
        <v>457088.1896148753</v>
      </c>
      <c r="C247" s="86" t="str">
        <f t="shared" si="104"/>
        <v>2871969.7970735j</v>
      </c>
      <c r="D247" s="86">
        <f t="shared" si="105"/>
        <v>0.79107038691459597</v>
      </c>
      <c r="E247" s="86" t="str">
        <f t="shared" si="106"/>
        <v>-0.717992449268375j</v>
      </c>
      <c r="F247" s="86" t="str">
        <f t="shared" si="107"/>
        <v>0.791070386914596-0.717992449268375j</v>
      </c>
      <c r="G247" s="86">
        <f t="shared" si="108"/>
        <v>0.57401915580909046</v>
      </c>
      <c r="H247" s="86">
        <f t="shared" si="109"/>
        <v>-42.227558122085085</v>
      </c>
      <c r="J247" s="86">
        <f t="shared" si="110"/>
        <v>4.8</v>
      </c>
      <c r="K247" s="86" t="str">
        <f t="shared" si="111"/>
        <v>1+117.42048515335j</v>
      </c>
      <c r="L247" s="86">
        <f t="shared" si="112"/>
        <v>-1347.9123476725545</v>
      </c>
      <c r="M247" s="86" t="str">
        <f t="shared" si="113"/>
        <v>16.4190513298692j</v>
      </c>
      <c r="N247" s="86" t="str">
        <f t="shared" si="114"/>
        <v>-1347.91234767255+16.4190513298692j</v>
      </c>
      <c r="O247" s="86" t="str">
        <f t="shared" si="115"/>
        <v>0.000319194719574935-0.0871089611142793j</v>
      </c>
      <c r="P247" s="86" t="str">
        <f t="shared" si="116"/>
        <v>0.00153213465395969-0.418123013348541j</v>
      </c>
      <c r="R247" s="86">
        <f t="shared" si="117"/>
        <v>11.52</v>
      </c>
      <c r="S247" s="86" t="str">
        <f t="shared" si="118"/>
        <v>1+0.244117432751248j</v>
      </c>
      <c r="T247" s="86" t="str">
        <f t="shared" si="119"/>
        <v>-1347.91234767255+16.4190513298692j</v>
      </c>
      <c r="U247" s="86" t="str">
        <f t="shared" si="120"/>
        <v>-0.000739572174396301-0.000190116595257318j</v>
      </c>
      <c r="V247" s="86" t="str">
        <f t="shared" si="121"/>
        <v>-0.00851987144904539-0.0021901431773643j</v>
      </c>
      <c r="X247" s="86" t="str">
        <f t="shared" si="122"/>
        <v>-0.18444305074283-0.204718196352656j</v>
      </c>
      <c r="Y247" s="86">
        <f t="shared" si="123"/>
        <v>-11.195935845509107</v>
      </c>
      <c r="Z247" s="86">
        <f t="shared" si="124"/>
        <v>47.982390753285216</v>
      </c>
      <c r="AB247" s="86" t="str">
        <f t="shared" si="125"/>
        <v>-0.00710226029430259-0.00182572789043373j</v>
      </c>
      <c r="AC247" s="86">
        <f t="shared" si="126"/>
        <v>-42.694164827990221</v>
      </c>
      <c r="AD247" s="86">
        <f t="shared" si="127"/>
        <v>14.416477958203501</v>
      </c>
      <c r="AF247" s="86" t="str">
        <f t="shared" si="128"/>
        <v>-0.00766366471345184-0.00416233288320943j</v>
      </c>
      <c r="AG247" s="86">
        <f t="shared" si="129"/>
        <v>-41.188621115884771</v>
      </c>
      <c r="AH247" s="86">
        <f t="shared" si="130"/>
        <v>28.507519902825237</v>
      </c>
      <c r="AJ247" s="86" t="str">
        <f t="shared" si="131"/>
        <v>15.0497188350873-0.0650496186129727j</v>
      </c>
      <c r="AK247" s="86" t="str">
        <f t="shared" si="132"/>
        <v>30.1-2.60203335584656E-09j</v>
      </c>
      <c r="AL247" s="86" t="str">
        <f t="shared" si="146"/>
        <v>9999.99999999992-7737.62392796272j</v>
      </c>
      <c r="AM247" s="86" t="str">
        <f t="shared" si="147"/>
        <v>536.741957802302-2879.73019228749j</v>
      </c>
      <c r="AN247" s="86" t="str">
        <f t="shared" si="148"/>
        <v>10536.7419578023-2879.73019228749j</v>
      </c>
      <c r="AO247" s="86" t="str">
        <f t="shared" si="149"/>
        <v>30.0201868689184-0.0217510881276964j</v>
      </c>
      <c r="AP247" s="86" t="str">
        <f t="shared" si="150"/>
        <v>0.666669434407069+0.000960506348670045j</v>
      </c>
      <c r="AQ247" s="86" t="str">
        <f t="shared" si="133"/>
        <v>1+160.462696502091j</v>
      </c>
      <c r="AR247" s="86">
        <f t="shared" si="134"/>
        <v>-4.6074401791097567E-4</v>
      </c>
      <c r="AS247" s="86" t="str">
        <f t="shared" si="135"/>
        <v>0.000846045541004451j</v>
      </c>
      <c r="AT247" s="86" t="str">
        <f t="shared" si="136"/>
        <v>-0.000460744017910976+0.000846045541004451j</v>
      </c>
      <c r="AU247" s="86" t="str">
        <f t="shared" si="137"/>
        <v>14.578299365398-8.05732539625385j</v>
      </c>
      <c r="AW247" s="86" t="str">
        <f t="shared" si="151"/>
        <v>-0.532002914351125-5.09593427579288j</v>
      </c>
      <c r="AX247" s="86">
        <f t="shared" si="138"/>
        <v>14.191553355800037</v>
      </c>
      <c r="AY247" s="86">
        <f t="shared" si="139"/>
        <v>84.040052162210856</v>
      </c>
      <c r="AZ247" s="86" t="str">
        <f t="shared" si="140"/>
        <v>-0.005525366160083+0.0371639442278623j</v>
      </c>
      <c r="BA247" s="86">
        <f t="shared" si="141"/>
        <v>-28.502611472190175</v>
      </c>
      <c r="BB247" s="86">
        <f t="shared" si="142"/>
        <v>-81.543469879585686</v>
      </c>
      <c r="BD247" s="86" t="str">
        <f t="shared" si="143"/>
        <v>-0.0171338828446405+0.0412679049158306j</v>
      </c>
      <c r="BE247" s="86">
        <f t="shared" si="144"/>
        <v>-26.997067760084729</v>
      </c>
      <c r="BF247" s="86">
        <f t="shared" si="145"/>
        <v>-67.452427934963893</v>
      </c>
      <c r="BH247" s="86">
        <f t="shared" si="152"/>
        <v>27.997067760084729</v>
      </c>
      <c r="BI247" s="157">
        <f t="shared" si="153"/>
        <v>67.452427934963893</v>
      </c>
      <c r="BJ247" s="88"/>
      <c r="BK247" s="88"/>
      <c r="BL247" s="88"/>
      <c r="BM247" s="88"/>
      <c r="BN247" s="42"/>
      <c r="BO247" s="42"/>
      <c r="BP247" s="42"/>
    </row>
    <row r="248" spans="1:68" s="86" customFormat="1">
      <c r="A248" s="86">
        <v>184</v>
      </c>
      <c r="B248" s="86">
        <f t="shared" si="103"/>
        <v>478630.09232263849</v>
      </c>
      <c r="C248" s="86" t="str">
        <f t="shared" si="104"/>
        <v>3007321.56365561j</v>
      </c>
      <c r="D248" s="86">
        <f t="shared" si="105"/>
        <v>0.77091323472322282</v>
      </c>
      <c r="E248" s="86" t="str">
        <f t="shared" si="106"/>
        <v>-0.751830390913903j</v>
      </c>
      <c r="F248" s="86" t="str">
        <f t="shared" si="107"/>
        <v>0.770913234723223-0.751830390913903j</v>
      </c>
      <c r="G248" s="86">
        <f t="shared" si="108"/>
        <v>0.64291784443156985</v>
      </c>
      <c r="H248" s="86">
        <f t="shared" si="109"/>
        <v>-44.282013622426092</v>
      </c>
      <c r="J248" s="86">
        <f t="shared" si="110"/>
        <v>4.8</v>
      </c>
      <c r="K248" s="86" t="str">
        <f t="shared" si="111"/>
        <v>1+122.95434213006j</v>
      </c>
      <c r="L248" s="86">
        <f t="shared" si="112"/>
        <v>-1478.0529777312702</v>
      </c>
      <c r="M248" s="86" t="str">
        <f t="shared" si="113"/>
        <v>17.1928573794191j</v>
      </c>
      <c r="N248" s="86" t="str">
        <f t="shared" si="114"/>
        <v>-1478.05297773127+17.1928573794191j</v>
      </c>
      <c r="O248" s="86" t="str">
        <f t="shared" si="115"/>
        <v>0.000291030690455656-0.0831833096196771j</v>
      </c>
      <c r="P248" s="86" t="str">
        <f t="shared" si="116"/>
        <v>0.00139694731418715-0.39927988617445j</v>
      </c>
      <c r="R248" s="86">
        <f t="shared" si="117"/>
        <v>11.52</v>
      </c>
      <c r="S248" s="86" t="str">
        <f t="shared" si="118"/>
        <v>1+0.255622332910727j</v>
      </c>
      <c r="T248" s="86" t="str">
        <f t="shared" si="119"/>
        <v>-1478.05297773127+17.1928573794191j</v>
      </c>
      <c r="U248" s="86" t="str">
        <f t="shared" si="120"/>
        <v>-0.000674462759998991-0.000180790728733746j</v>
      </c>
      <c r="V248" s="86" t="str">
        <f t="shared" si="121"/>
        <v>-0.00776981099518838-0.00208270919501275j</v>
      </c>
      <c r="X248" s="86" t="str">
        <f t="shared" si="122"/>
        <v>-0.184515032113262-0.190527432378645j</v>
      </c>
      <c r="Y248" s="86">
        <f t="shared" si="123"/>
        <v>-11.527575081456449</v>
      </c>
      <c r="Z248" s="86">
        <f t="shared" si="124"/>
        <v>45.918444405892245</v>
      </c>
      <c r="AB248" s="86" t="str">
        <f t="shared" si="125"/>
        <v>-0.00647700149648915-0.00173616971908365j</v>
      </c>
      <c r="AC248" s="86">
        <f t="shared" si="126"/>
        <v>-43.471173502361381</v>
      </c>
      <c r="AD248" s="86">
        <f t="shared" si="127"/>
        <v>15.005466943349688</v>
      </c>
      <c r="AF248" s="86" t="str">
        <f t="shared" si="128"/>
        <v>-0.00705973673100905-0.00377841818433122j</v>
      </c>
      <c r="AG248" s="86">
        <f t="shared" si="129"/>
        <v>-41.930313669375423</v>
      </c>
      <c r="AH248" s="86">
        <f t="shared" si="130"/>
        <v>28.155986664283319</v>
      </c>
      <c r="AJ248" s="86" t="str">
        <f t="shared" si="131"/>
        <v>15.0496917093594-0.068115189917908j</v>
      </c>
      <c r="AK248" s="86" t="str">
        <f t="shared" si="132"/>
        <v>30.1-2.72466340988762E-09j</v>
      </c>
      <c r="AL248" s="86" t="str">
        <f t="shared" si="146"/>
        <v>10000-7389.37348462651j</v>
      </c>
      <c r="AM248" s="86" t="str">
        <f t="shared" si="147"/>
        <v>514.755490943386-2773.67858458469j</v>
      </c>
      <c r="AN248" s="86" t="str">
        <f t="shared" si="148"/>
        <v>10514.7554909434-2773.67858458469j</v>
      </c>
      <c r="AO248" s="86" t="str">
        <f t="shared" si="149"/>
        <v>30.0196403071036-0.0211375099459078j</v>
      </c>
      <c r="AP248" s="86" t="str">
        <f t="shared" si="150"/>
        <v>0.666669701431239+0.00100577281257222j</v>
      </c>
      <c r="AQ248" s="86" t="str">
        <f t="shared" si="133"/>
        <v>1+168.025070404566j</v>
      </c>
      <c r="AR248" s="86">
        <f t="shared" si="134"/>
        <v>-5.0520541746240395E-4</v>
      </c>
      <c r="AS248" s="86" t="str">
        <f t="shared" si="135"/>
        <v>0.000885918438936928j</v>
      </c>
      <c r="AT248" s="86" t="str">
        <f t="shared" si="136"/>
        <v>-0.000505205417462404+0.000885918438936928j</v>
      </c>
      <c r="AU248" s="86" t="str">
        <f t="shared" si="137"/>
        <v>14.2633963673345-8.24674687317472j</v>
      </c>
      <c r="AW248" s="86" t="str">
        <f t="shared" si="151"/>
        <v>-0.709405620099164-4.83281310332881j</v>
      </c>
      <c r="AX248" s="86">
        <f t="shared" si="138"/>
        <v>13.77658404615115</v>
      </c>
      <c r="AY248" s="86">
        <f t="shared" si="139"/>
        <v>81.649225860385471</v>
      </c>
      <c r="AZ248" s="86" t="str">
        <f t="shared" si="140"/>
        <v>-0.00379576250499008+0.032533786258677j</v>
      </c>
      <c r="BA248" s="86">
        <f t="shared" si="141"/>
        <v>-29.694589456210217</v>
      </c>
      <c r="BB248" s="86">
        <f t="shared" si="142"/>
        <v>-83.345307196264827</v>
      </c>
      <c r="BD248" s="86" t="str">
        <f t="shared" si="143"/>
        <v>-0.0132521719976935+0.0367988192747217j</v>
      </c>
      <c r="BE248" s="86">
        <f t="shared" si="144"/>
        <v>-28.153729623224258</v>
      </c>
      <c r="BF248" s="86">
        <f t="shared" si="145"/>
        <v>-70.194787475331182</v>
      </c>
      <c r="BH248" s="86">
        <f t="shared" si="152"/>
        <v>29.153729623224258</v>
      </c>
      <c r="BI248" s="157">
        <f t="shared" si="153"/>
        <v>70.194787475331182</v>
      </c>
      <c r="BJ248" s="88"/>
      <c r="BK248" s="88"/>
      <c r="BL248" s="88"/>
      <c r="BM248" s="88"/>
      <c r="BN248" s="42"/>
      <c r="BO248" s="42"/>
      <c r="BP248" s="42"/>
    </row>
    <row r="249" spans="1:68" s="86" customFormat="1">
      <c r="A249" s="86">
        <v>185</v>
      </c>
      <c r="B249" s="86">
        <f t="shared" si="103"/>
        <v>501187.23362727324</v>
      </c>
      <c r="C249" s="86" t="str">
        <f t="shared" si="104"/>
        <v>3149052.26247287j</v>
      </c>
      <c r="D249" s="86">
        <f t="shared" si="105"/>
        <v>0.74881135684904043</v>
      </c>
      <c r="E249" s="86" t="str">
        <f t="shared" si="106"/>
        <v>-0.787263065618217j</v>
      </c>
      <c r="F249" s="86" t="str">
        <f t="shared" si="107"/>
        <v>0.74881135684904-0.787263065618217j</v>
      </c>
      <c r="G249" s="86">
        <f t="shared" si="108"/>
        <v>0.72066573649548882</v>
      </c>
      <c r="H249" s="86">
        <f t="shared" si="109"/>
        <v>-46.433954366038087</v>
      </c>
      <c r="J249" s="86">
        <f t="shared" si="110"/>
        <v>4.8</v>
      </c>
      <c r="K249" s="86" t="str">
        <f t="shared" si="111"/>
        <v>1+128.749001751203j</v>
      </c>
      <c r="L249" s="86">
        <f t="shared" si="112"/>
        <v>-1620.7493410230006</v>
      </c>
      <c r="M249" s="86" t="str">
        <f t="shared" si="113"/>
        <v>18.0031317845574j</v>
      </c>
      <c r="N249" s="86" t="str">
        <f t="shared" si="114"/>
        <v>-1620.749341023+18.0031317845574j</v>
      </c>
      <c r="O249" s="86" t="str">
        <f t="shared" si="115"/>
        <v>0.000265357985209176-0.0794350003530856j</v>
      </c>
      <c r="P249" s="86" t="str">
        <f t="shared" si="116"/>
        <v>0.00127371832900404-0.381288001694811j</v>
      </c>
      <c r="R249" s="86">
        <f t="shared" si="117"/>
        <v>11.52</v>
      </c>
      <c r="S249" s="86" t="str">
        <f t="shared" si="118"/>
        <v>1+0.267669442310194j</v>
      </c>
      <c r="T249" s="86" t="str">
        <f t="shared" si="119"/>
        <v>-1620.749341023+18.0031317845574j</v>
      </c>
      <c r="U249" s="86" t="str">
        <f t="shared" si="120"/>
        <v>-0.000615088171957625-0.000171984000655604j</v>
      </c>
      <c r="V249" s="86" t="str">
        <f t="shared" si="121"/>
        <v>-0.00708581574095184-0.00198125568755256j</v>
      </c>
      <c r="X249" s="86" t="str">
        <f t="shared" si="122"/>
        <v>-0.1845806417949-0.176743495831006j</v>
      </c>
      <c r="Y249" s="86">
        <f t="shared" si="123"/>
        <v>-11.850317762589011</v>
      </c>
      <c r="Z249" s="86">
        <f t="shared" si="124"/>
        <v>43.757445344290886</v>
      </c>
      <c r="AB249" s="86" t="str">
        <f t="shared" si="125"/>
        <v>-0.00590681538925629-0.00165159693860667j</v>
      </c>
      <c r="AC249" s="86">
        <f t="shared" si="126"/>
        <v>-44.246015214702098</v>
      </c>
      <c r="AD249" s="86">
        <f t="shared" si="127"/>
        <v>15.621454134474817</v>
      </c>
      <c r="AF249" s="86" t="str">
        <f t="shared" si="128"/>
        <v>-0.00649952185710021-0.00343423923491921j</v>
      </c>
      <c r="AG249" s="86">
        <f t="shared" si="129"/>
        <v>-42.673024730520865</v>
      </c>
      <c r="AH249" s="86">
        <f t="shared" si="130"/>
        <v>27.851227884830223</v>
      </c>
      <c r="AJ249" s="86" t="str">
        <f t="shared" si="131"/>
        <v>15.0496619667026-0.0713252189588735j</v>
      </c>
      <c r="AK249" s="86" t="str">
        <f t="shared" si="132"/>
        <v>30.1-2.85307284032305E-09j</v>
      </c>
      <c r="AL249" s="86" t="str">
        <f t="shared" si="146"/>
        <v>10000-7056.79689316166j</v>
      </c>
      <c r="AM249" s="86" t="str">
        <f t="shared" si="147"/>
        <v>492.629130209991-2671.48296316846j</v>
      </c>
      <c r="AN249" s="86" t="str">
        <f t="shared" si="148"/>
        <v>10492.62913021-2671.48296316846j</v>
      </c>
      <c r="AO249" s="86" t="str">
        <f t="shared" si="149"/>
        <v>30.0191131704503-0.0205353396693366j</v>
      </c>
      <c r="AP249" s="86" t="str">
        <f t="shared" si="150"/>
        <v>0.666669994216927+0.00105317249982705j</v>
      </c>
      <c r="AQ249" s="86" t="str">
        <f t="shared" si="133"/>
        <v>1+175.943848008884j</v>
      </c>
      <c r="AR249" s="86">
        <f t="shared" si="134"/>
        <v>-5.5395637264055945E-4</v>
      </c>
      <c r="AS249" s="86" t="str">
        <f t="shared" si="135"/>
        <v>0.000927670488655548j</v>
      </c>
      <c r="AT249" s="86" t="str">
        <f t="shared" si="136"/>
        <v>-0.000553956372640559+0.000927670488655548j</v>
      </c>
      <c r="AU249" s="86" t="str">
        <f t="shared" si="137"/>
        <v>13.9333868510749-8.42808791939718j</v>
      </c>
      <c r="AW249" s="86" t="str">
        <f t="shared" si="151"/>
        <v>-0.867276702949974-4.5681813592028j</v>
      </c>
      <c r="AX249" s="86">
        <f t="shared" si="138"/>
        <v>13.3486472513947</v>
      </c>
      <c r="AY249" s="86">
        <f t="shared" si="139"/>
        <v>79.250237604997949</v>
      </c>
      <c r="AZ249" s="86" t="str">
        <f t="shared" si="140"/>
        <v>-0.00242195097213104+0.0284157955009699j</v>
      </c>
      <c r="BA249" s="86">
        <f t="shared" si="141"/>
        <v>-30.897367963307396</v>
      </c>
      <c r="BB249" s="86">
        <f t="shared" si="142"/>
        <v>-85.128308260527248</v>
      </c>
      <c r="BD249" s="86" t="str">
        <f t="shared" si="143"/>
        <v>-0.0100513437690237+0.0326694302721385j</v>
      </c>
      <c r="BE249" s="86">
        <f t="shared" si="144"/>
        <v>-29.32437747912617</v>
      </c>
      <c r="BF249" s="86">
        <f t="shared" si="145"/>
        <v>-72.898534510171757</v>
      </c>
      <c r="BH249" s="86">
        <f t="shared" si="152"/>
        <v>30.32437747912617</v>
      </c>
      <c r="BI249" s="157">
        <f t="shared" si="153"/>
        <v>72.898534510171757</v>
      </c>
      <c r="BJ249" s="88"/>
      <c r="BK249" s="88"/>
      <c r="BL249" s="88"/>
      <c r="BM249" s="88"/>
      <c r="BN249" s="42"/>
      <c r="BO249" s="42"/>
      <c r="BP249" s="42"/>
    </row>
    <row r="250" spans="1:68" s="86" customFormat="1">
      <c r="A250" s="86">
        <v>186</v>
      </c>
      <c r="B250" s="86">
        <f t="shared" si="103"/>
        <v>524807.46024977358</v>
      </c>
      <c r="C250" s="86" t="str">
        <f t="shared" si="104"/>
        <v>3297462.52333961j</v>
      </c>
      <c r="D250" s="86">
        <f t="shared" si="105"/>
        <v>0.72457712966618337</v>
      </c>
      <c r="E250" s="86" t="str">
        <f t="shared" si="106"/>
        <v>-0.824365630834903j</v>
      </c>
      <c r="F250" s="86" t="str">
        <f t="shared" si="107"/>
        <v>0.724577129666183-0.824365630834903j</v>
      </c>
      <c r="G250" s="86">
        <f t="shared" si="108"/>
        <v>0.80839509547041322</v>
      </c>
      <c r="H250" s="86">
        <f t="shared" si="109"/>
        <v>-48.686107598715843</v>
      </c>
      <c r="J250" s="86">
        <f t="shared" si="110"/>
        <v>4.8</v>
      </c>
      <c r="K250" s="86" t="str">
        <f t="shared" si="111"/>
        <v>1+134.81675526674j</v>
      </c>
      <c r="L250" s="86">
        <f t="shared" si="112"/>
        <v>-1777.2127920412872</v>
      </c>
      <c r="M250" s="86" t="str">
        <f t="shared" si="113"/>
        <v>18.8515932459325j</v>
      </c>
      <c r="N250" s="86" t="str">
        <f t="shared" si="114"/>
        <v>-1777.21279204129+18.8515932459325j</v>
      </c>
      <c r="O250" s="86" t="str">
        <f t="shared" si="115"/>
        <v>0.000241955171471177-0.0758559665055188j</v>
      </c>
      <c r="P250" s="86" t="str">
        <f t="shared" si="116"/>
        <v>0.00116138482306165-0.36410863922649j</v>
      </c>
      <c r="R250" s="86">
        <f t="shared" si="117"/>
        <v>11.52</v>
      </c>
      <c r="S250" s="86" t="str">
        <f t="shared" si="118"/>
        <v>1+0.280284314483867j</v>
      </c>
      <c r="T250" s="86" t="str">
        <f t="shared" si="119"/>
        <v>-1777.21279204129+18.8515932459325j</v>
      </c>
      <c r="U250" s="86" t="str">
        <f t="shared" si="120"/>
        <v>-0.000560942814030728-0.000163660188330135j</v>
      </c>
      <c r="V250" s="86" t="str">
        <f t="shared" si="121"/>
        <v>-0.00646206121763399-0.00188536536956316j</v>
      </c>
      <c r="X250" s="86" t="str">
        <f t="shared" si="122"/>
        <v>-0.184640446847508-0.163336801298745j</v>
      </c>
      <c r="Y250" s="86">
        <f t="shared" si="123"/>
        <v>-12.163035795183566</v>
      </c>
      <c r="Z250" s="86">
        <f t="shared" si="124"/>
        <v>41.496646161886531</v>
      </c>
      <c r="AB250" s="86" t="str">
        <f t="shared" si="125"/>
        <v>-0.0053868466302384-0.00157166169520103j</v>
      </c>
      <c r="AC250" s="86">
        <f t="shared" si="126"/>
        <v>-45.018516530617788</v>
      </c>
      <c r="AD250" s="86">
        <f t="shared" si="127"/>
        <v>16.265087088853107</v>
      </c>
      <c r="AF250" s="86" t="str">
        <f t="shared" si="128"/>
        <v>-0.00598057238720548-0.00312562629457061j</v>
      </c>
      <c r="AG250" s="86">
        <f t="shared" si="129"/>
        <v>-43.416376270676508</v>
      </c>
      <c r="AH250" s="86">
        <f t="shared" si="130"/>
        <v>27.592916538298596</v>
      </c>
      <c r="AJ250" s="86" t="str">
        <f t="shared" si="131"/>
        <v>15.049629354663-0.0746865111246651j</v>
      </c>
      <c r="AK250" s="86" t="str">
        <f t="shared" si="132"/>
        <v>30.1-2.98753402077092E-09j</v>
      </c>
      <c r="AL250" s="86" t="str">
        <f t="shared" si="146"/>
        <v>10000-6739.18871402852j</v>
      </c>
      <c r="AM250" s="86" t="str">
        <f t="shared" si="147"/>
        <v>470.455951001801-2572.91366317418j</v>
      </c>
      <c r="AN250" s="86" t="str">
        <f t="shared" si="148"/>
        <v>10470.4559510018-2572.91366317418j</v>
      </c>
      <c r="AO250" s="86" t="str">
        <f t="shared" si="149"/>
        <v>30.0186047080672-0.0199440001939296j</v>
      </c>
      <c r="AP250" s="86" t="str">
        <f t="shared" si="150"/>
        <v>0.66667031524946+0.00110280592846964j</v>
      </c>
      <c r="AQ250" s="86" t="str">
        <f t="shared" si="133"/>
        <v>1+184.235826104031j</v>
      </c>
      <c r="AR250" s="86">
        <f t="shared" si="134"/>
        <v>-6.0741073203455305E-4</v>
      </c>
      <c r="AS250" s="86" t="str">
        <f t="shared" si="135"/>
        <v>0.00097139025185555j</v>
      </c>
      <c r="AT250" s="86" t="str">
        <f t="shared" si="136"/>
        <v>-0.000607410732034553+0.00097139025185555j</v>
      </c>
      <c r="AU250" s="86" t="str">
        <f t="shared" si="137"/>
        <v>13.5886562090256-8.5999376659715j</v>
      </c>
      <c r="AW250" s="86" t="str">
        <f t="shared" si="151"/>
        <v>-1.00588799843767-4.30364397717547j</v>
      </c>
      <c r="AX250" s="86">
        <f t="shared" si="138"/>
        <v>12.90772555224509</v>
      </c>
      <c r="AY250" s="86">
        <f t="shared" si="139"/>
        <v>76.844459936640206</v>
      </c>
      <c r="AZ250" s="86" t="str">
        <f t="shared" si="140"/>
        <v>-0.0013453080139281+0.0247639856930004j</v>
      </c>
      <c r="BA250" s="86">
        <f t="shared" si="141"/>
        <v>-32.110790978372698</v>
      </c>
      <c r="BB250" s="86">
        <f t="shared" si="142"/>
        <v>-86.890452974506658</v>
      </c>
      <c r="BD250" s="86" t="str">
        <f t="shared" si="143"/>
        <v>-0.00743579678945239+0.0288822843115686j</v>
      </c>
      <c r="BE250" s="86">
        <f t="shared" si="144"/>
        <v>-30.508650718431408</v>
      </c>
      <c r="BF250" s="86">
        <f t="shared" si="145"/>
        <v>-75.56262352506117</v>
      </c>
      <c r="BH250" s="86">
        <f t="shared" si="152"/>
        <v>31.508650718431408</v>
      </c>
      <c r="BI250" s="157">
        <f t="shared" si="153"/>
        <v>75.56262352506117</v>
      </c>
      <c r="BJ250" s="88"/>
      <c r="BK250" s="88"/>
      <c r="BL250" s="88"/>
      <c r="BM250" s="88"/>
      <c r="BN250" s="42"/>
      <c r="BO250" s="42"/>
      <c r="BP250" s="42"/>
    </row>
    <row r="251" spans="1:68" s="86" customFormat="1">
      <c r="A251" s="86">
        <v>187</v>
      </c>
      <c r="B251" s="86">
        <f t="shared" si="103"/>
        <v>549540.87385762541</v>
      </c>
      <c r="C251" s="86" t="str">
        <f t="shared" si="104"/>
        <v>3452867.14431686j</v>
      </c>
      <c r="D251" s="86">
        <f t="shared" si="105"/>
        <v>0.69800482795979701</v>
      </c>
      <c r="E251" s="86" t="str">
        <f t="shared" si="106"/>
        <v>-0.863216786079215j</v>
      </c>
      <c r="F251" s="86" t="str">
        <f t="shared" si="107"/>
        <v>0.698004827959797-0.863216786079215j</v>
      </c>
      <c r="G251" s="86">
        <f t="shared" si="108"/>
        <v>0.90735464835837665</v>
      </c>
      <c r="H251" s="86">
        <f t="shared" si="109"/>
        <v>-51.040685737543406</v>
      </c>
      <c r="J251" s="86">
        <f t="shared" si="110"/>
        <v>4.8</v>
      </c>
      <c r="K251" s="86" t="str">
        <f t="shared" si="111"/>
        <v>1+141.170473195395j</v>
      </c>
      <c r="L251" s="86">
        <f t="shared" si="112"/>
        <v>-1948.7715545761762</v>
      </c>
      <c r="M251" s="86" t="str">
        <f t="shared" si="113"/>
        <v>19.7400414640595j</v>
      </c>
      <c r="N251" s="86" t="str">
        <f t="shared" si="114"/>
        <v>-1948.77155457618+19.7400414640595j</v>
      </c>
      <c r="O251" s="86" t="str">
        <f t="shared" si="115"/>
        <v>0.000220620675231415-0.0724385153316849j</v>
      </c>
      <c r="P251" s="86" t="str">
        <f t="shared" si="116"/>
        <v>0.00105897924111079-0.347704873592088j</v>
      </c>
      <c r="R251" s="86">
        <f t="shared" si="117"/>
        <v>11.52</v>
      </c>
      <c r="S251" s="86" t="str">
        <f t="shared" si="118"/>
        <v>1+0.293493707266933j</v>
      </c>
      <c r="T251" s="86" t="str">
        <f t="shared" si="119"/>
        <v>-1948.77155457618+19.7400414640595j</v>
      </c>
      <c r="U251" s="86" t="str">
        <f t="shared" si="120"/>
        <v>-0.000511565744255006-0.000155786364777961j</v>
      </c>
      <c r="V251" s="86" t="str">
        <f t="shared" si="121"/>
        <v>-0.00589323737381767-0.00179465892224211j</v>
      </c>
      <c r="X251" s="86" t="str">
        <f t="shared" si="122"/>
        <v>-0.184694963353448-0.150278608499336j</v>
      </c>
      <c r="Y251" s="86">
        <f t="shared" si="123"/>
        <v>-12.464484254530259</v>
      </c>
      <c r="Z251" s="86">
        <f t="shared" si="124"/>
        <v>39.133815277865921</v>
      </c>
      <c r="AB251" s="86" t="str">
        <f t="shared" si="125"/>
        <v>-0.00491266870108175-0.00149604778446325j</v>
      </c>
      <c r="AC251" s="86">
        <f t="shared" si="126"/>
        <v>-45.7884914790911</v>
      </c>
      <c r="AD251" s="86">
        <f t="shared" si="127"/>
        <v>16.936988503621137</v>
      </c>
      <c r="AF251" s="86" t="str">
        <f t="shared" si="128"/>
        <v>-0.00550046087163755-0.00284881030529546j</v>
      </c>
      <c r="AG251" s="86">
        <f t="shared" si="129"/>
        <v>-44.15999259702162</v>
      </c>
      <c r="AH251" s="86">
        <f t="shared" si="130"/>
        <v>27.380637926290603</v>
      </c>
      <c r="AJ251" s="86" t="str">
        <f t="shared" si="131"/>
        <v>15.0495935964351-0.0782061921330004j</v>
      </c>
      <c r="AK251" s="86" t="str">
        <f t="shared" si="132"/>
        <v>30.1-3.1283321614225E-09j</v>
      </c>
      <c r="AL251" s="86" t="str">
        <f t="shared" si="146"/>
        <v>10000-6435.87525769654j</v>
      </c>
      <c r="AM251" s="86" t="str">
        <f t="shared" si="147"/>
        <v>448.329818788504-2477.76162169931j</v>
      </c>
      <c r="AN251" s="86" t="str">
        <f t="shared" si="148"/>
        <v>10448.3298187885-2477.76162169931j</v>
      </c>
      <c r="AO251" s="86" t="str">
        <f t="shared" si="149"/>
        <v>30.0181143288243-0.0193629398208556j</v>
      </c>
      <c r="AP251" s="86" t="str">
        <f t="shared" si="150"/>
        <v>0.666670667253922+0.00115477835118426j</v>
      </c>
      <c r="AQ251" s="86" t="str">
        <f t="shared" si="133"/>
        <v>1+192.918593087272j</v>
      </c>
      <c r="AR251" s="86">
        <f t="shared" si="134"/>
        <v>-6.6602227159887571E-4</v>
      </c>
      <c r="AS251" s="86" t="str">
        <f t="shared" si="135"/>
        <v>0.0010171704640163j</v>
      </c>
      <c r="AT251" s="86" t="str">
        <f t="shared" si="136"/>
        <v>-0.000666022271598876+0.0010171704640163j</v>
      </c>
      <c r="AU251" s="86" t="str">
        <f t="shared" si="137"/>
        <v>13.2297550316294-8.7608830713351j</v>
      </c>
      <c r="AW251" s="86" t="str">
        <f t="shared" si="151"/>
        <v>-1.12566359426983-4.04073316827912j</v>
      </c>
      <c r="AX251" s="86">
        <f t="shared" si="138"/>
        <v>12.453804609066182</v>
      </c>
      <c r="AY251" s="86">
        <f t="shared" si="139"/>
        <v>74.433277118609141</v>
      </c>
      <c r="AZ251" s="86" t="str">
        <f t="shared" si="140"/>
        <v>-0.000515117596494547+0.0215348298914861j</v>
      </c>
      <c r="BA251" s="86">
        <f t="shared" si="141"/>
        <v>-33.334686870024889</v>
      </c>
      <c r="BB251" s="86">
        <f t="shared" si="142"/>
        <v>-88.629734377769793</v>
      </c>
      <c r="BD251" s="86" t="str">
        <f t="shared" si="143"/>
        <v>-0.00531961373583461+0.0254326967324992j</v>
      </c>
      <c r="BE251" s="86">
        <f t="shared" si="144"/>
        <v>-31.706187987955424</v>
      </c>
      <c r="BF251" s="86">
        <f t="shared" si="145"/>
        <v>-78.18608495510037</v>
      </c>
      <c r="BH251" s="86">
        <f t="shared" si="152"/>
        <v>32.706187987955424</v>
      </c>
      <c r="BI251" s="157">
        <f t="shared" si="153"/>
        <v>78.18608495510037</v>
      </c>
      <c r="BJ251" s="88"/>
      <c r="BK251" s="88"/>
      <c r="BL251" s="88"/>
      <c r="BM251" s="88"/>
      <c r="BN251" s="42"/>
      <c r="BO251" s="42"/>
      <c r="BP251" s="42"/>
    </row>
    <row r="252" spans="1:68" s="86" customFormat="1">
      <c r="A252" s="86">
        <v>188</v>
      </c>
      <c r="B252" s="86">
        <f t="shared" si="103"/>
        <v>575439.93733715767</v>
      </c>
      <c r="C252" s="86" t="str">
        <f t="shared" si="104"/>
        <v>3615595.75944117j</v>
      </c>
      <c r="D252" s="86">
        <f t="shared" si="105"/>
        <v>0.66886887851740751</v>
      </c>
      <c r="E252" s="86" t="str">
        <f t="shared" si="106"/>
        <v>-0.903898939860292j</v>
      </c>
      <c r="F252" s="86" t="str">
        <f t="shared" si="107"/>
        <v>0.668868878517408-0.903898939860292j</v>
      </c>
      <c r="G252" s="86">
        <f t="shared" si="108"/>
        <v>1.018909686069968</v>
      </c>
      <c r="H252" s="86">
        <f t="shared" si="109"/>
        <v>-53.499228023425552</v>
      </c>
      <c r="J252" s="86">
        <f t="shared" si="110"/>
        <v>4.8</v>
      </c>
      <c r="K252" s="86" t="str">
        <f t="shared" si="111"/>
        <v>1+147.823632624752j</v>
      </c>
      <c r="L252" s="86">
        <f t="shared" si="112"/>
        <v>-2136.8819970529789</v>
      </c>
      <c r="M252" s="86" t="str">
        <f t="shared" si="113"/>
        <v>20.6703609567252j</v>
      </c>
      <c r="N252" s="86" t="str">
        <f t="shared" si="114"/>
        <v>-2136.88199705298+20.6703609567252j</v>
      </c>
      <c r="O252" s="86" t="str">
        <f t="shared" si="115"/>
        <v>0.000201170970296008-0.0691753098917221j</v>
      </c>
      <c r="P252" s="86" t="str">
        <f t="shared" si="116"/>
        <v>0.000965620657420838-0.332041487480266j</v>
      </c>
      <c r="R252" s="86">
        <f t="shared" si="117"/>
        <v>11.52</v>
      </c>
      <c r="S252" s="86" t="str">
        <f t="shared" si="118"/>
        <v>1+0.307325639552499j</v>
      </c>
      <c r="T252" s="86" t="str">
        <f t="shared" si="119"/>
        <v>-2136.88199705298+20.6703609567252j</v>
      </c>
      <c r="U252" s="86" t="str">
        <f t="shared" si="120"/>
        <v>-0.000466536717680892-0.000148332534198738j</v>
      </c>
      <c r="V252" s="86" t="str">
        <f t="shared" si="121"/>
        <v>-0.00537450298768388-0.00170879079396946j</v>
      </c>
      <c r="X252" s="86" t="str">
        <f t="shared" si="122"/>
        <v>-0.184744661085749-0.137540955503616j</v>
      </c>
      <c r="Y252" s="86">
        <f t="shared" si="123"/>
        <v>-12.753301316982743</v>
      </c>
      <c r="Z252" s="86">
        <f t="shared" si="124"/>
        <v>36.667395228184347</v>
      </c>
      <c r="AB252" s="86" t="str">
        <f t="shared" si="125"/>
        <v>-0.00448024590503825-0.00142446715069145j</v>
      </c>
      <c r="AC252" s="86">
        <f t="shared" si="126"/>
        <v>-46.555741231850376</v>
      </c>
      <c r="AD252" s="86">
        <f t="shared" si="127"/>
        <v>17.637748280445379</v>
      </c>
      <c r="AF252" s="86" t="str">
        <f t="shared" si="128"/>
        <v>-0.00505680259169345-0.00260039341020385j</v>
      </c>
      <c r="AG252" s="86">
        <f t="shared" si="129"/>
        <v>-44.903499904876</v>
      </c>
      <c r="AH252" s="86">
        <f t="shared" si="130"/>
        <v>27.213890006764188</v>
      </c>
      <c r="AJ252" s="86" t="str">
        <f t="shared" si="131"/>
        <v>15.0495543885132-0.0818917230680242j</v>
      </c>
      <c r="AK252" s="86" t="str">
        <f t="shared" si="132"/>
        <v>30.1-3.27576591401129E-09j</v>
      </c>
      <c r="AL252" s="86" t="str">
        <f t="shared" si="146"/>
        <v>10000-6146.21315565899j</v>
      </c>
      <c r="AM252" s="86" t="str">
        <f t="shared" si="147"/>
        <v>426.343805119576-2385.8379339869j</v>
      </c>
      <c r="AN252" s="86" t="str">
        <f t="shared" si="148"/>
        <v>10426.3438051196-2385.8379339869j</v>
      </c>
      <c r="AO252" s="86" t="str">
        <f t="shared" si="149"/>
        <v>30.0176415822132-0.0187916537454748j</v>
      </c>
      <c r="AP252" s="86" t="str">
        <f t="shared" si="150"/>
        <v>0.666671053218284+0.00120919997805343j</v>
      </c>
      <c r="AQ252" s="86" t="str">
        <f t="shared" si="133"/>
        <v>1+202.010566271497j</v>
      </c>
      <c r="AR252" s="86">
        <f t="shared" si="134"/>
        <v>-7.3028854677353579E-4</v>
      </c>
      <c r="AS252" s="86" t="str">
        <f t="shared" si="135"/>
        <v>0.00106510823110565j</v>
      </c>
      <c r="AT252" s="86" t="str">
        <f t="shared" si="136"/>
        <v>-0.000730288546773536+0.00106510823110565j</v>
      </c>
      <c r="AU252" s="86" t="str">
        <f t="shared" si="137"/>
        <v>12.8574048273417-8.90953164148173j</v>
      </c>
      <c r="AW252" s="86" t="str">
        <f t="shared" si="151"/>
        <v>-1.22716719151361-3.78089476238645j</v>
      </c>
      <c r="AX252" s="86">
        <f t="shared" si="138"/>
        <v>11.986874458309169</v>
      </c>
      <c r="AY252" s="86">
        <f t="shared" si="139"/>
        <v>72.018094834824453</v>
      </c>
      <c r="AZ252" s="86" t="str">
        <f t="shared" si="140"/>
        <v>0.000112250395335294+0.0186873976292799j</v>
      </c>
      <c r="BA252" s="86">
        <f t="shared" si="141"/>
        <v>-34.568866773541203</v>
      </c>
      <c r="BB252" s="86">
        <f t="shared" si="142"/>
        <v>-90.344156884730182</v>
      </c>
      <c r="BD252" s="86" t="str">
        <f t="shared" si="143"/>
        <v>-0.0036262715902968+0.0223103559113864j</v>
      </c>
      <c r="BE252" s="86">
        <f t="shared" si="144"/>
        <v>-32.916625446566812</v>
      </c>
      <c r="BF252" s="86">
        <f t="shared" si="145"/>
        <v>-80.768015158411345</v>
      </c>
      <c r="BH252" s="86">
        <f t="shared" si="152"/>
        <v>33.916625446566812</v>
      </c>
      <c r="BI252" s="157">
        <f t="shared" si="153"/>
        <v>80.768015158411345</v>
      </c>
      <c r="BJ252" s="88"/>
      <c r="BK252" s="88"/>
      <c r="BL252" s="88"/>
      <c r="BM252" s="88"/>
      <c r="BN252" s="42"/>
      <c r="BO252" s="42"/>
      <c r="BP252" s="42"/>
    </row>
    <row r="253" spans="1:68" s="86" customFormat="1">
      <c r="A253" s="86">
        <v>189</v>
      </c>
      <c r="B253" s="86">
        <f t="shared" si="103"/>
        <v>602559.58607435855</v>
      </c>
      <c r="C253" s="86" t="str">
        <f t="shared" si="104"/>
        <v>3785993.53792262j</v>
      </c>
      <c r="D253" s="86">
        <f t="shared" si="105"/>
        <v>0.63692194522989909</v>
      </c>
      <c r="E253" s="86" t="str">
        <f t="shared" si="106"/>
        <v>-0.946498384480655j</v>
      </c>
      <c r="F253" s="86" t="str">
        <f t="shared" si="107"/>
        <v>0.636921945229899-0.946498384480655j</v>
      </c>
      <c r="G253" s="86">
        <f t="shared" si="108"/>
        <v>1.1445376790812662</v>
      </c>
      <c r="H253" s="86">
        <f t="shared" si="109"/>
        <v>-56.062424017830381</v>
      </c>
      <c r="J253" s="86">
        <f t="shared" si="110"/>
        <v>4.8</v>
      </c>
      <c r="K253" s="86" t="str">
        <f t="shared" si="111"/>
        <v>1+154.790345797966j</v>
      </c>
      <c r="L253" s="86">
        <f t="shared" si="112"/>
        <v>-2343.1409956956268</v>
      </c>
      <c r="M253" s="86" t="str">
        <f t="shared" si="113"/>
        <v>21.6445250563036j</v>
      </c>
      <c r="N253" s="86" t="str">
        <f t="shared" si="114"/>
        <v>-2343.14099569563+21.6445250563036j</v>
      </c>
      <c r="O253" s="86" t="str">
        <f t="shared" si="115"/>
        <v>0.000183438937736097-0.0660593517989851j</v>
      </c>
      <c r="P253" s="86" t="str">
        <f t="shared" si="116"/>
        <v>0.000880506901133266-0.317084888635128j</v>
      </c>
      <c r="R253" s="86">
        <f t="shared" si="117"/>
        <v>11.52</v>
      </c>
      <c r="S253" s="86" t="str">
        <f t="shared" si="118"/>
        <v>1+0.321809450723423j</v>
      </c>
      <c r="T253" s="86" t="str">
        <f t="shared" si="119"/>
        <v>-2343.14099569563+21.6445250563036j</v>
      </c>
      <c r="U253" s="86" t="str">
        <f t="shared" si="120"/>
        <v>-0.000425472582050698-0.000141271312010021j</v>
      </c>
      <c r="V253" s="86" t="str">
        <f t="shared" si="121"/>
        <v>-0.00490144414522404-0.00162744551435544j</v>
      </c>
      <c r="X253" s="86" t="str">
        <f t="shared" si="122"/>
        <v>-0.184789967734585-0.125096594364483j</v>
      </c>
      <c r="Y253" s="86">
        <f t="shared" si="123"/>
        <v>-13.028012673858749</v>
      </c>
      <c r="Z253" s="86">
        <f t="shared" si="124"/>
        <v>34.096679116387378</v>
      </c>
      <c r="AB253" s="86" t="str">
        <f t="shared" si="125"/>
        <v>-0.00408589875393801-0.00135665681423428j</v>
      </c>
      <c r="AC253" s="86">
        <f t="shared" si="126"/>
        <v>-47.320053866248927</v>
      </c>
      <c r="AD253" s="86">
        <f t="shared" si="127"/>
        <v>18.367914819393292</v>
      </c>
      <c r="AF253" s="86" t="str">
        <f t="shared" si="128"/>
        <v>-0.00464727370473775-0.00237731977168015j</v>
      </c>
      <c r="AG253" s="86">
        <f t="shared" si="129"/>
        <v>-45.646525839011062</v>
      </c>
      <c r="AH253" s="86">
        <f t="shared" si="130"/>
        <v>27.092082184410714</v>
      </c>
      <c r="AJ253" s="86" t="str">
        <f t="shared" si="131"/>
        <v>15.0495113981165-0.0857509161177535j</v>
      </c>
      <c r="AK253" s="86" t="str">
        <f t="shared" si="132"/>
        <v>30.1-3.43014800529328E-09j</v>
      </c>
      <c r="AL253" s="86" t="str">
        <f t="shared" si="146"/>
        <v>10000-5869.58799576176j</v>
      </c>
      <c r="AM253" s="86" t="str">
        <f t="shared" si="147"/>
        <v>404.58863195863-2296.97315437472j</v>
      </c>
      <c r="AN253" s="86" t="str">
        <f t="shared" si="148"/>
        <v>10404.5886319586-2296.97315437472j</v>
      </c>
      <c r="AO253" s="86" t="str">
        <f t="shared" si="149"/>
        <v>30.0171861371067-0.0182297011603874j</v>
      </c>
      <c r="AP253" s="86" t="str">
        <f t="shared" si="150"/>
        <v>0.666671476418765+0.00126618620974718j</v>
      </c>
      <c r="AQ253" s="86" t="str">
        <f t="shared" si="133"/>
        <v>1+211.531030950813j</v>
      </c>
      <c r="AR253" s="86">
        <f t="shared" si="134"/>
        <v>-8.0075511624988428E-4</v>
      </c>
      <c r="AS253" s="86" t="str">
        <f t="shared" si="135"/>
        <v>0.00111530523555472j</v>
      </c>
      <c r="AT253" s="86" t="str">
        <f t="shared" si="136"/>
        <v>-0.000800755116249884+0.00111530523555472j</v>
      </c>
      <c r="AU253" s="86" t="str">
        <f t="shared" si="137"/>
        <v>12.4725001112793-9.04453593057598j</v>
      </c>
      <c r="AW253" s="86" t="str">
        <f t="shared" si="151"/>
        <v>-1.31108858443578-3.5254763904386j</v>
      </c>
      <c r="AX253" s="86">
        <f t="shared" si="138"/>
        <v>11.506931189693198</v>
      </c>
      <c r="AY253" s="86">
        <f t="shared" si="139"/>
        <v>69.60034740208927</v>
      </c>
      <c r="AZ253" s="86" t="str">
        <f t="shared" si="140"/>
        <v>0.000574113644937913+0.0161834368528705j</v>
      </c>
      <c r="BA253" s="86">
        <f t="shared" si="141"/>
        <v>-35.81312267655575</v>
      </c>
      <c r="BB253" s="86">
        <f t="shared" si="142"/>
        <v>-92.031737778517467</v>
      </c>
      <c r="BD253" s="86" t="str">
        <f t="shared" si="143"/>
        <v>-0.00228819722455101+0.0195007305401623j</v>
      </c>
      <c r="BE253" s="86">
        <f t="shared" si="144"/>
        <v>-34.1395946493179</v>
      </c>
      <c r="BF253" s="86">
        <f t="shared" si="145"/>
        <v>-83.307570413500017</v>
      </c>
      <c r="BH253" s="86">
        <f t="shared" si="152"/>
        <v>35.1395946493179</v>
      </c>
      <c r="BI253" s="157">
        <f t="shared" si="153"/>
        <v>83.307570413500017</v>
      </c>
      <c r="BJ253" s="88"/>
      <c r="BK253" s="88"/>
      <c r="BL253" s="88"/>
      <c r="BM253" s="88"/>
      <c r="BN253" s="42"/>
      <c r="BO253" s="42"/>
      <c r="BP253" s="42"/>
    </row>
    <row r="254" spans="1:68" s="86" customFormat="1">
      <c r="A254" s="86">
        <v>190</v>
      </c>
      <c r="B254" s="86">
        <f t="shared" si="103"/>
        <v>630957.3444801938</v>
      </c>
      <c r="C254" s="86" t="str">
        <f t="shared" si="104"/>
        <v>3964421.916295j</v>
      </c>
      <c r="D254" s="86">
        <f t="shared" si="105"/>
        <v>0.60189282944650313</v>
      </c>
      <c r="E254" s="86" t="str">
        <f t="shared" si="106"/>
        <v>-0.99110547907375j</v>
      </c>
      <c r="F254" s="86" t="str">
        <f t="shared" si="107"/>
        <v>0.601892829446503-0.99110547907375j</v>
      </c>
      <c r="G254" s="86">
        <f t="shared" si="108"/>
        <v>1.2858181782506848</v>
      </c>
      <c r="H254" s="86">
        <f t="shared" si="109"/>
        <v>-58.72992363008035</v>
      </c>
      <c r="J254" s="86">
        <f t="shared" si="110"/>
        <v>4.8</v>
      </c>
      <c r="K254" s="86" t="str">
        <f t="shared" si="111"/>
        <v>1+162.085390047721j</v>
      </c>
      <c r="L254" s="86">
        <f t="shared" si="112"/>
        <v>-2569.2994904656321</v>
      </c>
      <c r="M254" s="86" t="str">
        <f t="shared" si="113"/>
        <v>22.6646000954585j</v>
      </c>
      <c r="N254" s="86" t="str">
        <f t="shared" si="114"/>
        <v>-2569.29949046563+22.6646000954585j</v>
      </c>
      <c r="O254" s="86" t="str">
        <f t="shared" si="115"/>
        <v>0.000167272378558988-0.0630839649046831j</v>
      </c>
      <c r="P254" s="86" t="str">
        <f t="shared" si="116"/>
        <v>0.000802907417083142-0.302803031542479j</v>
      </c>
      <c r="R254" s="86">
        <f t="shared" si="117"/>
        <v>11.52</v>
      </c>
      <c r="S254" s="86" t="str">
        <f t="shared" si="118"/>
        <v>1+0.336975862885075j</v>
      </c>
      <c r="T254" s="86" t="str">
        <f t="shared" si="119"/>
        <v>-2569.29949046563+22.6646000954585j</v>
      </c>
      <c r="U254" s="86" t="str">
        <f t="shared" si="120"/>
        <v>-0.00038802399456423-0.000134577643763379j</v>
      </c>
      <c r="V254" s="86" t="str">
        <f t="shared" si="121"/>
        <v>-0.00447003641737993-0.00155033445615413j</v>
      </c>
      <c r="X254" s="86" t="str">
        <f t="shared" si="122"/>
        <v>-0.184831272736231-0.112918928915182j</v>
      </c>
      <c r="Y254" s="86">
        <f t="shared" si="123"/>
        <v>-13.287041657567023</v>
      </c>
      <c r="Z254" s="86">
        <f t="shared" si="124"/>
        <v>31.422000537554794</v>
      </c>
      <c r="AB254" s="86" t="str">
        <f t="shared" si="125"/>
        <v>-0.00372627243862949-0.00129237617218584j</v>
      </c>
      <c r="AC254" s="86">
        <f t="shared" si="126"/>
        <v>-48.081204232766709</v>
      </c>
      <c r="AD254" s="86">
        <f t="shared" si="127"/>
        <v>19.127985543944931</v>
      </c>
      <c r="AF254" s="86" t="str">
        <f t="shared" si="128"/>
        <v>-0.00426962550809355-0.00217684713861026j</v>
      </c>
      <c r="AG254" s="86">
        <f t="shared" si="129"/>
        <v>-46.38869910499632</v>
      </c>
      <c r="AH254" s="86">
        <f t="shared" si="130"/>
        <v>27.014532581299136</v>
      </c>
      <c r="AJ254" s="86" t="str">
        <f t="shared" si="131"/>
        <v>15.0494642603662-0.0897919510431523j</v>
      </c>
      <c r="AK254" s="86" t="str">
        <f t="shared" si="132"/>
        <v>30.1-3.59180590038245E-09j</v>
      </c>
      <c r="AL254" s="86" t="str">
        <f t="shared" si="146"/>
        <v>10000-5605.41301895291j</v>
      </c>
      <c r="AM254" s="86" t="str">
        <f t="shared" si="147"/>
        <v>383.151199131686-2211.01635415198j</v>
      </c>
      <c r="AN254" s="86" t="str">
        <f t="shared" si="148"/>
        <v>10383.1511991317-2211.01635415198j</v>
      </c>
      <c r="AO254" s="86" t="str">
        <f t="shared" si="149"/>
        <v>30.0167477592555-0.0176767178158246j</v>
      </c>
      <c r="AP254" s="86" t="str">
        <f t="shared" si="150"/>
        <v>0.66667194044763+0.00132585788163639j</v>
      </c>
      <c r="AQ254" s="86" t="str">
        <f t="shared" si="133"/>
        <v>1+221.500181307234j</v>
      </c>
      <c r="AR254" s="86">
        <f t="shared" si="134"/>
        <v>-8.780201732377144E-4</v>
      </c>
      <c r="AS254" s="86" t="str">
        <f t="shared" si="135"/>
        <v>0.00116786795193998j</v>
      </c>
      <c r="AT254" s="86" t="str">
        <f t="shared" si="136"/>
        <v>-0.000878020173237714+0.00116786795193998j</v>
      </c>
      <c r="AU254" s="86" t="str">
        <f t="shared" si="137"/>
        <v>12.0761063785998-9.16461916503155j</v>
      </c>
      <c r="AW254" s="86" t="str">
        <f t="shared" si="151"/>
        <v>-1.37822944049964-3.27571745459476j</v>
      </c>
      <c r="AX254" s="86">
        <f t="shared" si="138"/>
        <v>11.013978911676174</v>
      </c>
      <c r="AY254" s="86">
        <f t="shared" si="139"/>
        <v>67.181501975361655</v>
      </c>
      <c r="AZ254" s="86" t="str">
        <f t="shared" si="140"/>
        <v>0.000902199193110035+0.0139874065565007j</v>
      </c>
      <c r="BA254" s="86">
        <f t="shared" si="141"/>
        <v>-37.067225321090575</v>
      </c>
      <c r="BB254" s="86">
        <f t="shared" si="142"/>
        <v>-93.690512480693457</v>
      </c>
      <c r="BD254" s="86" t="str">
        <f t="shared" si="143"/>
        <v>-0.00124621259276751+0.016986281615345j</v>
      </c>
      <c r="BE254" s="86">
        <f t="shared" si="144"/>
        <v>-35.374720193320208</v>
      </c>
      <c r="BF254" s="86">
        <f t="shared" si="145"/>
        <v>-85.803965443339223</v>
      </c>
      <c r="BH254" s="86">
        <f t="shared" si="152"/>
        <v>36.374720193320208</v>
      </c>
      <c r="BI254" s="157">
        <f t="shared" si="153"/>
        <v>85.803965443339223</v>
      </c>
      <c r="BJ254" s="88"/>
      <c r="BK254" s="88"/>
      <c r="BL254" s="88"/>
      <c r="BM254" s="88"/>
      <c r="BN254" s="42"/>
      <c r="BO254" s="42"/>
      <c r="BP254" s="42"/>
    </row>
    <row r="255" spans="1:68" s="86" customFormat="1">
      <c r="A255" s="86">
        <v>191</v>
      </c>
      <c r="B255" s="86">
        <f t="shared" si="103"/>
        <v>660693.44800759654</v>
      </c>
      <c r="C255" s="86" t="str">
        <f t="shared" si="104"/>
        <v>4151259.36507115j</v>
      </c>
      <c r="D255" s="86">
        <f t="shared" si="105"/>
        <v>0.56348416775983412</v>
      </c>
      <c r="E255" s="86" t="str">
        <f t="shared" si="106"/>
        <v>-1.03781484126779j</v>
      </c>
      <c r="F255" s="86" t="str">
        <f t="shared" si="107"/>
        <v>0.563484167759834-1.03781484126779j</v>
      </c>
      <c r="G255" s="86">
        <f t="shared" si="108"/>
        <v>1.4444158031037146</v>
      </c>
      <c r="H255" s="86">
        <f t="shared" si="109"/>
        <v>-61.500141366406694</v>
      </c>
      <c r="J255" s="86">
        <f t="shared" si="110"/>
        <v>4.8</v>
      </c>
      <c r="K255" s="86" t="str">
        <f t="shared" si="111"/>
        <v>1+169.724239140934j</v>
      </c>
      <c r="L255" s="86">
        <f t="shared" si="112"/>
        <v>-2817.2773488535058</v>
      </c>
      <c r="M255" s="86" t="str">
        <f t="shared" si="113"/>
        <v>23.7327497901118j</v>
      </c>
      <c r="N255" s="86" t="str">
        <f t="shared" si="114"/>
        <v>-2817.27734885351+23.7327497901118j</v>
      </c>
      <c r="O255" s="86" t="str">
        <f t="shared" si="115"/>
        <v>0.000152532664619376-0.0602427798563878j</v>
      </c>
      <c r="P255" s="86" t="str">
        <f t="shared" si="116"/>
        <v>0.000732156790173005-0.289165343310661j</v>
      </c>
      <c r="R255" s="86">
        <f t="shared" si="117"/>
        <v>11.52</v>
      </c>
      <c r="S255" s="86" t="str">
        <f t="shared" si="118"/>
        <v>1+0.352857046031048j</v>
      </c>
      <c r="T255" s="86" t="str">
        <f t="shared" si="119"/>
        <v>-2817.27734885351+23.7327497901118j</v>
      </c>
      <c r="U255" s="86" t="str">
        <f t="shared" si="120"/>
        <v>-0.000353872430814485-0.000128228557985674j</v>
      </c>
      <c r="V255" s="86" t="str">
        <f t="shared" si="121"/>
        <v>-0.00407661040298287-0.00147719298799496j</v>
      </c>
      <c r="X255" s="86" t="str">
        <f t="shared" si="122"/>
        <v>-0.184868930743835-0.100981954520252j</v>
      </c>
      <c r="Y255" s="86">
        <f t="shared" si="123"/>
        <v>-13.528726277884166</v>
      </c>
      <c r="Z255" s="86">
        <f t="shared" si="124"/>
        <v>28.644929283813042</v>
      </c>
      <c r="AB255" s="86" t="str">
        <f t="shared" si="125"/>
        <v>-0.00339830810518745-0.00123140462487076j</v>
      </c>
      <c r="AC255" s="86">
        <f t="shared" si="126"/>
        <v>-48.838953950164125</v>
      </c>
      <c r="AD255" s="86">
        <f t="shared" si="127"/>
        <v>19.918396678799212</v>
      </c>
      <c r="AF255" s="86" t="str">
        <f t="shared" si="128"/>
        <v>-0.00392169527565613-0.00199651950492383j</v>
      </c>
      <c r="AG255" s="86">
        <f t="shared" si="129"/>
        <v>-47.129649171460187</v>
      </c>
      <c r="AH255" s="86">
        <f t="shared" si="130"/>
        <v>26.980463839810483</v>
      </c>
      <c r="AJ255" s="86" t="str">
        <f t="shared" si="131"/>
        <v>15.0494125751901-0.0940233924118242j</v>
      </c>
      <c r="AK255" s="86" t="str">
        <f t="shared" si="132"/>
        <v>30.1-3.76108249734812E-09j</v>
      </c>
      <c r="AL255" s="86" t="str">
        <f t="shared" si="146"/>
        <v>10000-5353.12787468805j</v>
      </c>
      <c r="AM255" s="86" t="str">
        <f t="shared" si="147"/>
        <v>362.11324467801-2127.83396054709j</v>
      </c>
      <c r="AN255" s="86" t="str">
        <f t="shared" si="148"/>
        <v>10362.113244678-2127.83396054709j</v>
      </c>
      <c r="AO255" s="86" t="str">
        <f t="shared" si="149"/>
        <v>30.0163262883644-0.0171324240459038j</v>
      </c>
      <c r="AP255" s="86" t="str">
        <f t="shared" si="150"/>
        <v>0.666672449243678+0.00138834151933491j</v>
      </c>
      <c r="AQ255" s="86" t="str">
        <f t="shared" si="133"/>
        <v>1+231.939163245255j</v>
      </c>
      <c r="AR255" s="86">
        <f t="shared" si="134"/>
        <v>-9.6273962354863091E-4</v>
      </c>
      <c r="AS255" s="86" t="str">
        <f t="shared" si="135"/>
        <v>0.00122290787283009j</v>
      </c>
      <c r="AT255" s="86" t="str">
        <f t="shared" si="136"/>
        <v>-0.000962739623548631+0.00122290787283009j</v>
      </c>
      <c r="AU255" s="86" t="str">
        <f t="shared" si="137"/>
        <v>11.6694536124072-9.26860120018371j</v>
      </c>
      <c r="AW255" s="86" t="str">
        <f t="shared" si="151"/>
        <v>-1.42948852565392-3.03274084788109j</v>
      </c>
      <c r="AX255" s="86">
        <f t="shared" si="138"/>
        <v>10.508031897453007</v>
      </c>
      <c r="AY255" s="86">
        <f t="shared" si="139"/>
        <v>64.763059366977103</v>
      </c>
      <c r="AZ255" s="86" t="str">
        <f t="shared" si="140"/>
        <v>0.00112331133688695+0.0120664665859773j</v>
      </c>
      <c r="BA255" s="86">
        <f t="shared" si="141"/>
        <v>-38.330922052711109</v>
      </c>
      <c r="BB255" s="86">
        <f t="shared" si="142"/>
        <v>-95.31854395422377</v>
      </c>
      <c r="BD255" s="86" t="str">
        <f t="shared" si="143"/>
        <v>-0.000448907858512193+0.0147474871789575j</v>
      </c>
      <c r="BE255" s="86">
        <f t="shared" si="144"/>
        <v>-36.621617274007185</v>
      </c>
      <c r="BF255" s="86">
        <f t="shared" si="145"/>
        <v>-88.256476793212471</v>
      </c>
      <c r="BH255" s="86">
        <f t="shared" si="152"/>
        <v>37.621617274007185</v>
      </c>
      <c r="BI255" s="157">
        <f t="shared" si="153"/>
        <v>88.256476793212471</v>
      </c>
      <c r="BJ255" s="88"/>
      <c r="BK255" s="88"/>
      <c r="BL255" s="88"/>
      <c r="BM255" s="88"/>
      <c r="BN255" s="42"/>
      <c r="BO255" s="42"/>
      <c r="BP255" s="42"/>
    </row>
    <row r="256" spans="1:68" s="86" customFormat="1">
      <c r="A256" s="86">
        <v>192</v>
      </c>
      <c r="B256" s="86">
        <f t="shared" ref="B256:B264" si="154">Fstart*10^(Step*A256)</f>
        <v>691830.97091893689</v>
      </c>
      <c r="C256" s="86" t="str">
        <f t="shared" ref="C256:C264" si="155">COMPLEX(0,2*PI()*B256,"j")</f>
        <v>4346902.19152965j</v>
      </c>
      <c r="D256" s="86">
        <f t="shared" ref="D256:D264" si="156">(IMPRODUCT(C256,C256))/wn^2 + 1</f>
        <v>0.5213699076773608</v>
      </c>
      <c r="E256" s="86" t="str">
        <f t="shared" ref="E256:E264" si="157">IMDIV(C256,wn*Qn)</f>
        <v>-1.08672554788241j</v>
      </c>
      <c r="F256" s="86" t="str">
        <f t="shared" ref="F256:F264" si="158">IMSUM(D256,E256)</f>
        <v>0.521369907677361-1.08672554788241j</v>
      </c>
      <c r="G256" s="86">
        <f t="shared" ref="G256:G264" si="159">20*LOG(IMABS(F256),10)</f>
        <v>1.622055313594104</v>
      </c>
      <c r="H256" s="86">
        <f t="shared" ref="H256:H264" si="160">(IMARGUMENT(F256)*(180/PI()))</f>
        <v>-64.370065870195631</v>
      </c>
      <c r="J256" s="86">
        <f t="shared" ref="J256:J264" si="161">Vin/(Rout+DCR/1000)</f>
        <v>4.8</v>
      </c>
      <c r="K256" s="86" t="str">
        <f t="shared" ref="K256:K264" si="162">IMSUM(1,IMPRODUCT(C256,ncap*(Cap*10^-6)*(Rout+(ESR/(ncap*1000)))))</f>
        <v>1+177.72309610069j</v>
      </c>
      <c r="L256" s="86">
        <f t="shared" ref="L256:L264" si="163">(IMPRODUCT(C256,C256))/Gdo^2 + 1</f>
        <v>-3089.1796637020957</v>
      </c>
      <c r="M256" s="86" t="str">
        <f t="shared" ref="M256:M264" si="164">IMDIV(C256,Q*Gdo)</f>
        <v>24.851239828975j</v>
      </c>
      <c r="N256" s="86" t="str">
        <f t="shared" ref="N256:N264" si="165">IMSUM(L256,M256)</f>
        <v>-3089.1796637021+24.851239828975j</v>
      </c>
      <c r="O256" s="86" t="str">
        <f t="shared" ref="O256:O264" si="166">IMDIV(K256,N256)</f>
        <v>0.000139093514360915-0.0575297194729766j</v>
      </c>
      <c r="P256" s="86" t="str">
        <f t="shared" ref="P256:P264" si="167">IMPRODUCT(J256,O256)</f>
        <v>0.000667648868932392-0.276142653470288j</v>
      </c>
      <c r="R256" s="86">
        <f t="shared" ref="R256:R264" si="168">Vin/(1+((DCR*10^-3)/Rout))</f>
        <v>11.52</v>
      </c>
      <c r="S256" s="86" t="str">
        <f t="shared" ref="S256:S264" si="169">IMSUM(1,IMPRODUCT(C256,ncap*(Cap*10^-6)*(ESR/(ncap*1000))))</f>
        <v>1+0.36948668628002j</v>
      </c>
      <c r="T256" s="86" t="str">
        <f t="shared" ref="T256:T264" si="170">IMSUM(L256,M256)</f>
        <v>-3089.1796637021+24.851239828975j</v>
      </c>
      <c r="U256" s="86" t="str">
        <f t="shared" ref="U256:U264" si="171">IMDIV(S256,T256)</f>
        <v>-0.000322727459632699-0.000122202948638585j</v>
      </c>
      <c r="V256" s="86" t="str">
        <f t="shared" ref="V256:V264" si="172">IMPRODUCT(R256,U256)</f>
        <v>-0.00371782033496869-0.0014077779683165j</v>
      </c>
      <c r="X256" s="86" t="str">
        <f t="shared" ref="X256:X264" si="173">IMPRODUCT(Fm,Dmax,P256,F256)</f>
        <v>-0.184903264775103-0.0892601995774151j</v>
      </c>
      <c r="Y256" s="86">
        <f t="shared" ref="Y256:Y264" si="174">20*LOG(IMABS(X256),10)</f>
        <v>-13.751344172584592</v>
      </c>
      <c r="Z256" s="86">
        <f t="shared" ref="Z256:Z264" si="175">IF((IMARGUMENT(X256)*(180/PI()))&lt;0,(IMARGUMENT(X256)*(180/PI()))+180,(IMARGUMENT(X256)*(180/PI()))-180)</f>
        <v>25.768461761692663</v>
      </c>
      <c r="AB256" s="86" t="str">
        <f t="shared" ref="AB256:AB264" si="176">IMPRODUCT(Fm,V256)</f>
        <v>-0.00309921668470214-0.00117353948675934j</v>
      </c>
      <c r="AC256" s="86">
        <f t="shared" ref="AC256:AC264" si="177">20*LOG(IMABS(AB256),10)</f>
        <v>-49.59305155294706</v>
      </c>
      <c r="AD256" s="86">
        <f t="shared" ref="AD256:AD264" si="178">IF((IMARGUMENT(AB256)*(180/PI()))&lt;0,(IMARGUMENT(AB256)*(180/PI()))+180,(IMARGUMENT(AB256)*(180/PI()))-180)</f>
        <v>20.739512326044405</v>
      </c>
      <c r="AF256" s="86" t="str">
        <f t="shared" ref="AF256:AF264" si="179">IMDIV(AB256,IMSUM(1,X256))</f>
        <v>-0.00360141411012766-0.001834141107899j</v>
      </c>
      <c r="AG256" s="86">
        <f t="shared" ref="AG256:AG264" si="180">20*LOG(IMABS(AF256),10)</f>
        <v>-47.869006103699299</v>
      </c>
      <c r="AH256" s="86">
        <f t="shared" ref="AH256:AH264" si="181">IF((IMARGUMENT(AF256)*(180/PI()))&lt;0,(IMARGUMENT(AF256)*(180/PI()))+180,(IMARGUMENT(AF256)*(180/PI()))-180)</f>
        <v>26.988997544525603</v>
      </c>
      <c r="AJ256" s="86" t="str">
        <f t="shared" ref="AJ256:AJ264" si="182">IMDIV(_Rfb1,IMSUM(1,IMPRODUCT(C256,_Cfb1*_Rfb1)))</f>
        <v>15.0493559039296-0.0984542076306511j</v>
      </c>
      <c r="AK256" s="86" t="str">
        <f t="shared" ref="AK256:AK264" si="183">IMDIV(_Rfb2,IMSUM(1,IMPRODUCT(C256,_Cfb2*_Rfb2)))</f>
        <v>30.1-3.93833685454776E-09j</v>
      </c>
      <c r="AL256" s="86" t="str">
        <f t="shared" si="146"/>
        <v>10000-5112.19743235179j</v>
      </c>
      <c r="AM256" s="86" t="str">
        <f t="shared" si="147"/>
        <v>341.55018006797-2047.3084112917j</v>
      </c>
      <c r="AN256" s="86" t="str">
        <f t="shared" si="148"/>
        <v>10341.550180068-2047.3084112917j</v>
      </c>
      <c r="AO256" s="86" t="str">
        <f t="shared" si="149"/>
        <v>30.0159216155642-0.0165966284327883j</v>
      </c>
      <c r="AP256" s="86" t="str">
        <f t="shared" si="150"/>
        <v>0.666673007125664+0.00145376960619795j</v>
      </c>
      <c r="AQ256" s="86" t="str">
        <f t="shared" ref="AQ256:AQ264" si="184">IMSUM(1,IMPRODUCT(C256,_res1*_Cap1))</f>
        <v>1+242.870119245145j</v>
      </c>
      <c r="AR256" s="86">
        <f t="shared" ref="AR256:AR264" si="185">(IMPRODUCT(C256,C256))*_res1*_Cap1*_cap2 + (1/Roerr)</f>
        <v>-1.0556326536037878E-3</v>
      </c>
      <c r="AS256" s="86" t="str">
        <f t="shared" ref="AS256:AS264" si="186">IMPRODUCT(C256,(_Cap1+_cap2+(_Cap1*_res1/Roerr)))</f>
        <v>0.00128054174527658j</v>
      </c>
      <c r="AT256" s="86" t="str">
        <f t="shared" ref="AT256:AT264" si="187">IMSUM(AR256,AS256)</f>
        <v>-0.00105563265360379+0.00128054174527658j</v>
      </c>
      <c r="AU256" s="86" t="str">
        <f t="shared" ref="AU256:AU264" si="188">IMPRODUCT(EA_BW,IMDIV(AQ256,AT256))</f>
        <v>11.2539251487877-9.35542391527863j</v>
      </c>
      <c r="AW256" s="86" t="str">
        <f t="shared" si="151"/>
        <v>-1.46584650044829-2.79754640720408j</v>
      </c>
      <c r="AX256" s="86">
        <f t="shared" ref="AX256:AX264" si="189">20*LOG(IMABS(AW256),10)</f>
        <v>9.989116793347522</v>
      </c>
      <c r="AY256" s="86">
        <f t="shared" ref="AY256:AY264" si="190">IF((IMARGUMENT(AW256)*(180/PI()))&lt;0,(IMARGUMENT(AW256)*(180/PI()))+180,(IMARGUMENT(AW256)*(180/PI()))-180)</f>
        <v>62.346551262588548</v>
      </c>
      <c r="AZ256" s="86" t="str">
        <f t="shared" ref="AZ256:AZ264" si="191">IMPRODUCT(AW256,Fm,V256)</f>
        <v>0.00125994475650589+0.0103904312512395j</v>
      </c>
      <c r="BA256" s="86">
        <f t="shared" ref="BA256:BA264" si="192">20*LOG(IMABS(AZ256),10)</f>
        <v>-39.603934759599504</v>
      </c>
      <c r="BB256" s="86">
        <f t="shared" ref="BB256:BB264" si="193">IF((IMARGUMENT(AZ256)*(180/PI()))&lt;0,(IMARGUMENT(AZ256)*(180/PI()))+180,(IMARGUMENT(AZ256)*(180/PI()))-180)</f>
        <v>-96.913936411367146</v>
      </c>
      <c r="BD256" s="86" t="str">
        <f t="shared" ref="BD256:BD264" si="194">IMDIV(AZ256,IMSUM(1,X256))</f>
        <v>0.000148025403287572+0.0127636924289839j</v>
      </c>
      <c r="BE256" s="86">
        <f t="shared" ref="BE256:BE264" si="195">20*LOG(IMABS(BD256),10)</f>
        <v>-37.879889310351722</v>
      </c>
      <c r="BF256" s="86">
        <f t="shared" ref="BF256:BF264" si="196">IF((IMARGUMENT(BD256)*(180/PI()))&lt;0,(IMARGUMENT(BD256)*(180/PI()))+180,(IMARGUMENT(BD256)*(180/PI()))-180)</f>
        <v>-90.664451192885878</v>
      </c>
      <c r="BH256" s="86">
        <f t="shared" si="152"/>
        <v>38.879889310351722</v>
      </c>
      <c r="BI256" s="157">
        <f t="shared" si="153"/>
        <v>90.664451192885878</v>
      </c>
      <c r="BJ256" s="88"/>
      <c r="BK256" s="88"/>
      <c r="BL256" s="88"/>
      <c r="BM256" s="88"/>
      <c r="BN256" s="42"/>
      <c r="BO256" s="42"/>
      <c r="BP256" s="42"/>
    </row>
    <row r="257" spans="1:68" s="86" customFormat="1">
      <c r="A257" s="86">
        <v>193</v>
      </c>
      <c r="B257" s="86">
        <f t="shared" si="154"/>
        <v>724435.96007499041</v>
      </c>
      <c r="C257" s="86" t="str">
        <f t="shared" si="155"/>
        <v>4551765.38033572j</v>
      </c>
      <c r="D257" s="86">
        <f t="shared" si="156"/>
        <v>0.47519253975022568</v>
      </c>
      <c r="E257" s="86" t="str">
        <f t="shared" si="157"/>
        <v>-1.13794134508393j</v>
      </c>
      <c r="F257" s="86" t="str">
        <f t="shared" si="158"/>
        <v>0.475192539750226-1.13794134508393j</v>
      </c>
      <c r="G257" s="86">
        <f t="shared" si="159"/>
        <v>1.8204881635769576</v>
      </c>
      <c r="H257" s="86">
        <f t="shared" si="160"/>
        <v>-67.335089205580829</v>
      </c>
      <c r="J257" s="86">
        <f t="shared" si="161"/>
        <v>4.8</v>
      </c>
      <c r="K257" s="86" t="str">
        <f t="shared" si="162"/>
        <v>1+186.098927575026j</v>
      </c>
      <c r="L257" s="86">
        <f t="shared" si="163"/>
        <v>-3387.3146234144328</v>
      </c>
      <c r="M257" s="86" t="str">
        <f t="shared" si="164"/>
        <v>26.0224426793793j</v>
      </c>
      <c r="N257" s="86" t="str">
        <f t="shared" si="165"/>
        <v>-3387.31462341443+26.0224426793793j</v>
      </c>
      <c r="O257" s="86" t="str">
        <f t="shared" si="166"/>
        <v>0.000126839881369371-0.0549389848835176j</v>
      </c>
      <c r="P257" s="86" t="str">
        <f t="shared" si="167"/>
        <v>0.000608831430572981-0.263707127440884j</v>
      </c>
      <c r="R257" s="86">
        <f t="shared" si="168"/>
        <v>11.52</v>
      </c>
      <c r="S257" s="86" t="str">
        <f t="shared" si="169"/>
        <v>1+0.386900057328536j</v>
      </c>
      <c r="T257" s="86" t="str">
        <f t="shared" si="170"/>
        <v>-3387.31462341443+26.0224426793793j</v>
      </c>
      <c r="U257" s="86" t="str">
        <f t="shared" si="171"/>
        <v>-0.000294324259985932-0.000116481383449245j</v>
      </c>
      <c r="V257" s="86" t="str">
        <f t="shared" si="172"/>
        <v>-0.00339061547503794-0.0013418655373353j</v>
      </c>
      <c r="X257" s="86" t="str">
        <f t="shared" si="173"/>
        <v>-0.184934569068313-0.0777286685820026j</v>
      </c>
      <c r="Y257" s="86">
        <f t="shared" si="174"/>
        <v>-13.953146074381518</v>
      </c>
      <c r="Z257" s="86">
        <f t="shared" si="175"/>
        <v>22.797191668910017</v>
      </c>
      <c r="AB257" s="86" t="str">
        <f t="shared" si="176"/>
        <v>-0.00282645504754747-0.00111859414582803j</v>
      </c>
      <c r="AC257" s="86">
        <f t="shared" si="177"/>
        <v>-50.343232816998373</v>
      </c>
      <c r="AD257" s="86">
        <f t="shared" si="178"/>
        <v>21.59161291352882</v>
      </c>
      <c r="AF257" s="86" t="str">
        <f t="shared" si="179"/>
        <v>-0.0033068122318661-0.00168775193457684j</v>
      </c>
      <c r="AG257" s="86">
        <f t="shared" si="180"/>
        <v>-48.606400568256703</v>
      </c>
      <c r="AH257" s="86">
        <f t="shared" si="181"/>
        <v>27.039147386075172</v>
      </c>
      <c r="AJ257" s="86" t="str">
        <f t="shared" si="182"/>
        <v>15.0492937656186-0.103093785813072j</v>
      </c>
      <c r="AK257" s="86" t="str">
        <f t="shared" si="183"/>
        <v>30.1-4.12394495223796E-09j</v>
      </c>
      <c r="AL257" s="86" t="str">
        <f t="shared" ref="AL257:AL264" si="197">IMDIV(IMSUM(1,IMPRODUCT(C257,10000,0.000000000045)),IMPRODUCT(C257,0.000000000045))</f>
        <v>10000-4882.11064617378j</v>
      </c>
      <c r="AM257" s="86" t="str">
        <f t="shared" ref="AM257:AM264" si="198">IMDIV(AL257,IMSUM(1,IMPRODUCT(C257,AL257,0.0000000001)))</f>
        <v>321.530132298201-1969.33666689418j</v>
      </c>
      <c r="AN257" s="86" t="str">
        <f t="shared" ref="AN257:AN264" si="199">IMSUM(10000,AM257)</f>
        <v>10321.5301322982-1969.33666689418j</v>
      </c>
      <c r="AO257" s="86" t="str">
        <f t="shared" ref="AO257:AO264" si="200">IMDIV(IMPRODUCT(AN257,AK257),IMSUM(AN257,AK257))</f>
        <v>30.0155336620273-0.0160692274360398j</v>
      </c>
      <c r="AP257" s="86" t="str">
        <f t="shared" ref="AP257:AP264" si="201">IMDIV(AK257,IMSUM(AJ257,AK257))</f>
        <v>0.666673618828953+0.00152228086332762j</v>
      </c>
      <c r="AQ257" s="86" t="str">
        <f t="shared" si="184"/>
        <v>1+254.316235330117j</v>
      </c>
      <c r="AR257" s="86">
        <f t="shared" si="185"/>
        <v>-1.1574878356329409E-3</v>
      </c>
      <c r="AS257" s="86" t="str">
        <f t="shared" si="186"/>
        <v>0.00134089181845003j</v>
      </c>
      <c r="AT257" s="86" t="str">
        <f t="shared" si="187"/>
        <v>-0.00115748783563294+0.00134089181845003j</v>
      </c>
      <c r="AU257" s="86" t="str">
        <f t="shared" si="188"/>
        <v>10.8310419256675-9.42417509176669j</v>
      </c>
      <c r="AW257" s="86" t="str">
        <f t="shared" ref="AW257:AW264" si="202">IMDIV(IMPRODUCT(AP257,AU257),IMPRODUCT(IMSUM(1,IMPRODUCT(C257,1/1500000)),IMSUM(1,IMPRODUCT(C257,1/35000000))))</f>
        <v>-1.48835041002955-2.57100610674864j</v>
      </c>
      <c r="AX257" s="86">
        <f t="shared" si="189"/>
        <v>9.4572747666630175</v>
      </c>
      <c r="AY257" s="86">
        <f t="shared" si="190"/>
        <v>59.933533790547969</v>
      </c>
      <c r="AZ257" s="86" t="str">
        <f t="shared" si="191"/>
        <v>0.00133084314905023+0.00893169324329485j</v>
      </c>
      <c r="BA257" s="86">
        <f t="shared" si="192"/>
        <v>-40.885958050335361</v>
      </c>
      <c r="BB257" s="86">
        <f t="shared" si="193"/>
        <v>-98.474853295923253</v>
      </c>
      <c r="BD257" s="86" t="str">
        <f t="shared" si="194"/>
        <v>0.000582474810714752+0.0110138007258544j</v>
      </c>
      <c r="BE257" s="86">
        <f t="shared" si="195"/>
        <v>-39.149125801593719</v>
      </c>
      <c r="BF257" s="86">
        <f t="shared" si="196"/>
        <v>-93.027318823376845</v>
      </c>
      <c r="BH257" s="86">
        <f t="shared" ref="BH257:BH264" si="203">1-BE257</f>
        <v>40.149125801593719</v>
      </c>
      <c r="BI257" s="157">
        <f t="shared" ref="BI257:BI264" si="204">+-1*BF257</f>
        <v>93.027318823376845</v>
      </c>
      <c r="BJ257" s="88"/>
      <c r="BK257" s="88"/>
      <c r="BL257" s="88"/>
      <c r="BM257" s="88"/>
      <c r="BN257" s="42"/>
      <c r="BO257" s="42"/>
      <c r="BP257" s="42"/>
    </row>
    <row r="258" spans="1:68" s="86" customFormat="1">
      <c r="A258" s="86">
        <v>194</v>
      </c>
      <c r="B258" s="86">
        <f t="shared" si="154"/>
        <v>758577.57502918388</v>
      </c>
      <c r="C258" s="86" t="str">
        <f t="shared" si="155"/>
        <v>4766283.47377929j</v>
      </c>
      <c r="D258" s="86">
        <f t="shared" si="156"/>
        <v>0.42456006266284185</v>
      </c>
      <c r="E258" s="86" t="str">
        <f t="shared" si="157"/>
        <v>-1.19157086844482j</v>
      </c>
      <c r="F258" s="86" t="str">
        <f t="shared" si="158"/>
        <v>0.424560062662842-1.19157086844482j</v>
      </c>
      <c r="G258" s="86">
        <f t="shared" si="159"/>
        <v>2.0414505737195561</v>
      </c>
      <c r="H258" s="86">
        <f t="shared" si="160"/>
        <v>-70.3888731559814</v>
      </c>
      <c r="J258" s="86">
        <f t="shared" si="161"/>
        <v>4.8</v>
      </c>
      <c r="K258" s="86" t="str">
        <f t="shared" si="162"/>
        <v>1+194.869499825466j</v>
      </c>
      <c r="L258" s="86">
        <f t="shared" si="163"/>
        <v>-3714.2131062470285</v>
      </c>
      <c r="M258" s="86" t="str">
        <f t="shared" si="164"/>
        <v>27.2488426195962j</v>
      </c>
      <c r="N258" s="86" t="str">
        <f t="shared" si="165"/>
        <v>-3714.21310624703+27.2488426195962j</v>
      </c>
      <c r="O258" s="86" t="str">
        <f t="shared" si="166"/>
        <v>0.000115666944951382-0.0524650423820152j</v>
      </c>
      <c r="P258" s="86" t="str">
        <f t="shared" si="167"/>
        <v>0.000555201335766634-0.251832203433673j</v>
      </c>
      <c r="R258" s="86">
        <f t="shared" si="168"/>
        <v>11.52</v>
      </c>
      <c r="S258" s="86" t="str">
        <f t="shared" si="169"/>
        <v>1+0.40513409527124j</v>
      </c>
      <c r="T258" s="86" t="str">
        <f t="shared" si="170"/>
        <v>-3714.21310624703+27.2488426195962j</v>
      </c>
      <c r="U258" s="86" t="str">
        <f t="shared" si="171"/>
        <v>-0.000268421358247019-0.00011104593485068j</v>
      </c>
      <c r="V258" s="86" t="str">
        <f t="shared" si="172"/>
        <v>-0.00309221404700566-0.00127924916947983j</v>
      </c>
      <c r="X258" s="86" t="str">
        <f t="shared" si="173"/>
        <v>-0.184963111674816-0.0663627865772139j</v>
      </c>
      <c r="Y258" s="86">
        <f t="shared" si="174"/>
        <v>-14.132397756626776</v>
      </c>
      <c r="Z258" s="86">
        <f t="shared" si="175"/>
        <v>19.737443658737021</v>
      </c>
      <c r="AB258" s="86" t="str">
        <f t="shared" si="176"/>
        <v>-0.00257770427392936-0.00106639644004654j</v>
      </c>
      <c r="AC258" s="86">
        <f t="shared" si="177"/>
        <v>-51.089221289806275</v>
      </c>
      <c r="AD258" s="86">
        <f t="shared" si="178"/>
        <v>22.474883121816248</v>
      </c>
      <c r="AF258" s="86" t="str">
        <f t="shared" si="179"/>
        <v>-0.00303602209608654-0.00155560483778616j</v>
      </c>
      <c r="AG258" s="86">
        <f t="shared" si="180"/>
        <v>-49.341464046761075</v>
      </c>
      <c r="AH258" s="86">
        <f t="shared" si="181"/>
        <v>27.129811228378742</v>
      </c>
      <c r="AJ258" s="86" t="str">
        <f t="shared" si="182"/>
        <v>15.0492256329052-0.107951957518074j</v>
      </c>
      <c r="AK258" s="86" t="str">
        <f t="shared" si="183"/>
        <v>30.1-4.31830049007879E-09j</v>
      </c>
      <c r="AL258" s="86" t="str">
        <f t="shared" si="197"/>
        <v>10000-4662.37947123228j</v>
      </c>
      <c r="AM258" s="86" t="str">
        <f t="shared" si="198"/>
        <v>302.113213635439-1893.82862749445j</v>
      </c>
      <c r="AN258" s="86" t="str">
        <f t="shared" si="199"/>
        <v>10302.1132136354-1893.82862749445j</v>
      </c>
      <c r="AO258" s="86" t="str">
        <f t="shared" si="200"/>
        <v>30.0151623593716-0.0155502014473586j</v>
      </c>
      <c r="AP258" s="86" t="str">
        <f t="shared" si="201"/>
        <v>0.666674289545692+0.00159402054265968j</v>
      </c>
      <c r="AQ258" s="86" t="str">
        <f t="shared" si="184"/>
        <v>1+266.301790246996j</v>
      </c>
      <c r="AR258" s="86">
        <f t="shared" si="185"/>
        <v>-1.2691698218920996E-3</v>
      </c>
      <c r="AS258" s="86" t="str">
        <f t="shared" si="186"/>
        <v>0.00140408610294691j</v>
      </c>
      <c r="AT258" s="86" t="str">
        <f t="shared" si="187"/>
        <v>-0.0012691698218921+0.00140408610294691j</v>
      </c>
      <c r="AU258" s="86" t="str">
        <f t="shared" si="188"/>
        <v>10.4024423656633-9.47410981175046j</v>
      </c>
      <c r="AW258" s="86" t="str">
        <f t="shared" si="202"/>
        <v>-1.49809800367172-2.35386101632281j</v>
      </c>
      <c r="AX258" s="86">
        <f t="shared" si="189"/>
        <v>8.9125634711789754</v>
      </c>
      <c r="AY258" s="86">
        <f t="shared" si="190"/>
        <v>57.525577579038512</v>
      </c>
      <c r="AZ258" s="86" t="str">
        <f t="shared" si="191"/>
        <v>0.00135150461865866+0.00766512397996737j</v>
      </c>
      <c r="BA258" s="86">
        <f t="shared" si="192"/>
        <v>-42.176657818627305</v>
      </c>
      <c r="BB258" s="86">
        <f t="shared" si="193"/>
        <v>-99.999539299145269</v>
      </c>
      <c r="BD258" s="86" t="str">
        <f t="shared" si="194"/>
        <v>0.000886581056782458+0.00947682255866229j</v>
      </c>
      <c r="BE258" s="86">
        <f t="shared" si="195"/>
        <v>-40.428900575582105</v>
      </c>
      <c r="BF258" s="86">
        <f t="shared" si="196"/>
        <v>-95.344611192582704</v>
      </c>
      <c r="BH258" s="86">
        <f t="shared" si="203"/>
        <v>41.428900575582105</v>
      </c>
      <c r="BI258" s="157">
        <f t="shared" si="204"/>
        <v>95.344611192582704</v>
      </c>
      <c r="BJ258" s="88"/>
      <c r="BK258" s="88"/>
      <c r="BL258" s="88"/>
      <c r="BM258" s="88"/>
      <c r="BN258" s="42"/>
      <c r="BO258" s="42"/>
      <c r="BP258" s="42"/>
    </row>
    <row r="259" spans="1:68" s="86" customFormat="1">
      <c r="A259" s="86">
        <v>195</v>
      </c>
      <c r="B259" s="86">
        <f t="shared" si="154"/>
        <v>794328.23472428159</v>
      </c>
      <c r="C259" s="86" t="str">
        <f t="shared" si="155"/>
        <v>4990911.4934975j</v>
      </c>
      <c r="D259" s="86">
        <f t="shared" si="156"/>
        <v>0.36904265551980875</v>
      </c>
      <c r="E259" s="86" t="str">
        <f t="shared" si="157"/>
        <v>-1.24772787337438j</v>
      </c>
      <c r="F259" s="86" t="str">
        <f t="shared" si="158"/>
        <v>0.369042655519809-1.24772787337438j</v>
      </c>
      <c r="G259" s="86">
        <f t="shared" si="159"/>
        <v>2.2866140302183862</v>
      </c>
      <c r="H259" s="86">
        <f t="shared" si="160"/>
        <v>-73.523271333258336</v>
      </c>
      <c r="J259" s="86">
        <f t="shared" si="161"/>
        <v>4.8</v>
      </c>
      <c r="K259" s="86" t="str">
        <f t="shared" si="162"/>
        <v>1+204.053416411645j</v>
      </c>
      <c r="L259" s="86">
        <f t="shared" si="163"/>
        <v>-4072.6501650252394</v>
      </c>
      <c r="M259" s="86" t="str">
        <f t="shared" si="164"/>
        <v>28.5330410083252j</v>
      </c>
      <c r="N259" s="86" t="str">
        <f t="shared" si="165"/>
        <v>-4072.65016502524+28.5330410083252j</v>
      </c>
      <c r="O259" s="86" t="str">
        <f t="shared" si="166"/>
        <v>0.000105479193047382-0.0501026109538774j</v>
      </c>
      <c r="P259" s="86" t="str">
        <f t="shared" si="167"/>
        <v>0.000506300126627434-0.240492532578612j</v>
      </c>
      <c r="R259" s="86">
        <f t="shared" si="168"/>
        <v>11.52</v>
      </c>
      <c r="S259" s="86" t="str">
        <f t="shared" si="169"/>
        <v>1+0.424227476947288j</v>
      </c>
      <c r="T259" s="86" t="str">
        <f t="shared" si="170"/>
        <v>-4072.65016502524+28.5330410083252j</v>
      </c>
      <c r="U259" s="86" t="str">
        <f t="shared" si="171"/>
        <v>-0.000244798566128771-0.00010588003069268j</v>
      </c>
      <c r="V259" s="86" t="str">
        <f t="shared" si="172"/>
        <v>-0.00282007948180344-0.00121973795357967j</v>
      </c>
      <c r="X259" s="86" t="str">
        <f t="shared" si="173"/>
        <v>-0.184989136813269-0.055138344823673j</v>
      </c>
      <c r="Y259" s="86">
        <f t="shared" si="174"/>
        <v>-14.287429551562434</v>
      </c>
      <c r="Z259" s="86">
        <f t="shared" si="175"/>
        <v>16.597351196076431</v>
      </c>
      <c r="AB259" s="86" t="str">
        <f t="shared" si="176"/>
        <v>-0.00235084985145335-0.0010167872237243j</v>
      </c>
      <c r="AC259" s="86">
        <f t="shared" si="177"/>
        <v>-51.830729051477455</v>
      </c>
      <c r="AD259" s="86">
        <f t="shared" si="178"/>
        <v>23.389399432597799</v>
      </c>
      <c r="AF259" s="86" t="str">
        <f t="shared" si="179"/>
        <v>-0.00278727969644212-0.00143614430876436j</v>
      </c>
      <c r="AG259" s="86">
        <f t="shared" si="180"/>
        <v>-50.073829295306815</v>
      </c>
      <c r="AH259" s="86">
        <f t="shared" si="181"/>
        <v>27.259762281265068</v>
      </c>
      <c r="AJ259" s="86" t="str">
        <f t="shared" si="182"/>
        <v>15.0491509275796-0.113039015399413j</v>
      </c>
      <c r="AK259" s="86" t="str">
        <f t="shared" si="183"/>
        <v>30.1-4.52181572222368E-09j</v>
      </c>
      <c r="AL259" s="86" t="str">
        <f t="shared" si="197"/>
        <v>9999.99999999996-4452.53782824536j</v>
      </c>
      <c r="AM259" s="86" t="str">
        <f t="shared" si="198"/>
        <v>283.351028156291-1820.70550283739j</v>
      </c>
      <c r="AN259" s="86" t="str">
        <f t="shared" si="199"/>
        <v>10283.3510281563-1820.70550283739j</v>
      </c>
      <c r="AO259" s="86" t="str">
        <f t="shared" si="200"/>
        <v>30.0148076323739-0.0150396078361153j</v>
      </c>
      <c r="AP259" s="86" t="str">
        <f t="shared" si="201"/>
        <v>0.666675024968869+0.00166914073373176j</v>
      </c>
      <c r="AQ259" s="86" t="str">
        <f t="shared" si="184"/>
        <v>1+278.852206964692j</v>
      </c>
      <c r="AR259" s="86">
        <f t="shared" si="185"/>
        <v>-1.3916266847272239E-3</v>
      </c>
      <c r="AS259" s="86" t="str">
        <f t="shared" si="186"/>
        <v>0.00147025864231725j</v>
      </c>
      <c r="AT259" s="86" t="str">
        <f t="shared" si="187"/>
        <v>-0.00139162668472722+0.00147025864231725j</v>
      </c>
      <c r="AU259" s="86" t="str">
        <f t="shared" si="188"/>
        <v>9.96985837078007-9.50466846411724j</v>
      </c>
      <c r="AW259" s="86" t="str">
        <f t="shared" si="202"/>
        <v>-1.49622204314888-2.14672005601482j</v>
      </c>
      <c r="AX259" s="86">
        <f t="shared" si="189"/>
        <v>8.3550587155950833</v>
      </c>
      <c r="AY259" s="86">
        <f t="shared" si="190"/>
        <v>55.124254607376159</v>
      </c>
      <c r="AZ259" s="86" t="str">
        <f t="shared" si="191"/>
        <v>0.00133463584200919+0.00656795598212282j</v>
      </c>
      <c r="BA259" s="86">
        <f t="shared" si="192"/>
        <v>-43.47567033588237</v>
      </c>
      <c r="BB259" s="86">
        <f t="shared" si="193"/>
        <v>-101.48634596002606</v>
      </c>
      <c r="BD259" s="86" t="str">
        <f t="shared" si="194"/>
        <v>0.00108738953128204+0.00813229999799125j</v>
      </c>
      <c r="BE259" s="86">
        <f t="shared" si="195"/>
        <v>-41.718770579711723</v>
      </c>
      <c r="BF259" s="86">
        <f t="shared" si="196"/>
        <v>-97.615983111358858</v>
      </c>
      <c r="BH259" s="86">
        <f t="shared" si="203"/>
        <v>42.718770579711723</v>
      </c>
      <c r="BI259" s="157">
        <f t="shared" si="204"/>
        <v>97.615983111358858</v>
      </c>
      <c r="BJ259" s="88"/>
      <c r="BK259" s="88"/>
      <c r="BL259" s="88"/>
      <c r="BM259" s="88"/>
      <c r="BN259" s="42"/>
      <c r="BO259" s="42"/>
      <c r="BP259" s="42"/>
    </row>
    <row r="260" spans="1:68" s="86" customFormat="1">
      <c r="A260" s="86">
        <v>196</v>
      </c>
      <c r="B260" s="86">
        <f t="shared" si="154"/>
        <v>831763.77110267093</v>
      </c>
      <c r="C260" s="86" t="str">
        <f t="shared" si="155"/>
        <v>5226125.90563659j</v>
      </c>
      <c r="D260" s="86">
        <f t="shared" si="156"/>
        <v>0.30816902908106192</v>
      </c>
      <c r="E260" s="86" t="str">
        <f t="shared" si="157"/>
        <v>-1.30653147640915j</v>
      </c>
      <c r="F260" s="86" t="str">
        <f t="shared" si="158"/>
        <v>0.308169029081062-1.30653147640915j</v>
      </c>
      <c r="G260" s="86">
        <f t="shared" si="159"/>
        <v>2.5575301507768078</v>
      </c>
      <c r="H260" s="86">
        <f t="shared" si="160"/>
        <v>-76.728325334817654</v>
      </c>
      <c r="J260" s="86">
        <f t="shared" si="161"/>
        <v>4.8</v>
      </c>
      <c r="K260" s="86" t="str">
        <f t="shared" si="162"/>
        <v>1+213.670157651952j</v>
      </c>
      <c r="L260" s="86">
        <f t="shared" si="163"/>
        <v>-4465.6685846652872</v>
      </c>
      <c r="M260" s="86" t="str">
        <f t="shared" si="164"/>
        <v>29.8777618025244j</v>
      </c>
      <c r="N260" s="86" t="str">
        <f t="shared" si="165"/>
        <v>-4465.66858466529+29.8777618025244j</v>
      </c>
      <c r="O260" s="86" t="str">
        <f t="shared" si="166"/>
        <v>0.0000961895887607345-0.0478466504334974j</v>
      </c>
      <c r="P260" s="86" t="str">
        <f t="shared" si="167"/>
        <v>0.000461710026051526-0.229663922080788j</v>
      </c>
      <c r="R260" s="86">
        <f t="shared" si="168"/>
        <v>11.52</v>
      </c>
      <c r="S260" s="86" t="str">
        <f t="shared" si="169"/>
        <v>1+0.44422070197911j</v>
      </c>
      <c r="T260" s="86" t="str">
        <f t="shared" si="170"/>
        <v>-4465.66858466529+29.8777618025244j</v>
      </c>
      <c r="U260" s="86" t="str">
        <f t="shared" si="171"/>
        <v>-0.000223255101361924-0.000100968322250137j</v>
      </c>
      <c r="V260" s="86" t="str">
        <f t="shared" si="172"/>
        <v>-0.00257189876768936-0.00116315507232158j</v>
      </c>
      <c r="X260" s="86" t="str">
        <f t="shared" si="173"/>
        <v>-0.185012867008274-0.0440314475306772j</v>
      </c>
      <c r="Y260" s="86">
        <f t="shared" si="174"/>
        <v>-14.416691499813844</v>
      </c>
      <c r="Z260" s="86">
        <f t="shared" si="175"/>
        <v>13.386860367721852</v>
      </c>
      <c r="AB260" s="86" t="str">
        <f t="shared" si="176"/>
        <v>-0.00214396362761701-0.000969619099967973j</v>
      </c>
      <c r="AC260" s="86">
        <f t="shared" si="177"/>
        <v>-52.567457731453246</v>
      </c>
      <c r="AD260" s="86">
        <f t="shared" si="178"/>
        <v>24.335117481185364</v>
      </c>
      <c r="AF260" s="86" t="str">
        <f t="shared" si="179"/>
        <v>-0.00255892437714103-0.00132798690997986j</v>
      </c>
      <c r="AG260" s="86">
        <f t="shared" si="180"/>
        <v>-50.803131082758064</v>
      </c>
      <c r="AH260" s="86">
        <f t="shared" si="181"/>
        <v>27.427639622895526</v>
      </c>
      <c r="AJ260" s="86" t="str">
        <f t="shared" si="182"/>
        <v>15.0490690156715-0.118365735804963j</v>
      </c>
      <c r="AK260" s="86" t="str">
        <f t="shared" si="183"/>
        <v>30.1-4.7349223317658E-09j</v>
      </c>
      <c r="AL260" s="86" t="str">
        <f t="shared" si="197"/>
        <v>10000-4252.1406149543j</v>
      </c>
      <c r="AM260" s="86" t="str">
        <f t="shared" si="198"/>
        <v>265.286413074869-1749.89818264292j</v>
      </c>
      <c r="AN260" s="86" t="str">
        <f t="shared" si="199"/>
        <v>10265.2864130749-1749.89818264292j</v>
      </c>
      <c r="AO260" s="86" t="str">
        <f t="shared" si="200"/>
        <v>30.0144693843632-0.0145375716191141j</v>
      </c>
      <c r="AP260" s="86" t="str">
        <f t="shared" si="201"/>
        <v>0.666675831340616+0.00174780068475747j</v>
      </c>
      <c r="AQ260" s="86" t="str">
        <f t="shared" si="184"/>
        <v>1+291.994106599728j</v>
      </c>
      <c r="AR260" s="86">
        <f t="shared" si="185"/>
        <v>-1.5258979647940496E-3</v>
      </c>
      <c r="AS260" s="86" t="str">
        <f t="shared" si="186"/>
        <v>0.00153954979738895j</v>
      </c>
      <c r="AT260" s="86" t="str">
        <f t="shared" si="187"/>
        <v>-0.00152589796479405+0.00153954979738895j</v>
      </c>
      <c r="AU260" s="86" t="str">
        <f t="shared" si="188"/>
        <v>9.53508812144832-9.51549055671686j</v>
      </c>
      <c r="AW260" s="86" t="str">
        <f t="shared" si="202"/>
        <v>-1.48387478857388-1.95006057134309j</v>
      </c>
      <c r="AX260" s="86">
        <f t="shared" si="189"/>
        <v>7.7848557330194303</v>
      </c>
      <c r="AY260" s="86">
        <f t="shared" si="190"/>
        <v>52.731122315237641</v>
      </c>
      <c r="AZ260" s="86" t="str">
        <f t="shared" si="191"/>
        <v>0.00129055759857156+0.00561965227357179j</v>
      </c>
      <c r="BA260" s="86">
        <f t="shared" si="192"/>
        <v>-44.782601998433833</v>
      </c>
      <c r="BB260" s="86">
        <f t="shared" si="193"/>
        <v>-102.93376020357701</v>
      </c>
      <c r="BD260" s="86" t="str">
        <f t="shared" si="194"/>
        <v>0.00120746845669522+0.00696062382818663j</v>
      </c>
      <c r="BE260" s="86">
        <f t="shared" si="195"/>
        <v>-43.018275349738659</v>
      </c>
      <c r="BF260" s="86">
        <f t="shared" si="196"/>
        <v>-99.841238061866832</v>
      </c>
      <c r="BH260" s="86">
        <f t="shared" si="203"/>
        <v>44.018275349738659</v>
      </c>
      <c r="BI260" s="157">
        <f t="shared" si="204"/>
        <v>99.841238061866832</v>
      </c>
      <c r="BJ260" s="88"/>
      <c r="BK260" s="88"/>
      <c r="BL260" s="88"/>
      <c r="BM260" s="88"/>
      <c r="BN260" s="42"/>
      <c r="BO260" s="42"/>
      <c r="BP260" s="42"/>
    </row>
    <row r="261" spans="1:68" s="86" customFormat="1">
      <c r="A261" s="86">
        <v>197</v>
      </c>
      <c r="B261" s="86">
        <f t="shared" si="154"/>
        <v>870963.58995608194</v>
      </c>
      <c r="C261" s="86" t="str">
        <f t="shared" si="155"/>
        <v>5472425.63150044j</v>
      </c>
      <c r="D261" s="86">
        <f t="shared" si="156"/>
        <v>0.24142242497081368</v>
      </c>
      <c r="E261" s="86" t="str">
        <f t="shared" si="157"/>
        <v>-1.36810640787511j</v>
      </c>
      <c r="F261" s="86" t="str">
        <f t="shared" si="158"/>
        <v>0.241422424970814-1.36810640787511j</v>
      </c>
      <c r="G261" s="86">
        <f t="shared" si="159"/>
        <v>2.8555729337941083</v>
      </c>
      <c r="H261" s="86">
        <f t="shared" si="160"/>
        <v>-79.992349893417824</v>
      </c>
      <c r="J261" s="86">
        <f t="shared" si="161"/>
        <v>4.8</v>
      </c>
      <c r="K261" s="86" t="str">
        <f t="shared" si="162"/>
        <v>1+223.740121943895j</v>
      </c>
      <c r="L261" s="86">
        <f t="shared" si="163"/>
        <v>-4896.6047124832321</v>
      </c>
      <c r="M261" s="86" t="str">
        <f t="shared" si="164"/>
        <v>31.285857335288j</v>
      </c>
      <c r="N261" s="86" t="str">
        <f t="shared" si="165"/>
        <v>-4896.60471248323+31.285857335288j</v>
      </c>
      <c r="O261" s="86" t="str">
        <f t="shared" si="166"/>
        <v>0.0000877188126526413-0.0456923502555247j</v>
      </c>
      <c r="P261" s="86" t="str">
        <f t="shared" si="167"/>
        <v>0.000421050300732678-0.219323281226519j</v>
      </c>
      <c r="R261" s="86">
        <f t="shared" si="168"/>
        <v>11.52</v>
      </c>
      <c r="S261" s="86" t="str">
        <f t="shared" si="169"/>
        <v>1+0.465156178677537j</v>
      </c>
      <c r="T261" s="86" t="str">
        <f t="shared" si="170"/>
        <v>-4896.60471248323+31.285857335288j</v>
      </c>
      <c r="U261" s="86" t="str">
        <f t="shared" si="171"/>
        <v>-0.000203607874817741-0.0000962965673743959j</v>
      </c>
      <c r="V261" s="86" t="str">
        <f t="shared" si="172"/>
        <v>-0.00234556271790038-0.00110933645615304j</v>
      </c>
      <c r="X261" s="86" t="str">
        <f t="shared" si="173"/>
        <v>-0.185034505033839-0.0330184594992846j</v>
      </c>
      <c r="Y261" s="86">
        <f t="shared" si="174"/>
        <v>-14.51881111530632</v>
      </c>
      <c r="Z261" s="86">
        <f t="shared" si="175"/>
        <v>10.11764470187947</v>
      </c>
      <c r="AB261" s="86" t="str">
        <f t="shared" si="176"/>
        <v>-0.00195528736070388-0.000924755298560387j</v>
      </c>
      <c r="AC261" s="86">
        <f t="shared" si="177"/>
        <v>-53.299099803325603</v>
      </c>
      <c r="AD261" s="86">
        <f t="shared" si="178"/>
        <v>25.311859437637878</v>
      </c>
      <c r="AF261" s="86" t="str">
        <f t="shared" si="179"/>
        <v>-0.00234939743948731-0.0012299033381842j</v>
      </c>
      <c r="AG261" s="86">
        <f t="shared" si="180"/>
        <v>-51.52900723735808</v>
      </c>
      <c r="AH261" s="86">
        <f t="shared" si="181"/>
        <v>27.631938359959577</v>
      </c>
      <c r="AJ261" s="86" t="str">
        <f t="shared" si="182"/>
        <v>15.048979202075-0.123943401367595j</v>
      </c>
      <c r="AK261" s="86" t="str">
        <f t="shared" si="183"/>
        <v>30.1-4.95807234639571E-09j</v>
      </c>
      <c r="AL261" s="86" t="str">
        <f t="shared" si="197"/>
        <v>10000-4060.76276200199j</v>
      </c>
      <c r="AM261" s="86" t="str">
        <f t="shared" si="198"/>
        <v>247.953402892145-1681.34565085036j</v>
      </c>
      <c r="AN261" s="86" t="str">
        <f t="shared" si="199"/>
        <v>10247.9534028921-1681.34565085036j</v>
      </c>
      <c r="AO261" s="86" t="str">
        <f t="shared" si="200"/>
        <v>30.0141474855179-0.0140442744206435j</v>
      </c>
      <c r="AP261" s="86" t="str">
        <f t="shared" si="201"/>
        <v>0.666676715505172+0.00183016713865922j</v>
      </c>
      <c r="AQ261" s="86" t="str">
        <f t="shared" si="184"/>
        <v>1+305.755364883193j</v>
      </c>
      <c r="AR261" s="86">
        <f t="shared" si="185"/>
        <v>-1.6731234957555532E-3</v>
      </c>
      <c r="AS261" s="86" t="str">
        <f t="shared" si="186"/>
        <v>0.00161210654399195j</v>
      </c>
      <c r="AT261" s="86" t="str">
        <f t="shared" si="187"/>
        <v>-0.00167312349575555+0.00161210654399195j</v>
      </c>
      <c r="AU261" s="86" t="str">
        <f t="shared" si="188"/>
        <v>9.09996655646358-9.50642369967668j</v>
      </c>
      <c r="AW261" s="86" t="str">
        <f t="shared" si="202"/>
        <v>-1.46221287926853-1.76423073085006j</v>
      </c>
      <c r="AX261" s="86">
        <f t="shared" si="189"/>
        <v>7.2020699674213962</v>
      </c>
      <c r="AY261" s="86">
        <f t="shared" si="190"/>
        <v>50.347705567484269</v>
      </c>
      <c r="AZ261" s="86" t="str">
        <f t="shared" si="191"/>
        <v>0.00122756464525554+0.00480176715712331j</v>
      </c>
      <c r="BA261" s="86">
        <f t="shared" si="192"/>
        <v>-46.097029835904202</v>
      </c>
      <c r="BB261" s="86">
        <f t="shared" si="193"/>
        <v>-104.34043499487794</v>
      </c>
      <c r="BD261" s="86" t="str">
        <f t="shared" si="194"/>
        <v>0.00126548592933923+0.00594325966307227j</v>
      </c>
      <c r="BE261" s="86">
        <f t="shared" si="195"/>
        <v>-44.32693726993665</v>
      </c>
      <c r="BF261" s="86">
        <f t="shared" si="196"/>
        <v>-102.02035607255628</v>
      </c>
      <c r="BH261" s="86">
        <f t="shared" si="203"/>
        <v>45.32693726993665</v>
      </c>
      <c r="BI261" s="157">
        <f t="shared" si="204"/>
        <v>102.02035607255628</v>
      </c>
      <c r="BJ261" s="88"/>
      <c r="BK261" s="88"/>
      <c r="BL261" s="88"/>
      <c r="BM261" s="88"/>
      <c r="BN261" s="42"/>
      <c r="BO261" s="42"/>
      <c r="BP261" s="42"/>
    </row>
    <row r="262" spans="1:68" s="86" customFormat="1">
      <c r="A262" s="86">
        <v>198</v>
      </c>
      <c r="B262" s="86">
        <f t="shared" si="154"/>
        <v>912010.8393559109</v>
      </c>
      <c r="C262" s="86" t="str">
        <f t="shared" si="155"/>
        <v>5730333.10582958j</v>
      </c>
      <c r="D262" s="86">
        <f t="shared" si="156"/>
        <v>0.1682362288973267</v>
      </c>
      <c r="E262" s="86" t="str">
        <f t="shared" si="157"/>
        <v>-1.43258327645739j</v>
      </c>
      <c r="F262" s="86" t="str">
        <f t="shared" si="158"/>
        <v>0.168236228897327-1.43258327645739j</v>
      </c>
      <c r="G262" s="86">
        <f t="shared" si="159"/>
        <v>3.1818823360310269</v>
      </c>
      <c r="H262" s="86">
        <f t="shared" si="160"/>
        <v>-83.302115664138867</v>
      </c>
      <c r="J262" s="86">
        <f t="shared" si="161"/>
        <v>4.8</v>
      </c>
      <c r="K262" s="86" t="str">
        <f t="shared" si="162"/>
        <v>1+234.284669031842j</v>
      </c>
      <c r="L262" s="86">
        <f t="shared" si="163"/>
        <v>-5369.1167805659734</v>
      </c>
      <c r="M262" s="86" t="str">
        <f t="shared" si="164"/>
        <v>32.7603143660277j</v>
      </c>
      <c r="N262" s="86" t="str">
        <f t="shared" si="165"/>
        <v>-5369.11678056597+32.7603143660277j</v>
      </c>
      <c r="O262" s="86" t="str">
        <f t="shared" si="166"/>
        <v>0.0000799945737263447-0.0436351187652437j</v>
      </c>
      <c r="P262" s="86" t="str">
        <f t="shared" si="167"/>
        <v>0.000383973953886455-0.20944857007317j</v>
      </c>
      <c r="R262" s="86">
        <f t="shared" si="168"/>
        <v>11.52</v>
      </c>
      <c r="S262" s="86" t="str">
        <f t="shared" si="169"/>
        <v>1+0.487078313995514j</v>
      </c>
      <c r="T262" s="86" t="str">
        <f t="shared" si="170"/>
        <v>-5369.11678056597+32.7603143660277j</v>
      </c>
      <c r="U262" s="86" t="str">
        <f t="shared" si="171"/>
        <v>-0.000185689929247234-0.0000918515269098456j</v>
      </c>
      <c r="V262" s="86" t="str">
        <f t="shared" si="172"/>
        <v>-0.00213914798492814-0.00105812959000142j</v>
      </c>
      <c r="X262" s="86" t="str">
        <f t="shared" si="173"/>
        <v>-0.185054235679983-0.0220759545340661j</v>
      </c>
      <c r="Y262" s="86">
        <f t="shared" si="174"/>
        <v>-14.59264982046162</v>
      </c>
      <c r="Z262" s="86">
        <f t="shared" si="175"/>
        <v>6.8029223523379301</v>
      </c>
      <c r="AB262" s="86" t="str">
        <f t="shared" si="176"/>
        <v>-0.00178321772668234-0.000882068681228259j</v>
      </c>
      <c r="AC262" s="86">
        <f t="shared" si="177"/>
        <v>-54.025340176194696</v>
      </c>
      <c r="AD262" s="86">
        <f t="shared" si="178"/>
        <v>26.319301683603385</v>
      </c>
      <c r="AF262" s="86" t="str">
        <f t="shared" si="179"/>
        <v>-0.00215723979335409-0.00114080206257793j</v>
      </c>
      <c r="AG262" s="86">
        <f t="shared" si="180"/>
        <v>-52.251100025728718</v>
      </c>
      <c r="AH262" s="86">
        <f t="shared" si="181"/>
        <v>27.870999756982712</v>
      </c>
      <c r="AJ262" s="86" t="str">
        <f t="shared" si="182"/>
        <v>15.0488807246569-0.129783824630384j</v>
      </c>
      <c r="AK262" s="86" t="str">
        <f t="shared" si="183"/>
        <v>30.1-5.19173909721265E-09j</v>
      </c>
      <c r="AL262" s="86" t="str">
        <f t="shared" si="197"/>
        <v>10000-3877.99833130383j</v>
      </c>
      <c r="AM262" s="86" t="str">
        <f t="shared" si="198"/>
        <v>231.377396182263-1614.99348142377j</v>
      </c>
      <c r="AN262" s="86" t="str">
        <f t="shared" si="199"/>
        <v>10231.3773961823-1614.99348142377j</v>
      </c>
      <c r="AO262" s="86" t="str">
        <f t="shared" si="200"/>
        <v>30.0138417641347-0.0135599423829675j</v>
      </c>
      <c r="AP262" s="86" t="str">
        <f t="shared" si="201"/>
        <v>0.666677684966938+0.001916414684738j</v>
      </c>
      <c r="AQ262" s="86" t="str">
        <f t="shared" si="184"/>
        <v>1+320.16517128891j</v>
      </c>
      <c r="AR262" s="86">
        <f t="shared" si="185"/>
        <v>-1.8345530803704419E-3</v>
      </c>
      <c r="AS262" s="86" t="str">
        <f t="shared" si="186"/>
        <v>0.00168808278471364j</v>
      </c>
      <c r="AT262" s="86" t="str">
        <f t="shared" si="187"/>
        <v>-0.00183455308037044+0.00168808278471364j</v>
      </c>
      <c r="AU262" s="86" t="str">
        <f t="shared" si="188"/>
        <v>8.66633454800798-9.47752733778562j</v>
      </c>
      <c r="AW262" s="86" t="str">
        <f t="shared" si="202"/>
        <v>-1.43238284993734-1.58945371197342j</v>
      </c>
      <c r="AX262" s="86">
        <f t="shared" si="189"/>
        <v>6.6068373148166781</v>
      </c>
      <c r="AY262" s="86">
        <f t="shared" si="190"/>
        <v>47.975477175305883</v>
      </c>
      <c r="AZ262" s="86" t="str">
        <f t="shared" si="191"/>
        <v>0.00115224314981028+0.00409780208639026j</v>
      </c>
      <c r="BA262" s="86">
        <f t="shared" si="192"/>
        <v>-47.418502861378002</v>
      </c>
      <c r="BB262" s="86">
        <f t="shared" si="193"/>
        <v>-105.70522114109073</v>
      </c>
      <c r="BD262" s="86" t="str">
        <f t="shared" si="194"/>
        <v>0.00127674121021134+0.0050628981067732j</v>
      </c>
      <c r="BE262" s="86">
        <f t="shared" si="195"/>
        <v>-45.644262710912045</v>
      </c>
      <c r="BF262" s="86">
        <f t="shared" si="196"/>
        <v>-104.15352306771136</v>
      </c>
      <c r="BH262" s="86">
        <f t="shared" si="203"/>
        <v>46.644262710912045</v>
      </c>
      <c r="BI262" s="157">
        <f t="shared" si="204"/>
        <v>104.15352306771136</v>
      </c>
      <c r="BJ262" s="88"/>
      <c r="BK262" s="88"/>
      <c r="BL262" s="88"/>
      <c r="BM262" s="88"/>
      <c r="BN262" s="42"/>
      <c r="BO262" s="42"/>
      <c r="BP262" s="42"/>
    </row>
    <row r="263" spans="1:68" s="86" customFormat="1">
      <c r="A263" s="86">
        <v>199</v>
      </c>
      <c r="B263" s="86">
        <f t="shared" si="154"/>
        <v>954992.58602143696</v>
      </c>
      <c r="C263" s="86" t="str">
        <f t="shared" si="155"/>
        <v>6000395.38495533j</v>
      </c>
      <c r="D263" s="86">
        <f t="shared" si="156"/>
        <v>8.7989160644088682E-2</v>
      </c>
      <c r="E263" s="86" t="str">
        <f t="shared" si="157"/>
        <v>-1.50009884623883j</v>
      </c>
      <c r="F263" s="86" t="str">
        <f t="shared" si="158"/>
        <v>0.0879891606440887-1.50009884623883j</v>
      </c>
      <c r="G263" s="86">
        <f t="shared" si="159"/>
        <v>3.5373136955372693</v>
      </c>
      <c r="H263" s="86">
        <f t="shared" si="160"/>
        <v>-86.64312931687482</v>
      </c>
      <c r="J263" s="86">
        <f t="shared" si="161"/>
        <v>4.8</v>
      </c>
      <c r="K263" s="86" t="str">
        <f t="shared" si="162"/>
        <v>1+245.326165313899j</v>
      </c>
      <c r="L263" s="86">
        <f t="shared" si="163"/>
        <v>-5887.2159606332198</v>
      </c>
      <c r="M263" s="86" t="str">
        <f t="shared" si="164"/>
        <v>34.3042604157896j</v>
      </c>
      <c r="N263" s="86" t="str">
        <f t="shared" si="165"/>
        <v>-5887.21596063322+34.3042604157896j</v>
      </c>
      <c r="O263" s="86" t="str">
        <f t="shared" si="166"/>
        <v>0.0000729509827161492-0.0416705730560636j</v>
      </c>
      <c r="P263" s="86" t="str">
        <f t="shared" si="167"/>
        <v>0.000350164717037516-0.200018750669105j</v>
      </c>
      <c r="R263" s="86">
        <f t="shared" si="168"/>
        <v>11.52</v>
      </c>
      <c r="S263" s="86" t="str">
        <f t="shared" si="169"/>
        <v>1+0.510033607721203j</v>
      </c>
      <c r="T263" s="86" t="str">
        <f t="shared" si="170"/>
        <v>-5887.21596063322+34.3042604157896j</v>
      </c>
      <c r="U263" s="86" t="str">
        <f t="shared" si="171"/>
        <v>-0.000169349016144547-0.0000876208727387504j</v>
      </c>
      <c r="V263" s="86" t="str">
        <f t="shared" si="172"/>
        <v>-0.00195090066598518-0.0010093924539504j</v>
      </c>
      <c r="X263" s="86" t="str">
        <f t="shared" si="173"/>
        <v>-0.185072227359065-0.0111806644861885j</v>
      </c>
      <c r="Y263" s="86">
        <f t="shared" si="174"/>
        <v>-14.637353534997795</v>
      </c>
      <c r="Z263" s="86">
        <f t="shared" si="175"/>
        <v>3.4571759787896497</v>
      </c>
      <c r="AB263" s="86" t="str">
        <f t="shared" si="176"/>
        <v>-0.0016262926525385-0.000841440858578193j</v>
      </c>
      <c r="AC263" s="86">
        <f t="shared" si="177"/>
        <v>-54.745858095442863</v>
      </c>
      <c r="AD263" s="86">
        <f t="shared" si="178"/>
        <v>27.356963093098187</v>
      </c>
      <c r="AF263" s="86" t="str">
        <f t="shared" si="179"/>
        <v>-0.0019810888705177-0.00105971446494962j</v>
      </c>
      <c r="AG263" s="86">
        <f t="shared" si="180"/>
        <v>-52.969057881562506</v>
      </c>
      <c r="AH263" s="86">
        <f t="shared" si="181"/>
        <v>28.143001707579572</v>
      </c>
      <c r="AJ263" s="86" t="str">
        <f t="shared" si="182"/>
        <v>15.0487727477965-0.135899372750405j</v>
      </c>
      <c r="AK263" s="86" t="str">
        <f t="shared" si="183"/>
        <v>30.1-5.43641822272337E-09j</v>
      </c>
      <c r="AL263" s="86" t="str">
        <f t="shared" si="197"/>
        <v>10000-3703.45965499866j</v>
      </c>
      <c r="AM263" s="86" t="str">
        <f t="shared" si="198"/>
        <v>215.575498682452-1550.79244626278j</v>
      </c>
      <c r="AN263" s="86" t="str">
        <f t="shared" si="199"/>
        <v>10215.5754986825-1550.79244626278j</v>
      </c>
      <c r="AO263" s="86" t="str">
        <f t="shared" si="200"/>
        <v>30.0135520008065-0.0130848336484969j</v>
      </c>
      <c r="AP263" s="86" t="str">
        <f t="shared" si="201"/>
        <v>0.666678747954145+0.00200672612668839j</v>
      </c>
      <c r="AQ263" s="86" t="str">
        <f t="shared" si="184"/>
        <v>1+335.254090948224j</v>
      </c>
      <c r="AR263" s="86">
        <f t="shared" si="185"/>
        <v>-2.0115571001131181E-3</v>
      </c>
      <c r="AS263" s="86" t="str">
        <f t="shared" si="186"/>
        <v>0.00176763967534691j</v>
      </c>
      <c r="AT263" s="86" t="str">
        <f t="shared" si="187"/>
        <v>-0.00201155710011312+0.00176763967534691j</v>
      </c>
      <c r="AU263" s="86" t="str">
        <f t="shared" si="188"/>
        <v>8.23600786480855-9.42907105418534j</v>
      </c>
      <c r="AW263" s="86" t="str">
        <f t="shared" si="202"/>
        <v>-1.39550753393307-1.4258335941575j</v>
      </c>
      <c r="AX263" s="86">
        <f t="shared" si="189"/>
        <v>5.999313781547241</v>
      </c>
      <c r="AY263" s="86">
        <f t="shared" si="190"/>
        <v>45.615837741206661</v>
      </c>
      <c r="AZ263" s="86" t="str">
        <f t="shared" si="191"/>
        <v>0.00106974900533995+0.00349305975542588j</v>
      </c>
      <c r="BA263" s="86">
        <f t="shared" si="192"/>
        <v>-48.746544313895626</v>
      </c>
      <c r="BB263" s="86">
        <f t="shared" si="193"/>
        <v>-107.02719916569509</v>
      </c>
      <c r="BD263" s="86" t="str">
        <f t="shared" si="194"/>
        <v>0.0012536479598586+0.00430354258425072j</v>
      </c>
      <c r="BE263" s="86">
        <f t="shared" si="195"/>
        <v>-46.969744100015262</v>
      </c>
      <c r="BF263" s="86">
        <f t="shared" si="196"/>
        <v>-106.24116055121381</v>
      </c>
      <c r="BH263" s="86">
        <f t="shared" si="203"/>
        <v>47.969744100015262</v>
      </c>
      <c r="BI263" s="157">
        <f t="shared" si="204"/>
        <v>106.24116055121381</v>
      </c>
      <c r="BJ263" s="88"/>
      <c r="BK263" s="88"/>
      <c r="BL263" s="88"/>
      <c r="BM263" s="88"/>
      <c r="BN263" s="42"/>
      <c r="BO263" s="42"/>
      <c r="BP263" s="42"/>
    </row>
    <row r="264" spans="1:68" s="86" customFormat="1">
      <c r="A264" s="86">
        <v>200</v>
      </c>
      <c r="B264" s="86">
        <f t="shared" si="154"/>
        <v>1000000</v>
      </c>
      <c r="C264" s="86" t="str">
        <f t="shared" si="155"/>
        <v>6283185.30717959j</v>
      </c>
      <c r="D264" s="86">
        <f t="shared" si="156"/>
        <v>-1.7763568394002505E-15</v>
      </c>
      <c r="E264" s="86" t="str">
        <f t="shared" si="157"/>
        <v>-1.5707963267949j</v>
      </c>
      <c r="F264" s="86" t="str">
        <f t="shared" si="158"/>
        <v>-1.77635683940025E-15-1.5707963267949j</v>
      </c>
      <c r="G264" s="86">
        <f t="shared" si="159"/>
        <v>3.9223975406030718</v>
      </c>
      <c r="H264" s="86">
        <f t="shared" si="160"/>
        <v>-90.000000000000057</v>
      </c>
      <c r="J264" s="86">
        <f t="shared" si="161"/>
        <v>4.8</v>
      </c>
      <c r="K264" s="86" t="str">
        <f t="shared" si="162"/>
        <v>1+256.888031284038j</v>
      </c>
      <c r="L264" s="86">
        <f t="shared" si="163"/>
        <v>-6455.3004150166253</v>
      </c>
      <c r="M264" s="86" t="str">
        <f t="shared" si="164"/>
        <v>35.9209704011457j</v>
      </c>
      <c r="N264" s="86" t="str">
        <f t="shared" si="165"/>
        <v>-6455.30041501663+35.9209704011457j</v>
      </c>
      <c r="O264" s="86" t="str">
        <f t="shared" si="166"/>
        <v>0.0000665279819159821-0.039794529304444j</v>
      </c>
      <c r="P264" s="86" t="str">
        <f t="shared" si="167"/>
        <v>0.000319334313196714-0.191013740661331j</v>
      </c>
      <c r="R264" s="86">
        <f t="shared" si="168"/>
        <v>11.52</v>
      </c>
      <c r="S264" s="86" t="str">
        <f t="shared" si="169"/>
        <v>1+0.534070751110265j</v>
      </c>
      <c r="T264" s="86" t="str">
        <f t="shared" si="170"/>
        <v>-6455.30041501663+35.9209704011457j</v>
      </c>
      <c r="U264" s="86" t="str">
        <f t="shared" si="171"/>
        <v>-0.000154446298454742-0.0000835931060265356j</v>
      </c>
      <c r="V264" s="86" t="str">
        <f t="shared" si="172"/>
        <v>-0.00177922135819863-0.00096299258142569j</v>
      </c>
      <c r="X264" s="86" t="str">
        <f t="shared" si="173"/>
        <v>-0.185088633566729-0.000309428795414794j</v>
      </c>
      <c r="Y264" s="86">
        <f t="shared" si="174"/>
        <v>-14.652392877671259</v>
      </c>
      <c r="Z264" s="86">
        <f t="shared" si="175"/>
        <v>9.5786257528288843E-2</v>
      </c>
      <c r="AB264" s="86" t="str">
        <f t="shared" si="176"/>
        <v>-0.00148317885811823-0.000802761404989738j</v>
      </c>
      <c r="AC264" s="86">
        <f t="shared" si="177"/>
        <v>-55.460329358533031</v>
      </c>
      <c r="AD264" s="86">
        <f t="shared" si="178"/>
        <v>28.424194262623132</v>
      </c>
      <c r="AF264" s="86" t="str">
        <f t="shared" si="179"/>
        <v>-0.0018196749855858-0.000985781396502775j</v>
      </c>
      <c r="AG264" s="86">
        <f t="shared" si="180"/>
        <v>-53.682537492934792</v>
      </c>
      <c r="AH264" s="86">
        <f t="shared" si="181"/>
        <v>28.445949957678238</v>
      </c>
      <c r="AJ264" s="86" t="str">
        <f t="shared" si="182"/>
        <v>15.0486543553044-0.142302993326799j</v>
      </c>
      <c r="AK264" s="86" t="str">
        <f t="shared" si="183"/>
        <v>30.1-5.69262872015779E-09j</v>
      </c>
      <c r="AL264" s="86" t="str">
        <f t="shared" si="197"/>
        <v>10000-3536.77651315322j</v>
      </c>
      <c r="AM264" s="86" t="str">
        <f t="shared" si="198"/>
        <v>200.55701239055-1488.69725792815j</v>
      </c>
      <c r="AN264" s="86" t="str">
        <f t="shared" si="199"/>
        <v>10200.5570123906-1488.69725792815j</v>
      </c>
      <c r="AO264" s="86" t="str">
        <f t="shared" si="200"/>
        <v>30.0132779253276-0.0126192259702806j</v>
      </c>
      <c r="AP264" s="86" t="str">
        <f t="shared" si="201"/>
        <v>0.666679913488646+0.00210129286769479j</v>
      </c>
      <c r="AQ264" s="86" t="str">
        <f t="shared" si="184"/>
        <v>1+351.054129482738j</v>
      </c>
      <c r="AR264" s="86">
        <f t="shared" si="185"/>
        <v>-2.2056381483906624E-3</v>
      </c>
      <c r="AS264" s="86" t="str">
        <f t="shared" si="186"/>
        <v>0.00185094596672318j</v>
      </c>
      <c r="AT264" s="86" t="str">
        <f t="shared" si="187"/>
        <v>-0.00220563814839066+0.00185094596672318j</v>
      </c>
      <c r="AU264" s="86" t="str">
        <f t="shared" si="188"/>
        <v>7.81074702938198-9.36152752536043j</v>
      </c>
      <c r="AW264" s="86" t="str">
        <f t="shared" si="202"/>
        <v>-1.35267360229458-1.27336282515688j</v>
      </c>
      <c r="AX264" s="86">
        <f t="shared" si="189"/>
        <v>5.3796745479003665</v>
      </c>
      <c r="AY264" s="86">
        <f t="shared" si="190"/>
        <v>43.270095622830809</v>
      </c>
      <c r="AZ264" s="86" t="str">
        <f t="shared" si="191"/>
        <v>0.00098405035827331+0.00297449898245691j</v>
      </c>
      <c r="BA264" s="86">
        <f t="shared" si="192"/>
        <v>-50.080654810632659</v>
      </c>
      <c r="BB264" s="86">
        <f t="shared" si="193"/>
        <v>-108.30571011454612</v>
      </c>
      <c r="BD264" s="86" t="str">
        <f t="shared" si="194"/>
        <v>0.00120616893371982+0.00365054695319523j</v>
      </c>
      <c r="BE264" s="86">
        <f t="shared" si="195"/>
        <v>-48.30286294503442</v>
      </c>
      <c r="BF264" s="86">
        <f t="shared" si="196"/>
        <v>-108.28395441949107</v>
      </c>
      <c r="BH264" s="86">
        <f t="shared" si="203"/>
        <v>49.30286294503442</v>
      </c>
      <c r="BI264" s="157">
        <f t="shared" si="204"/>
        <v>108.28395441949107</v>
      </c>
      <c r="BJ264" s="88"/>
      <c r="BK264" s="88"/>
      <c r="BL264" s="88"/>
      <c r="BM264" s="88"/>
      <c r="BN264" s="42"/>
      <c r="BO264" s="42"/>
      <c r="BP264" s="42"/>
    </row>
    <row r="265" spans="1:68" s="82" customFormat="1">
      <c r="BN265" s="42"/>
      <c r="BO265" s="42"/>
      <c r="BP265" s="42"/>
    </row>
    <row r="266" spans="1:68" s="82" customFormat="1">
      <c r="BN266" s="42"/>
      <c r="BO266" s="42"/>
      <c r="BP266" s="42"/>
    </row>
    <row r="267" spans="1:68" s="82" customFormat="1">
      <c r="BN267" s="42"/>
      <c r="BO267" s="42"/>
      <c r="BP267" s="42"/>
    </row>
    <row r="268" spans="1:68" s="82" customFormat="1">
      <c r="BN268" s="42"/>
      <c r="BO268" s="42"/>
      <c r="BP268" s="42"/>
    </row>
    <row r="269" spans="1:68" s="82" customFormat="1">
      <c r="BN269" s="42"/>
      <c r="BO269" s="42"/>
      <c r="BP269" s="42"/>
    </row>
    <row r="270" spans="1:68" s="82" customFormat="1">
      <c r="BN270" s="42"/>
      <c r="BO270" s="42"/>
      <c r="BP270" s="42"/>
    </row>
    <row r="271" spans="1:68" s="82" customFormat="1">
      <c r="BN271" s="42"/>
      <c r="BO271" s="42"/>
      <c r="BP271" s="42"/>
    </row>
    <row r="272" spans="1:68" s="82" customFormat="1">
      <c r="BN272" s="42"/>
      <c r="BO272" s="42"/>
      <c r="BP272" s="42"/>
    </row>
    <row r="273" spans="1:68" s="82" customFormat="1">
      <c r="BN273" s="42"/>
      <c r="BO273" s="42"/>
      <c r="BP273" s="42"/>
    </row>
    <row r="274" spans="1:68" s="82" customFormat="1">
      <c r="BN274" s="42"/>
      <c r="BO274" s="42"/>
      <c r="BP274" s="42"/>
    </row>
    <row r="275" spans="1:68" s="41" customForma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BN275" s="42"/>
      <c r="BO275" s="42"/>
      <c r="BP275" s="42"/>
    </row>
    <row r="276" spans="1:68" s="41" customForma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BN276" s="42"/>
      <c r="BO276" s="42"/>
      <c r="BP276" s="42"/>
    </row>
    <row r="277" spans="1:68" s="41" customForma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BN277" s="42"/>
      <c r="BO277" s="42"/>
      <c r="BP277" s="42"/>
    </row>
    <row r="278" spans="1:68" s="41" customForma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BN278" s="42"/>
      <c r="BO278" s="42"/>
      <c r="BP278" s="42"/>
    </row>
    <row r="279" spans="1:68" s="41" customFormat="1">
      <c r="BN279" s="42"/>
      <c r="BO279" s="42"/>
      <c r="BP279" s="42"/>
    </row>
    <row r="280" spans="1:68">
      <c r="BN280" s="42"/>
      <c r="BO280" s="42"/>
      <c r="BP280" s="42"/>
    </row>
    <row r="281" spans="1:68">
      <c r="BN281" s="42"/>
      <c r="BO281" s="42"/>
      <c r="BP281" s="42"/>
    </row>
    <row r="282" spans="1:68">
      <c r="BN282" s="42"/>
      <c r="BO282" s="42"/>
      <c r="BP282" s="42"/>
    </row>
    <row r="283" spans="1:68">
      <c r="BN283" s="42"/>
      <c r="BO283" s="42"/>
      <c r="BP283" s="42"/>
    </row>
    <row r="284" spans="1:68">
      <c r="BN284" s="42"/>
      <c r="BO284" s="42"/>
      <c r="BP284" s="42"/>
    </row>
    <row r="285" spans="1:68">
      <c r="BN285" s="42"/>
      <c r="BO285" s="42"/>
      <c r="BP285" s="42"/>
    </row>
    <row r="286" spans="1:68">
      <c r="BN286" s="42"/>
      <c r="BO286" s="42"/>
      <c r="BP286" s="42"/>
    </row>
    <row r="287" spans="1:68">
      <c r="BN287" s="42"/>
      <c r="BO287" s="42"/>
      <c r="BP287" s="42"/>
    </row>
    <row r="288" spans="1:68">
      <c r="BN288" s="42"/>
      <c r="BO288" s="42"/>
      <c r="BP288" s="42"/>
    </row>
    <row r="289" spans="66:68">
      <c r="BN289" s="42"/>
      <c r="BO289" s="42"/>
      <c r="BP289" s="42"/>
    </row>
    <row r="290" spans="66:68">
      <c r="BN290" s="42"/>
      <c r="BO290" s="42"/>
      <c r="BP290" s="42"/>
    </row>
    <row r="291" spans="66:68">
      <c r="BN291" s="42"/>
      <c r="BO291" s="42"/>
      <c r="BP291" s="42"/>
    </row>
    <row r="292" spans="66:68">
      <c r="BN292" s="42"/>
      <c r="BO292" s="42"/>
      <c r="BP292" s="42"/>
    </row>
    <row r="293" spans="66:68">
      <c r="BN293" s="42"/>
      <c r="BO293" s="42"/>
      <c r="BP293" s="42"/>
    </row>
    <row r="294" spans="66:68">
      <c r="BN294" s="42"/>
      <c r="BO294" s="42"/>
      <c r="BP294" s="42"/>
    </row>
    <row r="295" spans="66:68">
      <c r="BN295" s="42"/>
      <c r="BO295" s="42"/>
      <c r="BP295" s="42"/>
    </row>
    <row r="296" spans="66:68">
      <c r="BN296" s="42"/>
      <c r="BO296" s="42"/>
      <c r="BP296" s="42"/>
    </row>
    <row r="297" spans="66:68">
      <c r="BN297" s="42"/>
      <c r="BO297" s="42"/>
      <c r="BP297" s="42"/>
    </row>
    <row r="298" spans="66:68">
      <c r="BN298" s="42"/>
      <c r="BO298" s="42"/>
      <c r="BP298" s="42"/>
    </row>
    <row r="299" spans="66:68">
      <c r="BN299" s="42"/>
      <c r="BO299" s="42"/>
      <c r="BP299" s="42"/>
    </row>
    <row r="300" spans="66:68">
      <c r="BN300" s="42"/>
      <c r="BO300" s="42"/>
      <c r="BP300" s="42"/>
    </row>
    <row r="301" spans="66:68">
      <c r="BN301" s="42"/>
      <c r="BO301" s="42"/>
      <c r="BP301" s="42"/>
    </row>
  </sheetData>
  <sheetProtection password="C6F9" sheet="1" objects="1" scenarios="1" selectLockedCells="1"/>
  <mergeCells count="18">
    <mergeCell ref="A19:E19"/>
    <mergeCell ref="J19:N19"/>
    <mergeCell ref="O19:P19"/>
    <mergeCell ref="BN1:BP1"/>
    <mergeCell ref="A16:N16"/>
    <mergeCell ref="O16:P17"/>
    <mergeCell ref="A17:N17"/>
    <mergeCell ref="O18:P18"/>
    <mergeCell ref="A32:B32"/>
    <mergeCell ref="A33:B33"/>
    <mergeCell ref="A34:B34"/>
    <mergeCell ref="AV62:AW62"/>
    <mergeCell ref="J20:L20"/>
    <mergeCell ref="O20:P21"/>
    <mergeCell ref="J27:L27"/>
    <mergeCell ref="M27:N27"/>
    <mergeCell ref="A30:G30"/>
    <mergeCell ref="A31:B31"/>
  </mergeCells>
  <conditionalFormatting sqref="M35">
    <cfRule type="cellIs" dxfId="1" priority="2" operator="lessThan">
      <formula>45</formula>
    </cfRule>
  </conditionalFormatting>
  <conditionalFormatting sqref="M36">
    <cfRule type="cellIs" dxfId="0" priority="1" operator="greaterThan">
      <formula>-10</formula>
    </cfRule>
  </conditionalFormatting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FB152-35B0-493D-BD77-542095CD6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D2C26E-64A2-4EE2-9E89-1E381C8D923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9F3324-4D55-4E38-AA46-1AACBA116D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Power Loss</vt:lpstr>
      <vt:lpstr>Efficiency Summary</vt:lpstr>
      <vt:lpstr>Compensation</vt:lpstr>
      <vt:lpstr>_Cap1</vt:lpstr>
      <vt:lpstr>_cap2</vt:lpstr>
      <vt:lpstr>_Cfb1</vt:lpstr>
      <vt:lpstr>_Cfb2</vt:lpstr>
      <vt:lpstr>_res1</vt:lpstr>
      <vt:lpstr>_Rfb1</vt:lpstr>
      <vt:lpstr>_Rfb2</vt:lpstr>
      <vt:lpstr>Cap</vt:lpstr>
      <vt:lpstr>D</vt:lpstr>
      <vt:lpstr>DCR</vt:lpstr>
      <vt:lpstr>Dmax</vt:lpstr>
      <vt:lpstr>EA_BW</vt:lpstr>
      <vt:lpstr>EA_DC</vt:lpstr>
      <vt:lpstr>Efficiency</vt:lpstr>
      <vt:lpstr>ESR</vt:lpstr>
      <vt:lpstr>F0</vt:lpstr>
      <vt:lpstr>Fc</vt:lpstr>
      <vt:lpstr>Fm</vt:lpstr>
      <vt:lpstr>Fs</vt:lpstr>
      <vt:lpstr>Fstart</vt:lpstr>
      <vt:lpstr>Fstep</vt:lpstr>
      <vt:lpstr>Fstop</vt:lpstr>
      <vt:lpstr>Gdo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Q</vt:lpstr>
      <vt:lpstr>Qn</vt:lpstr>
      <vt:lpstr>Roerr</vt:lpstr>
      <vt:lpstr>Ron_l</vt:lpstr>
      <vt:lpstr>Ron_u</vt:lpstr>
      <vt:lpstr>Rout</vt:lpstr>
      <vt:lpstr>RT</vt:lpstr>
      <vt:lpstr>Se</vt:lpstr>
      <vt:lpstr>Sn</vt:lpstr>
      <vt:lpstr>Step</vt:lpstr>
      <vt:lpstr>Tloss</vt:lpstr>
      <vt:lpstr>VFB</vt:lpstr>
      <vt:lpstr>Vin</vt:lpstr>
      <vt:lpstr>Vout</vt:lpstr>
      <vt:lpstr>wn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Diodes</cp:lastModifiedBy>
  <dcterms:created xsi:type="dcterms:W3CDTF">2017-12-13T19:19:46Z</dcterms:created>
  <dcterms:modified xsi:type="dcterms:W3CDTF">2022-11-14T19:18:52Z</dcterms:modified>
</cp:coreProperties>
</file>