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F1F" lockStructure="1"/>
  <bookViews>
    <workbookView showHorizontalScroll="0" xWindow="360" yWindow="165" windowWidth="27975" windowHeight="12480"/>
  </bookViews>
  <sheets>
    <sheet name="Calculator" sheetId="1" r:id="rId1"/>
    <sheet name="Explanatory Notes" sheetId="3" r:id="rId2"/>
    <sheet name="SelectedDevice" sheetId="6" state="hidden" r:id="rId3"/>
    <sheet name="PAM2863ECR" sheetId="20" state="hidden" r:id="rId4"/>
    <sheet name="Calculations" sheetId="16" state="hidden" r:id="rId5"/>
    <sheet name="Revision History" sheetId="21" state="hidden" r:id="rId6"/>
  </sheets>
  <definedNames>
    <definedName name="_xlnm._FilterDatabase" localSheetId="0" hidden="1">Calculator!$D$6:$D$6</definedName>
    <definedName name="AvILED" localSheetId="4">Calculations!$M$33</definedName>
    <definedName name="AvILED">#REF!</definedName>
    <definedName name="D" localSheetId="4">Calculations!$E$30</definedName>
    <definedName name="D">#REF!</definedName>
    <definedName name="DeltaILED" localSheetId="4">Calculations!$M$32</definedName>
    <definedName name="DeltaILED">#REF!</definedName>
    <definedName name="Devices" localSheetId="4">Calculations!$A$19:$A$21</definedName>
    <definedName name="Devices">#REF!</definedName>
    <definedName name="Devices2">Calculations!$A$27:$A$28</definedName>
    <definedName name="Eff" localSheetId="4">Calculations!$E$43</definedName>
    <definedName name="Eff">#REF!</definedName>
    <definedName name="f" localSheetId="4">Calculations!$E$31</definedName>
    <definedName name="f">#REF!</definedName>
    <definedName name="I0_chg" localSheetId="4">Calculations!$M$20</definedName>
    <definedName name="I0_chg">#REF!</definedName>
    <definedName name="Iavg_fx">SelectedDevice!$G$24</definedName>
    <definedName name="Ichip" localSheetId="4">Calculations!$E$36</definedName>
    <definedName name="Ichip">#REF!</definedName>
    <definedName name="Iin" localSheetId="4">Calculations!$E$44</definedName>
    <definedName name="Iin">#REF!</definedName>
    <definedName name="Imax" localSheetId="4">Calculations!$H$28</definedName>
    <definedName name="Imax">#REF!</definedName>
    <definedName name="Imin" localSheetId="4">Calculations!$G$28</definedName>
    <definedName name="Imin">#REF!</definedName>
    <definedName name="L_fn">SelectedDevice!$C$7</definedName>
    <definedName name="L_fx">SelectedDevice!$G$7</definedName>
    <definedName name="L_rn">SelectedDevice!$D$7</definedName>
    <definedName name="L_rx">SelectedDevice!$F$7</definedName>
    <definedName name="La" localSheetId="4">Calculations!$M$7</definedName>
    <definedName name="La">#REF!</definedName>
    <definedName name="LoILED" localSheetId="4">Calculations!$M$31</definedName>
    <definedName name="LoILED">#REF!</definedName>
    <definedName name="LoILED2" localSheetId="4">Calculations!$O$31</definedName>
    <definedName name="LoILED2">#REF!</definedName>
    <definedName name="N_fn">SelectedDevice!$C$3</definedName>
    <definedName name="N_fx">SelectedDevice!$G$3</definedName>
    <definedName name="N_rn">SelectedDevice!$D$3</definedName>
    <definedName name="N_rx">SelectedDevice!$F$3</definedName>
    <definedName name="Nled" localSheetId="4">Calculations!$M$3</definedName>
    <definedName name="Nled">#REF!</definedName>
    <definedName name="Pchip" localSheetId="4">Calculations!$E$39</definedName>
    <definedName name="Pchip">#REF!</definedName>
    <definedName name="Pdiode" localSheetId="4">Calculations!$E$40</definedName>
    <definedName name="Pdiode">#REF!</definedName>
    <definedName name="Prsense" localSheetId="4">Calculations!$E$41</definedName>
    <definedName name="Prsense">#REF!</definedName>
    <definedName name="Pswitch" localSheetId="4">Calculations!$E$38</definedName>
    <definedName name="Pswitch">#REF!</definedName>
    <definedName name="Rchg" localSheetId="4">Calculations!$M$19</definedName>
    <definedName name="Rchg">#REF!</definedName>
    <definedName name="rL" localSheetId="4">Calculations!$M$8</definedName>
    <definedName name="rL">#REF!</definedName>
    <definedName name="rL_fn">SelectedDevice!$C$8</definedName>
    <definedName name="rL_fx">SelectedDevice!$G$8</definedName>
    <definedName name="rL_rn">SelectedDevice!$D$8</definedName>
    <definedName name="rL_rx">SelectedDevice!$F$8</definedName>
    <definedName name="Rlx_amb" localSheetId="4">Calculations!$M$15</definedName>
    <definedName name="Rlx_amb">#REF!</definedName>
    <definedName name="Rlx_Tj" localSheetId="4">Calculations!$E$45</definedName>
    <definedName name="Rlx_Tj">#REF!</definedName>
    <definedName name="Rs" localSheetId="4">Calculations!$M$6</definedName>
    <definedName name="Rs">#REF!</definedName>
    <definedName name="Rs_fn">SelectedDevice!$C$6</definedName>
    <definedName name="Rs_fx">SelectedDevice!$G$6</definedName>
    <definedName name="Rs_rn">SelectedDevice!$D$6</definedName>
    <definedName name="Rs_rx">SelectedDevice!$F$6</definedName>
    <definedName name="Tamb" localSheetId="4">Calculations!$M$9</definedName>
    <definedName name="Tamb">#REF!</definedName>
    <definedName name="Tamb_fn">SelectedDevice!$C$9</definedName>
    <definedName name="Tamb_fx">SelectedDevice!$G$9</definedName>
    <definedName name="Tamb_rn">SelectedDevice!$D$9</definedName>
    <definedName name="Tamb_rx">SelectedDevice!$F$9</definedName>
    <definedName name="Tf" localSheetId="4">Calculations!$M$14</definedName>
    <definedName name="Tf">#REF!</definedName>
    <definedName name="thetaja" localSheetId="4">Calculations!$M$16</definedName>
    <definedName name="thetaja">#REF!</definedName>
    <definedName name="Tj" localSheetId="4">Calculations!$E$46</definedName>
    <definedName name="Tj">#REF!</definedName>
    <definedName name="toff" localSheetId="4">Calculations!$E$29</definedName>
    <definedName name="toff">#REF!</definedName>
    <definedName name="ton" localSheetId="4">Calculations!$E$28</definedName>
    <definedName name="ton">#REF!</definedName>
    <definedName name="TpdH" localSheetId="4">Calculations!$M$11</definedName>
    <definedName name="TpdH">#REF!</definedName>
    <definedName name="TpdH_u" localSheetId="4">Calculations!$O$11</definedName>
    <definedName name="TpdH_u">#REF!</definedName>
    <definedName name="TpdL" localSheetId="4">Calculations!$M$12</definedName>
    <definedName name="TpdL">#REF!</definedName>
    <definedName name="TpdL_u" localSheetId="4">Calculations!$O$12</definedName>
    <definedName name="TpdL_u">#REF!</definedName>
    <definedName name="Tr" localSheetId="4">Calculations!$M$13</definedName>
    <definedName name="Tr">#REF!</definedName>
    <definedName name="UpILED" localSheetId="4">Calculations!$M$30</definedName>
    <definedName name="UpILED">#REF!</definedName>
    <definedName name="UpILED2" localSheetId="4">Calculations!$O$30</definedName>
    <definedName name="UpILED2">#REF!</definedName>
    <definedName name="Vadj" localSheetId="4">Calculations!$M$10</definedName>
    <definedName name="Vadj">#REF!</definedName>
    <definedName name="Vadj_fn">SelectedDevice!$C$16</definedName>
    <definedName name="Vadj_fx">SelectedDevice!$G$16</definedName>
    <definedName name="Vadj_rn">SelectedDevice!$D$16</definedName>
    <definedName name="Vadj_rx">SelectedDevice!$F$16</definedName>
    <definedName name="Vchg" localSheetId="4">Calculations!#REF!</definedName>
    <definedName name="Vchg" localSheetId="3">#REF!</definedName>
    <definedName name="Vchg">#REF!</definedName>
    <definedName name="Vf" localSheetId="4">Calculations!$M$5</definedName>
    <definedName name="Vf">#REF!</definedName>
    <definedName name="VF_fn">SelectedDevice!$C$5</definedName>
    <definedName name="VF_fx">SelectedDevice!$G$5</definedName>
    <definedName name="VF_rn">SelectedDevice!$D$5</definedName>
    <definedName name="VF_rx">SelectedDevice!$F$5</definedName>
    <definedName name="Vin" localSheetId="4">Calculations!$M$2</definedName>
    <definedName name="Vin">#REF!</definedName>
    <definedName name="Vin_fn">SelectedDevice!$C$2</definedName>
    <definedName name="Vin_fx">SelectedDevice!$G$2</definedName>
    <definedName name="Vin_rn">SelectedDevice!$D$2</definedName>
    <definedName name="Vin_rx">SelectedDevice!$F$2</definedName>
    <definedName name="Vled" localSheetId="4">Calculations!$M$4</definedName>
    <definedName name="Vled">#REF!</definedName>
    <definedName name="VLED_fn">SelectedDevice!$C$4</definedName>
    <definedName name="VLED_fx">SelectedDevice!$G$4</definedName>
    <definedName name="VLED_rn">SelectedDevice!$D$4</definedName>
    <definedName name="VLED_rx">SelectedDevice!$F$4</definedName>
    <definedName name="Vleds" localSheetId="4">Calculations!$M$18</definedName>
    <definedName name="Vleds">#REF!</definedName>
    <definedName name="Vleds_m" localSheetId="4">Calculations!$M$35</definedName>
    <definedName name="Vleds_m">#REF!</definedName>
  </definedNames>
  <calcPr calcId="145621"/>
</workbook>
</file>

<file path=xl/calcChain.xml><?xml version="1.0" encoding="utf-8"?>
<calcChain xmlns="http://schemas.openxmlformats.org/spreadsheetml/2006/main">
  <c r="A1" i="3" l="1"/>
  <c r="M10" i="16" l="1"/>
  <c r="M9" i="16"/>
  <c r="M8" i="16"/>
  <c r="M7" i="16"/>
  <c r="M6" i="16"/>
  <c r="M30" i="16" s="1"/>
  <c r="M5" i="16"/>
  <c r="M4" i="16"/>
  <c r="M3" i="16"/>
  <c r="M2" i="16"/>
  <c r="E36" i="16" s="1"/>
  <c r="G23" i="1" s="1"/>
  <c r="N43" i="20"/>
  <c r="N38" i="20"/>
  <c r="M38" i="20"/>
  <c r="L38" i="20"/>
  <c r="K38" i="20"/>
  <c r="J38" i="20"/>
  <c r="I38" i="20"/>
  <c r="N37" i="20"/>
  <c r="M37" i="20"/>
  <c r="L37" i="20"/>
  <c r="K37" i="20"/>
  <c r="J37" i="20"/>
  <c r="I37" i="20"/>
  <c r="N36" i="20"/>
  <c r="M36" i="20"/>
  <c r="L36" i="20"/>
  <c r="K36" i="20"/>
  <c r="J36" i="20"/>
  <c r="I36" i="20"/>
  <c r="N35" i="20"/>
  <c r="M35" i="20"/>
  <c r="L35" i="20"/>
  <c r="K35" i="20"/>
  <c r="J35" i="20"/>
  <c r="I35" i="20"/>
  <c r="N34" i="20"/>
  <c r="M34" i="20"/>
  <c r="L34" i="20"/>
  <c r="K34" i="20"/>
  <c r="J34" i="20"/>
  <c r="I34" i="20"/>
  <c r="N33" i="20"/>
  <c r="M33" i="20"/>
  <c r="L33" i="20"/>
  <c r="K33" i="20"/>
  <c r="J33" i="20"/>
  <c r="I33" i="20"/>
  <c r="N32" i="20"/>
  <c r="M32" i="20"/>
  <c r="L32" i="20"/>
  <c r="K32" i="20"/>
  <c r="J32" i="20"/>
  <c r="I32" i="20"/>
  <c r="N31" i="20"/>
  <c r="M31" i="20"/>
  <c r="L31" i="20"/>
  <c r="K31" i="20"/>
  <c r="J31" i="20"/>
  <c r="I31" i="20"/>
  <c r="N30" i="20"/>
  <c r="M30" i="20"/>
  <c r="L30" i="20"/>
  <c r="K30" i="20"/>
  <c r="J30" i="20"/>
  <c r="I30" i="20"/>
  <c r="N29" i="20"/>
  <c r="M29" i="20"/>
  <c r="L29" i="20"/>
  <c r="K29" i="20"/>
  <c r="J29" i="20"/>
  <c r="I29" i="20"/>
  <c r="N28" i="20"/>
  <c r="M28" i="20"/>
  <c r="L28" i="20"/>
  <c r="K28" i="20"/>
  <c r="J28" i="20"/>
  <c r="I28" i="20"/>
  <c r="N27" i="20"/>
  <c r="M27" i="20"/>
  <c r="L27" i="20"/>
  <c r="K27" i="20"/>
  <c r="J27" i="20"/>
  <c r="I27" i="20"/>
  <c r="N26" i="20"/>
  <c r="M26" i="20"/>
  <c r="L26" i="20"/>
  <c r="K26" i="20"/>
  <c r="J26" i="20"/>
  <c r="I26" i="20"/>
  <c r="N25" i="20"/>
  <c r="M25" i="20"/>
  <c r="L25" i="20"/>
  <c r="K25" i="20"/>
  <c r="J25" i="20"/>
  <c r="I25" i="20"/>
  <c r="N24" i="20"/>
  <c r="M24" i="20"/>
  <c r="L24" i="20"/>
  <c r="K24" i="20"/>
  <c r="J24" i="20"/>
  <c r="I24" i="20"/>
  <c r="N23" i="20"/>
  <c r="M23" i="20"/>
  <c r="L23" i="20"/>
  <c r="K23" i="20"/>
  <c r="J23" i="20"/>
  <c r="I23" i="20"/>
  <c r="N22" i="20"/>
  <c r="M22" i="20"/>
  <c r="L22" i="20"/>
  <c r="K22" i="20"/>
  <c r="J22" i="20"/>
  <c r="I22" i="20"/>
  <c r="N21" i="20"/>
  <c r="M21" i="20"/>
  <c r="L21" i="20"/>
  <c r="K21" i="20"/>
  <c r="J21" i="20"/>
  <c r="I21" i="20"/>
  <c r="N20" i="20"/>
  <c r="M20" i="20"/>
  <c r="L20" i="20"/>
  <c r="K20" i="20"/>
  <c r="J20" i="20"/>
  <c r="I20" i="20"/>
  <c r="N19" i="20"/>
  <c r="M19" i="20"/>
  <c r="L19" i="20"/>
  <c r="K19" i="20"/>
  <c r="J19" i="20"/>
  <c r="I19" i="20"/>
  <c r="N18" i="20"/>
  <c r="M18" i="20"/>
  <c r="L18" i="20"/>
  <c r="K18" i="20"/>
  <c r="J18" i="20"/>
  <c r="I18" i="20"/>
  <c r="N17" i="20"/>
  <c r="M17" i="20"/>
  <c r="L17" i="20"/>
  <c r="K17" i="20"/>
  <c r="J17" i="20"/>
  <c r="I17" i="20"/>
  <c r="N16" i="20"/>
  <c r="M16" i="20"/>
  <c r="L16" i="20"/>
  <c r="K16" i="20"/>
  <c r="J16" i="20"/>
  <c r="I16" i="20"/>
  <c r="N15" i="20"/>
  <c r="M15" i="20"/>
  <c r="L15" i="20"/>
  <c r="K15" i="20"/>
  <c r="J15" i="20"/>
  <c r="I15" i="20"/>
  <c r="N14" i="20"/>
  <c r="M14" i="20"/>
  <c r="L14" i="20"/>
  <c r="K14" i="20"/>
  <c r="J14" i="20"/>
  <c r="I14" i="20"/>
  <c r="N13" i="20"/>
  <c r="M13" i="20"/>
  <c r="L13" i="20"/>
  <c r="K13" i="20"/>
  <c r="J13" i="20"/>
  <c r="I13" i="20"/>
  <c r="M12" i="20"/>
  <c r="L12" i="20"/>
  <c r="K12" i="20"/>
  <c r="N12" i="20" s="1"/>
  <c r="J12" i="20"/>
  <c r="I12" i="20"/>
  <c r="N11" i="20"/>
  <c r="M11" i="20"/>
  <c r="L11" i="20"/>
  <c r="K11" i="20"/>
  <c r="J11" i="20"/>
  <c r="I11" i="20"/>
  <c r="M10" i="20"/>
  <c r="L10" i="20"/>
  <c r="K10" i="20"/>
  <c r="N10" i="20" s="1"/>
  <c r="J10" i="20"/>
  <c r="I10" i="20"/>
  <c r="N9" i="20"/>
  <c r="M9" i="20"/>
  <c r="L9" i="20"/>
  <c r="K9" i="20"/>
  <c r="J9" i="20"/>
  <c r="I9" i="20"/>
  <c r="N8" i="20"/>
  <c r="M8" i="20"/>
  <c r="L8" i="20"/>
  <c r="K8" i="20"/>
  <c r="J8" i="20"/>
  <c r="I8" i="20"/>
  <c r="N7" i="20"/>
  <c r="M7" i="20"/>
  <c r="L7" i="20"/>
  <c r="K7" i="20"/>
  <c r="J7" i="20"/>
  <c r="I7" i="20"/>
  <c r="N6" i="20"/>
  <c r="M6" i="20"/>
  <c r="L6" i="20"/>
  <c r="K6" i="20"/>
  <c r="J6" i="20"/>
  <c r="I6" i="20"/>
  <c r="N5" i="20"/>
  <c r="M5" i="20"/>
  <c r="L5" i="20"/>
  <c r="K5" i="20"/>
  <c r="J5" i="20"/>
  <c r="I5" i="20"/>
  <c r="N4" i="20"/>
  <c r="M4" i="20"/>
  <c r="L4" i="20"/>
  <c r="K4" i="20"/>
  <c r="J4" i="20"/>
  <c r="I4" i="20"/>
  <c r="N3" i="20"/>
  <c r="M3" i="20"/>
  <c r="L3" i="20"/>
  <c r="K3" i="20"/>
  <c r="J3" i="20"/>
  <c r="I3" i="20"/>
  <c r="N2" i="20"/>
  <c r="M2" i="20"/>
  <c r="L2" i="20"/>
  <c r="K2" i="20"/>
  <c r="J2" i="20"/>
  <c r="I2" i="20"/>
  <c r="T17" i="1"/>
  <c r="R12" i="1"/>
  <c r="P12" i="1"/>
  <c r="N12" i="1"/>
  <c r="L12" i="1"/>
  <c r="P11" i="16" l="1"/>
  <c r="M31" i="16"/>
  <c r="O31" i="16" s="1"/>
  <c r="G34" i="16"/>
  <c r="M25" i="16"/>
  <c r="M26" i="16"/>
  <c r="G33" i="16"/>
  <c r="M36" i="16"/>
  <c r="R46" i="16"/>
  <c r="E13" i="1" s="1"/>
  <c r="M18" i="16"/>
  <c r="L38" i="6"/>
  <c r="J37" i="6"/>
  <c r="H36" i="6"/>
  <c r="F35" i="6"/>
  <c r="D34" i="6"/>
  <c r="B33" i="6"/>
  <c r="N31" i="6"/>
  <c r="L30" i="6"/>
  <c r="J29" i="6"/>
  <c r="H28" i="6"/>
  <c r="F27" i="6"/>
  <c r="D26" i="6"/>
  <c r="B25" i="6"/>
  <c r="N23" i="6"/>
  <c r="L22" i="6"/>
  <c r="H21" i="6"/>
  <c r="N42" i="6"/>
  <c r="G38" i="6"/>
  <c r="E37" i="6"/>
  <c r="C36" i="6"/>
  <c r="A35" i="6"/>
  <c r="M33" i="6"/>
  <c r="K32" i="6"/>
  <c r="I31" i="6"/>
  <c r="G30" i="6"/>
  <c r="E29" i="6"/>
  <c r="C28" i="6"/>
  <c r="A27" i="6"/>
  <c r="M25" i="6"/>
  <c r="K24" i="6"/>
  <c r="I23" i="6"/>
  <c r="G22" i="6"/>
  <c r="C21" i="6"/>
  <c r="A20" i="6"/>
  <c r="A38" i="6"/>
  <c r="K35" i="6"/>
  <c r="G33" i="6"/>
  <c r="C31" i="6"/>
  <c r="M28" i="6"/>
  <c r="I26" i="6"/>
  <c r="E24" i="6"/>
  <c r="M21" i="6"/>
  <c r="M19" i="6"/>
  <c r="K18" i="6"/>
  <c r="I17" i="6"/>
  <c r="G16" i="6"/>
  <c r="E15" i="6"/>
  <c r="C14" i="6"/>
  <c r="A13" i="6"/>
  <c r="M11" i="6"/>
  <c r="K10" i="6"/>
  <c r="I9" i="6"/>
  <c r="G8" i="6"/>
  <c r="E7" i="6"/>
  <c r="C6" i="6"/>
  <c r="A5" i="6"/>
  <c r="M3" i="6"/>
  <c r="K2" i="6"/>
  <c r="F38" i="6"/>
  <c r="B36" i="6"/>
  <c r="L33" i="6"/>
  <c r="H31" i="6"/>
  <c r="D29" i="6"/>
  <c r="N26" i="6"/>
  <c r="J24" i="6"/>
  <c r="E22" i="6"/>
  <c r="C20" i="6"/>
  <c r="N18" i="6"/>
  <c r="L17" i="6"/>
  <c r="J16" i="6"/>
  <c r="H15" i="6"/>
  <c r="F14" i="6"/>
  <c r="D13" i="6"/>
  <c r="B12" i="6"/>
  <c r="N10" i="6"/>
  <c r="L9" i="6"/>
  <c r="J8" i="6"/>
  <c r="H7" i="6"/>
  <c r="F6" i="6"/>
  <c r="D5" i="6"/>
  <c r="B4" i="6"/>
  <c r="N2" i="6"/>
  <c r="L1" i="6"/>
  <c r="K37" i="6"/>
  <c r="C33" i="6"/>
  <c r="I28" i="6"/>
  <c r="A24" i="6"/>
  <c r="K19" i="6"/>
  <c r="G17" i="6"/>
  <c r="C15" i="6"/>
  <c r="M12" i="6"/>
  <c r="I10" i="6"/>
  <c r="E8" i="6"/>
  <c r="A6" i="6"/>
  <c r="K3" i="6"/>
  <c r="K1" i="6"/>
  <c r="A36" i="6"/>
  <c r="M26" i="6"/>
  <c r="E18" i="6"/>
  <c r="K13" i="6"/>
  <c r="I8" i="6"/>
  <c r="G3" i="6"/>
  <c r="L35" i="6"/>
  <c r="J26" i="6"/>
  <c r="D18" i="6"/>
  <c r="D14" i="6"/>
  <c r="J9" i="6"/>
  <c r="H4" i="6"/>
  <c r="J38" i="6"/>
  <c r="B34" i="6"/>
  <c r="H29" i="6"/>
  <c r="N24" i="6"/>
  <c r="F20" i="6"/>
  <c r="N17" i="6"/>
  <c r="J15" i="6"/>
  <c r="F13" i="6"/>
  <c r="B11" i="6"/>
  <c r="L8" i="6"/>
  <c r="H6" i="6"/>
  <c r="D4" i="6"/>
  <c r="A2" i="6"/>
  <c r="C37" i="6"/>
  <c r="A28" i="6"/>
  <c r="B20" i="6"/>
  <c r="G15" i="6"/>
  <c r="G11" i="6"/>
  <c r="M6" i="6"/>
  <c r="C43" i="6"/>
  <c r="H38" i="6"/>
  <c r="F37" i="6"/>
  <c r="D36" i="6"/>
  <c r="B35" i="6"/>
  <c r="N33" i="6"/>
  <c r="L32" i="6"/>
  <c r="J31" i="6"/>
  <c r="H30" i="6"/>
  <c r="F29" i="6"/>
  <c r="D28" i="6"/>
  <c r="B27" i="6"/>
  <c r="N25" i="6"/>
  <c r="L24" i="6"/>
  <c r="J23" i="6"/>
  <c r="H22" i="6"/>
  <c r="D21" i="6"/>
  <c r="N40" i="6"/>
  <c r="C38" i="6"/>
  <c r="A37" i="6"/>
  <c r="M35" i="6"/>
  <c r="K34" i="6"/>
  <c r="I33" i="6"/>
  <c r="G32" i="6"/>
  <c r="E31" i="6"/>
  <c r="C30" i="6"/>
  <c r="A29" i="6"/>
  <c r="M27" i="6"/>
  <c r="K26" i="6"/>
  <c r="I25" i="6"/>
  <c r="G24" i="6"/>
  <c r="E23" i="6"/>
  <c r="A22" i="6"/>
  <c r="M20" i="6"/>
  <c r="N43" i="6"/>
  <c r="G37" i="6"/>
  <c r="C35" i="6"/>
  <c r="M32" i="6"/>
  <c r="I30" i="6"/>
  <c r="E28" i="6"/>
  <c r="A26" i="6"/>
  <c r="K23" i="6"/>
  <c r="E21" i="6"/>
  <c r="I19" i="6"/>
  <c r="G18" i="6"/>
  <c r="E17" i="6"/>
  <c r="C16" i="6"/>
  <c r="A15" i="6"/>
  <c r="M13" i="6"/>
  <c r="K12" i="6"/>
  <c r="I11" i="6"/>
  <c r="G10" i="6"/>
  <c r="E9" i="6"/>
  <c r="C8" i="6"/>
  <c r="A7" i="6"/>
  <c r="M5" i="6"/>
  <c r="K4" i="6"/>
  <c r="I3" i="6"/>
  <c r="G2" i="6"/>
  <c r="L37" i="6"/>
  <c r="H35" i="6"/>
  <c r="D33" i="6"/>
  <c r="N30" i="6"/>
  <c r="J28" i="6"/>
  <c r="F26" i="6"/>
  <c r="B24" i="6"/>
  <c r="J21" i="6"/>
  <c r="L19" i="6"/>
  <c r="J18" i="6"/>
  <c r="H17" i="6"/>
  <c r="F16" i="6"/>
  <c r="D15" i="6"/>
  <c r="B14" i="6"/>
  <c r="N12" i="6"/>
  <c r="L11" i="6"/>
  <c r="J10" i="6"/>
  <c r="H9" i="6"/>
  <c r="F8" i="6"/>
  <c r="D7" i="6"/>
  <c r="B6" i="6"/>
  <c r="N4" i="6"/>
  <c r="L3" i="6"/>
  <c r="J2" i="6"/>
  <c r="H1" i="6"/>
  <c r="I36" i="6"/>
  <c r="A32" i="6"/>
  <c r="G27" i="6"/>
  <c r="M22" i="6"/>
  <c r="C19" i="6"/>
  <c r="M16" i="6"/>
  <c r="I14" i="6"/>
  <c r="E12" i="6"/>
  <c r="A10" i="6"/>
  <c r="K7" i="6"/>
  <c r="G5" i="6"/>
  <c r="C3" i="6"/>
  <c r="F1" i="6"/>
  <c r="K33" i="6"/>
  <c r="I24" i="6"/>
  <c r="C17" i="6"/>
  <c r="A12" i="6"/>
  <c r="G7" i="6"/>
  <c r="E2" i="6"/>
  <c r="H33" i="6"/>
  <c r="F24" i="6"/>
  <c r="B17" i="6"/>
  <c r="B13" i="6"/>
  <c r="H8" i="6"/>
  <c r="F3" i="6"/>
  <c r="H37" i="6"/>
  <c r="N32" i="6"/>
  <c r="F28" i="6"/>
  <c r="L23" i="6"/>
  <c r="J19" i="6"/>
  <c r="F17" i="6"/>
  <c r="B15" i="6"/>
  <c r="L12" i="6"/>
  <c r="H10" i="6"/>
  <c r="D8" i="6"/>
  <c r="N5" i="6"/>
  <c r="J3" i="6"/>
  <c r="J1" i="6"/>
  <c r="M34" i="6"/>
  <c r="K25" i="6"/>
  <c r="M18" i="6"/>
  <c r="E14" i="6"/>
  <c r="E10" i="6"/>
  <c r="C41" i="6"/>
  <c r="D38" i="6"/>
  <c r="B37" i="6"/>
  <c r="N35" i="6"/>
  <c r="L34" i="6"/>
  <c r="J33" i="6"/>
  <c r="H32" i="6"/>
  <c r="F31" i="6"/>
  <c r="D30" i="6"/>
  <c r="B29" i="6"/>
  <c r="N27" i="6"/>
  <c r="L26" i="6"/>
  <c r="J25" i="6"/>
  <c r="H24" i="6"/>
  <c r="F23" i="6"/>
  <c r="B22" i="6"/>
  <c r="N20" i="6"/>
  <c r="B39" i="6"/>
  <c r="M37" i="6"/>
  <c r="K36" i="6"/>
  <c r="I35" i="6"/>
  <c r="G34" i="6"/>
  <c r="E33" i="6"/>
  <c r="C32" i="6"/>
  <c r="A31" i="6"/>
  <c r="M29" i="6"/>
  <c r="K28" i="6"/>
  <c r="I27" i="6"/>
  <c r="G26" i="6"/>
  <c r="E25" i="6"/>
  <c r="C24" i="6"/>
  <c r="A23" i="6"/>
  <c r="K21" i="6"/>
  <c r="I20" i="6"/>
  <c r="N39" i="6"/>
  <c r="M36" i="6"/>
  <c r="I34" i="6"/>
  <c r="E32" i="6"/>
  <c r="A30" i="6"/>
  <c r="K27" i="6"/>
  <c r="G25" i="6"/>
  <c r="C23" i="6"/>
  <c r="K20" i="6"/>
  <c r="E19" i="6"/>
  <c r="C18" i="6"/>
  <c r="A17" i="6"/>
  <c r="M15" i="6"/>
  <c r="K14" i="6"/>
  <c r="I13" i="6"/>
  <c r="G12" i="6"/>
  <c r="E11" i="6"/>
  <c r="C10" i="6"/>
  <c r="A9" i="6"/>
  <c r="M7" i="6"/>
  <c r="K6" i="6"/>
  <c r="I5" i="6"/>
  <c r="G4" i="6"/>
  <c r="E3" i="6"/>
  <c r="C42" i="6"/>
  <c r="D37" i="6"/>
  <c r="N34" i="6"/>
  <c r="J32" i="6"/>
  <c r="F30" i="6"/>
  <c r="B28" i="6"/>
  <c r="L25" i="6"/>
  <c r="H23" i="6"/>
  <c r="B21" i="6"/>
  <c r="H19" i="6"/>
  <c r="F18" i="6"/>
  <c r="D17" i="6"/>
  <c r="B16" i="6"/>
  <c r="N14" i="6"/>
  <c r="L13" i="6"/>
  <c r="J12" i="6"/>
  <c r="H11" i="6"/>
  <c r="F10" i="6"/>
  <c r="D9" i="6"/>
  <c r="B8" i="6"/>
  <c r="N6" i="6"/>
  <c r="L5" i="6"/>
  <c r="J4" i="6"/>
  <c r="H3" i="6"/>
  <c r="F2" i="6"/>
  <c r="D1" i="6"/>
  <c r="G35" i="6"/>
  <c r="M30" i="6"/>
  <c r="E26" i="6"/>
  <c r="I21" i="6"/>
  <c r="I18" i="6"/>
  <c r="E16" i="6"/>
  <c r="A14" i="6"/>
  <c r="K11" i="6"/>
  <c r="G9" i="6"/>
  <c r="C7" i="6"/>
  <c r="M4" i="6"/>
  <c r="I2" i="6"/>
  <c r="A1" i="6"/>
  <c r="G31" i="6"/>
  <c r="C22" i="6"/>
  <c r="A16" i="6"/>
  <c r="M10" i="6"/>
  <c r="K5" i="6"/>
  <c r="I1" i="6"/>
  <c r="D31" i="6"/>
  <c r="N21" i="6"/>
  <c r="N15" i="6"/>
  <c r="N11" i="6"/>
  <c r="F7" i="6"/>
  <c r="D2" i="6"/>
  <c r="F36" i="6"/>
  <c r="L31" i="6"/>
  <c r="D27" i="6"/>
  <c r="J22" i="6"/>
  <c r="B19" i="6"/>
  <c r="L16" i="6"/>
  <c r="H14" i="6"/>
  <c r="D12" i="6"/>
  <c r="N9" i="6"/>
  <c r="J7" i="6"/>
  <c r="F5" i="6"/>
  <c r="B3" i="6"/>
  <c r="E1" i="6"/>
  <c r="C39" i="6"/>
  <c r="N37" i="6"/>
  <c r="L36" i="6"/>
  <c r="J35" i="6"/>
  <c r="H34" i="6"/>
  <c r="F33" i="6"/>
  <c r="D32" i="6"/>
  <c r="B31" i="6"/>
  <c r="N29" i="6"/>
  <c r="L28" i="6"/>
  <c r="J27" i="6"/>
  <c r="H26" i="6"/>
  <c r="F25" i="6"/>
  <c r="D24" i="6"/>
  <c r="B23" i="6"/>
  <c r="L21" i="6"/>
  <c r="J20" i="6"/>
  <c r="K38" i="6"/>
  <c r="I37" i="6"/>
  <c r="G36" i="6"/>
  <c r="E35" i="6"/>
  <c r="C34" i="6"/>
  <c r="A33" i="6"/>
  <c r="M31" i="6"/>
  <c r="K30" i="6"/>
  <c r="I29" i="6"/>
  <c r="G28" i="6"/>
  <c r="E27" i="6"/>
  <c r="C26" i="6"/>
  <c r="A25" i="6"/>
  <c r="M23" i="6"/>
  <c r="K22" i="6"/>
  <c r="G21" i="6"/>
  <c r="E20" i="6"/>
  <c r="I38" i="6"/>
  <c r="E36" i="6"/>
  <c r="A34" i="6"/>
  <c r="K31" i="6"/>
  <c r="G29" i="6"/>
  <c r="C27" i="6"/>
  <c r="M24" i="6"/>
  <c r="I22" i="6"/>
  <c r="D20" i="6"/>
  <c r="A19" i="6"/>
  <c r="M17" i="6"/>
  <c r="K16" i="6"/>
  <c r="I15" i="6"/>
  <c r="G14" i="6"/>
  <c r="E13" i="6"/>
  <c r="C12" i="6"/>
  <c r="A11" i="6"/>
  <c r="M9" i="6"/>
  <c r="K8" i="6"/>
  <c r="I7" i="6"/>
  <c r="G6" i="6"/>
  <c r="E5" i="6"/>
  <c r="C4" i="6"/>
  <c r="A3" i="6"/>
  <c r="N38" i="6"/>
  <c r="J36" i="6"/>
  <c r="F34" i="6"/>
  <c r="B32" i="6"/>
  <c r="L29" i="6"/>
  <c r="H27" i="6"/>
  <c r="D25" i="6"/>
  <c r="N22" i="6"/>
  <c r="H20" i="6"/>
  <c r="D19" i="6"/>
  <c r="B18" i="6"/>
  <c r="N16" i="6"/>
  <c r="L15" i="6"/>
  <c r="J14" i="6"/>
  <c r="H13" i="6"/>
  <c r="F12" i="6"/>
  <c r="D11" i="6"/>
  <c r="B10" i="6"/>
  <c r="N8" i="6"/>
  <c r="L7" i="6"/>
  <c r="J6" i="6"/>
  <c r="H5" i="6"/>
  <c r="F4" i="6"/>
  <c r="D3" i="6"/>
  <c r="B2" i="6"/>
  <c r="M38" i="6"/>
  <c r="E34" i="6"/>
  <c r="K29" i="6"/>
  <c r="C25" i="6"/>
  <c r="G20" i="6"/>
  <c r="A18" i="6"/>
  <c r="K15" i="6"/>
  <c r="G13" i="6"/>
  <c r="C11" i="6"/>
  <c r="M8" i="6"/>
  <c r="I6" i="6"/>
  <c r="E4" i="6"/>
  <c r="C2" i="6"/>
  <c r="E38" i="6"/>
  <c r="C29" i="6"/>
  <c r="G19" i="6"/>
  <c r="M14" i="6"/>
  <c r="K9" i="6"/>
  <c r="I4" i="6"/>
  <c r="B38" i="6"/>
  <c r="N28" i="6"/>
  <c r="N19" i="6"/>
  <c r="F15" i="6"/>
  <c r="L10" i="6"/>
  <c r="J5" i="6"/>
  <c r="G1" i="6"/>
  <c r="D35" i="6"/>
  <c r="J30" i="6"/>
  <c r="B26" i="6"/>
  <c r="F21" i="6"/>
  <c r="H18" i="6"/>
  <c r="D16" i="6"/>
  <c r="N13" i="6"/>
  <c r="J11" i="6"/>
  <c r="F9" i="6"/>
  <c r="B7" i="6"/>
  <c r="L4" i="6"/>
  <c r="H2" i="6"/>
  <c r="N41" i="6"/>
  <c r="E30" i="6"/>
  <c r="A21" i="6"/>
  <c r="I16" i="6"/>
  <c r="I12" i="6"/>
  <c r="I32" i="6"/>
  <c r="C9" i="6"/>
  <c r="A4" i="6"/>
  <c r="C40" i="6"/>
  <c r="B30" i="6"/>
  <c r="L20" i="6"/>
  <c r="H16" i="6"/>
  <c r="F11" i="6"/>
  <c r="L6" i="6"/>
  <c r="L2" i="6"/>
  <c r="G23" i="6"/>
  <c r="A8" i="6"/>
  <c r="M2" i="6"/>
  <c r="N36" i="6"/>
  <c r="L27" i="6"/>
  <c r="F19" i="6"/>
  <c r="L14" i="6"/>
  <c r="D10" i="6"/>
  <c r="D6" i="6"/>
  <c r="M1" i="6"/>
  <c r="K17" i="6"/>
  <c r="E6" i="6"/>
  <c r="N1" i="6"/>
  <c r="J34" i="6"/>
  <c r="H25" i="6"/>
  <c r="L18" i="6"/>
  <c r="J13" i="6"/>
  <c r="B9" i="6"/>
  <c r="B5" i="6"/>
  <c r="B1" i="6"/>
  <c r="C13" i="6"/>
  <c r="C5" i="6"/>
  <c r="C1" i="6"/>
  <c r="F32" i="6"/>
  <c r="D23" i="6"/>
  <c r="J17" i="6"/>
  <c r="H12" i="6"/>
  <c r="N7" i="6"/>
  <c r="N3" i="6"/>
  <c r="M33" i="16" l="1"/>
  <c r="M28" i="16"/>
  <c r="B10" i="3"/>
  <c r="B14" i="3"/>
  <c r="C14" i="3"/>
  <c r="B32" i="16"/>
  <c r="C13" i="3"/>
  <c r="E19" i="1"/>
  <c r="B37" i="3"/>
  <c r="B15" i="3"/>
  <c r="C25" i="3"/>
  <c r="B43" i="3"/>
  <c r="E16" i="1"/>
  <c r="C27" i="1"/>
  <c r="M14" i="16" s="1"/>
  <c r="B22" i="3"/>
  <c r="B52" i="3"/>
  <c r="D6" i="1"/>
  <c r="C18" i="3"/>
  <c r="B24" i="3"/>
  <c r="B42" i="3"/>
  <c r="N20" i="1"/>
  <c r="A3" i="3"/>
  <c r="E17" i="1"/>
  <c r="E12" i="1"/>
  <c r="B13" i="3"/>
  <c r="B23" i="3"/>
  <c r="C11" i="3"/>
  <c r="M12" i="16"/>
  <c r="O12" i="16" s="1"/>
  <c r="B20" i="3"/>
  <c r="B38" i="3"/>
  <c r="C33" i="1"/>
  <c r="B28" i="3"/>
  <c r="M11" i="16"/>
  <c r="O11" i="16" s="1"/>
  <c r="B19" i="3"/>
  <c r="C23" i="3"/>
  <c r="C28" i="1"/>
  <c r="M15" i="16" s="1"/>
  <c r="M19" i="16" s="1"/>
  <c r="B12" i="3"/>
  <c r="E15" i="1"/>
  <c r="C12" i="3"/>
  <c r="B21" i="3"/>
  <c r="C26" i="1"/>
  <c r="M13" i="16" s="1"/>
  <c r="B11" i="3"/>
  <c r="E14" i="1"/>
  <c r="E18" i="1"/>
  <c r="B18" i="3"/>
  <c r="E20" i="1"/>
  <c r="B39" i="3"/>
  <c r="B48" i="3"/>
  <c r="B56" i="3"/>
  <c r="C30" i="1"/>
  <c r="B35" i="3"/>
  <c r="B45" i="3"/>
  <c r="C10" i="3"/>
  <c r="C9" i="3"/>
  <c r="B9" i="3"/>
  <c r="B36" i="3"/>
  <c r="B49" i="3"/>
  <c r="C29" i="1"/>
  <c r="M16" i="16" s="1"/>
  <c r="B44" i="3"/>
  <c r="G25" i="16"/>
  <c r="G23" i="16"/>
  <c r="G21" i="16"/>
  <c r="G19" i="16"/>
  <c r="G17" i="16"/>
  <c r="G15" i="16"/>
  <c r="G13" i="16"/>
  <c r="G11" i="16"/>
  <c r="G7" i="16"/>
  <c r="G8" i="16"/>
  <c r="G24" i="16"/>
  <c r="G22" i="16"/>
  <c r="G20" i="16"/>
  <c r="G18" i="16"/>
  <c r="G16" i="16"/>
  <c r="G14" i="16"/>
  <c r="G12" i="16"/>
  <c r="G9" i="16"/>
  <c r="G5" i="16"/>
  <c r="G10" i="16"/>
  <c r="G6" i="16"/>
  <c r="H8" i="16"/>
  <c r="H24" i="16"/>
  <c r="H22" i="16"/>
  <c r="H20" i="16"/>
  <c r="H18" i="16"/>
  <c r="H16" i="16"/>
  <c r="H14" i="16"/>
  <c r="H12" i="16"/>
  <c r="H9" i="16"/>
  <c r="H5" i="16"/>
  <c r="H10" i="16"/>
  <c r="H6" i="16"/>
  <c r="H25" i="16"/>
  <c r="H23" i="16"/>
  <c r="H21" i="16"/>
  <c r="H19" i="16"/>
  <c r="H17" i="16"/>
  <c r="H15" i="16"/>
  <c r="H13" i="16"/>
  <c r="H11" i="16"/>
  <c r="H7" i="16"/>
  <c r="G28" i="16" l="1"/>
  <c r="I11" i="16" s="1"/>
  <c r="M20" i="16"/>
  <c r="H33" i="16"/>
  <c r="I14" i="16" l="1"/>
  <c r="I6" i="16"/>
  <c r="I21" i="16"/>
  <c r="I10" i="16"/>
  <c r="I12" i="16"/>
  <c r="I23" i="16"/>
  <c r="I19" i="16"/>
  <c r="I9" i="16"/>
  <c r="I5" i="16"/>
  <c r="I20" i="16"/>
  <c r="I7" i="16"/>
  <c r="I24" i="16"/>
  <c r="I8" i="16"/>
  <c r="I18" i="16"/>
  <c r="I15" i="16"/>
  <c r="I13" i="16"/>
  <c r="I22" i="16"/>
  <c r="I16" i="16"/>
  <c r="I25" i="16"/>
  <c r="I17" i="16"/>
  <c r="M27" i="16"/>
  <c r="H28" i="16"/>
  <c r="M21" i="16"/>
  <c r="J12" i="16" l="1"/>
  <c r="J10" i="16"/>
  <c r="J9" i="16"/>
  <c r="J5" i="16"/>
  <c r="J17" i="16"/>
  <c r="J16" i="16"/>
  <c r="J15" i="16"/>
  <c r="J8" i="16"/>
  <c r="J25" i="16"/>
  <c r="J24" i="16"/>
  <c r="J22" i="16"/>
  <c r="J20" i="16"/>
  <c r="J13" i="16"/>
  <c r="J18" i="16"/>
  <c r="J23" i="16"/>
  <c r="J21" i="16"/>
  <c r="J19" i="16"/>
  <c r="J11" i="16"/>
  <c r="J14" i="16"/>
  <c r="J7" i="16"/>
  <c r="J6" i="16"/>
  <c r="H29" i="16"/>
  <c r="E33" i="16" l="1"/>
  <c r="G29" i="16"/>
  <c r="E34" i="16" s="1"/>
  <c r="E25" i="16" l="1"/>
  <c r="E5" i="16"/>
  <c r="E15" i="16"/>
  <c r="G31" i="16"/>
  <c r="M22" i="16" s="1"/>
  <c r="E28" i="16" s="1"/>
  <c r="D3" i="16"/>
  <c r="B7" i="16"/>
  <c r="G18" i="1" s="1"/>
  <c r="I19" i="1" s="1"/>
  <c r="M23" i="16"/>
  <c r="E29" i="16" s="1"/>
  <c r="B3" i="16" s="1"/>
  <c r="L46" i="16"/>
  <c r="E10" i="16"/>
  <c r="E20" i="16"/>
  <c r="B6" i="16"/>
  <c r="E3" i="16" l="1"/>
  <c r="E30" i="16"/>
  <c r="B4" i="16" s="1"/>
  <c r="E31" i="16"/>
  <c r="B5" i="16" s="1"/>
  <c r="E38" i="16"/>
  <c r="B13" i="16" s="1"/>
  <c r="G25" i="1" s="1"/>
  <c r="B2" i="16"/>
  <c r="B8" i="16"/>
  <c r="G19" i="1" s="1"/>
  <c r="G17" i="1"/>
  <c r="M46" i="16"/>
  <c r="N46" i="16" s="1"/>
  <c r="G13" i="1"/>
  <c r="I13" i="1"/>
  <c r="I15" i="1" l="1"/>
  <c r="G15" i="1"/>
  <c r="T21" i="1" s="1"/>
  <c r="I14" i="1"/>
  <c r="G14" i="1"/>
  <c r="I12" i="1"/>
  <c r="G12" i="1"/>
  <c r="D15" i="16"/>
  <c r="D10" i="16"/>
  <c r="D14" i="16" l="1"/>
  <c r="E14" i="16" s="1"/>
  <c r="E24" i="16" s="1"/>
  <c r="D13" i="16"/>
  <c r="E13" i="16" s="1"/>
  <c r="E23" i="16" s="1"/>
  <c r="D7" i="16"/>
  <c r="E7" i="16" s="1"/>
  <c r="E17" i="16" s="1"/>
  <c r="D11" i="16"/>
  <c r="E11" i="16" s="1"/>
  <c r="E21" i="16" s="1"/>
  <c r="D6" i="16"/>
  <c r="E6" i="16" s="1"/>
  <c r="E16" i="16" s="1"/>
  <c r="D8" i="16"/>
  <c r="E8" i="16" s="1"/>
  <c r="E18" i="16" s="1"/>
  <c r="D9" i="16"/>
  <c r="E9" i="16" s="1"/>
  <c r="E19" i="16" s="1"/>
  <c r="D12" i="16"/>
  <c r="E12" i="16" s="1"/>
  <c r="E22" i="16" s="1"/>
  <c r="L42" i="16"/>
  <c r="M42" i="16" s="1"/>
  <c r="N42" i="16" s="1"/>
  <c r="F3" i="16" s="1"/>
  <c r="D20" i="16"/>
  <c r="D18" i="16" s="1"/>
  <c r="D25" i="16"/>
  <c r="D17" i="16" l="1"/>
  <c r="D16" i="16"/>
  <c r="D24" i="16"/>
  <c r="D23" i="16"/>
  <c r="D22" i="16"/>
  <c r="D21" i="16"/>
  <c r="D19" i="16"/>
  <c r="O46" i="16"/>
  <c r="F5" i="16" l="1"/>
  <c r="B9" i="16"/>
  <c r="B15" i="16" l="1"/>
  <c r="G29" i="1" s="1"/>
  <c r="E41" i="16"/>
  <c r="G28" i="1" s="1"/>
  <c r="B11" i="16"/>
  <c r="T13" i="1"/>
  <c r="I20" i="1"/>
  <c r="G20" i="1"/>
  <c r="E40" i="16"/>
  <c r="G27" i="1" s="1"/>
  <c r="B12" i="16"/>
  <c r="F12" i="16"/>
  <c r="F10" i="16"/>
  <c r="F9" i="16"/>
  <c r="F17" i="16"/>
  <c r="F16" i="16"/>
  <c r="F15" i="16"/>
  <c r="F8" i="16"/>
  <c r="F24" i="16"/>
  <c r="F22" i="16"/>
  <c r="F20" i="16"/>
  <c r="F13" i="16"/>
  <c r="F18" i="16"/>
  <c r="F11" i="16"/>
  <c r="F23" i="16"/>
  <c r="F21" i="16"/>
  <c r="F19" i="16"/>
  <c r="F7" i="16"/>
  <c r="F6" i="16" s="1"/>
  <c r="F25" i="16"/>
  <c r="F14" i="16"/>
  <c r="E39" i="16" l="1"/>
  <c r="G24" i="1"/>
  <c r="G22" i="1"/>
  <c r="G26" i="1" l="1"/>
  <c r="I26" i="1" s="1"/>
  <c r="E46" i="16"/>
  <c r="E43" i="16"/>
  <c r="G30" i="1" l="1"/>
  <c r="E44" i="16"/>
  <c r="G31" i="1" s="1"/>
  <c r="G34" i="1"/>
  <c r="I34" i="1" s="1"/>
  <c r="E45" i="16"/>
  <c r="G33" i="1" s="1"/>
</calcChain>
</file>

<file path=xl/comments1.xml><?xml version="1.0" encoding="utf-8"?>
<comments xmlns="http://schemas.openxmlformats.org/spreadsheetml/2006/main">
  <authors>
    <author>Alan Dodd</author>
  </authors>
  <commentList>
    <comment ref="D3" authorId="0">
      <text>
        <r>
          <rPr>
            <b/>
            <sz val="8"/>
            <color indexed="81"/>
            <rFont val="Tahoma"/>
            <family val="2"/>
          </rPr>
          <t>Alan Dodd:</t>
        </r>
        <r>
          <rPr>
            <sz val="8"/>
            <color indexed="81"/>
            <rFont val="Tahoma"/>
            <family val="2"/>
          </rPr>
          <t xml:space="preserve">
T1=Time to reach ITL- from real time zero
=(L/Rtot)*ln(Io/(Io-[ITL-]))</t>
        </r>
      </text>
    </comment>
    <comment ref="E3" authorId="0">
      <text>
        <r>
          <rPr>
            <b/>
            <sz val="8"/>
            <color indexed="81"/>
            <rFont val="Tahoma"/>
            <family val="2"/>
          </rPr>
          <t>Alan Dodd:</t>
        </r>
        <r>
          <rPr>
            <sz val="8"/>
            <color indexed="81"/>
            <rFont val="Tahoma"/>
            <family val="2"/>
          </rPr>
          <t xml:space="preserve">
=Current after time T1
This value should be the same as ITL-
in cells X44 and W82 calculated from ideal ITL-undershoot</t>
        </r>
      </text>
    </comment>
    <comment ref="F3" authorId="0">
      <text>
        <r>
          <rPr>
            <b/>
            <sz val="8"/>
            <color indexed="81"/>
            <rFont val="Tahoma"/>
            <family val="2"/>
          </rPr>
          <t>Alan Dodd:</t>
        </r>
        <r>
          <rPr>
            <sz val="8"/>
            <color indexed="81"/>
            <rFont val="Tahoma"/>
            <family val="2"/>
          </rPr>
          <t xml:space="preserve">
Iavg_c
=avg current during charge
=Io{1+(L/Rtot)[(exp-Rtot*t2/L)- (exp-Rtot*t1/L)/(t2-t1)]}</t>
        </r>
      </text>
    </comment>
    <comment ref="G4" authorId="0">
      <text>
        <r>
          <rPr>
            <b/>
            <sz val="8"/>
            <color indexed="81"/>
            <rFont val="Tahoma"/>
            <family val="2"/>
          </rPr>
          <t>Alan Dodd:</t>
        </r>
        <r>
          <rPr>
            <sz val="8"/>
            <color indexed="81"/>
            <rFont val="Tahoma"/>
            <family val="2"/>
          </rPr>
          <t xml:space="preserve">
Ideal lower threshold</t>
        </r>
      </text>
    </comment>
    <comment ref="H4" authorId="0">
      <text>
        <r>
          <rPr>
            <b/>
            <sz val="8"/>
            <color indexed="81"/>
            <rFont val="Tahoma"/>
            <family val="2"/>
          </rPr>
          <t>Alan Dodd:</t>
        </r>
        <r>
          <rPr>
            <sz val="8"/>
            <color indexed="81"/>
            <rFont val="Tahoma"/>
            <family val="2"/>
          </rPr>
          <t xml:space="preserve">
Ideal upper threshold</t>
        </r>
      </text>
    </comment>
    <comment ref="I4" authorId="0">
      <text>
        <r>
          <rPr>
            <b/>
            <sz val="8"/>
            <color indexed="81"/>
            <rFont val="Tahoma"/>
            <family val="2"/>
          </rPr>
          <t>Alan Dodd:</t>
        </r>
        <r>
          <rPr>
            <sz val="8"/>
            <color indexed="81"/>
            <rFont val="Tahoma"/>
            <family val="2"/>
          </rPr>
          <t xml:space="preserve">
Actual minimum current - indicates negative overshoot</t>
        </r>
      </text>
    </comment>
    <comment ref="J4" authorId="0">
      <text>
        <r>
          <rPr>
            <b/>
            <sz val="8"/>
            <color indexed="81"/>
            <rFont val="Tahoma"/>
            <family val="2"/>
          </rPr>
          <t>Alan Dodd:</t>
        </r>
        <r>
          <rPr>
            <sz val="8"/>
            <color indexed="81"/>
            <rFont val="Tahoma"/>
            <family val="2"/>
          </rPr>
          <t xml:space="preserve">
Actual maximum current - indicates positive overshoot</t>
        </r>
      </text>
    </comment>
    <comment ref="L46" authorId="0">
      <text>
        <r>
          <rPr>
            <b/>
            <sz val="8"/>
            <color indexed="81"/>
            <rFont val="Tahoma"/>
            <family val="2"/>
          </rPr>
          <t>Alan Dodd:</t>
        </r>
        <r>
          <rPr>
            <sz val="8"/>
            <color indexed="81"/>
            <rFont val="Tahoma"/>
            <family val="2"/>
          </rPr>
          <t xml:space="preserve">
=[ITH+]+(N*Vled+Vf)/Rtot2</t>
        </r>
      </text>
    </comment>
    <comment ref="M46" authorId="0">
      <text>
        <r>
          <rPr>
            <b/>
            <sz val="8"/>
            <color indexed="81"/>
            <rFont val="Tahoma"/>
            <family val="2"/>
          </rPr>
          <t>Alan Dodd:</t>
        </r>
        <r>
          <rPr>
            <sz val="8"/>
            <color indexed="81"/>
            <rFont val="Tahoma"/>
            <family val="2"/>
          </rPr>
          <t xml:space="preserve">
=L*{(1-exp(-Rtot2*Toff/L)/Toff}</t>
        </r>
      </text>
    </comment>
    <comment ref="N46" authorId="0">
      <text>
        <r>
          <rPr>
            <b/>
            <sz val="8"/>
            <color indexed="81"/>
            <rFont val="Tahoma"/>
            <family val="2"/>
          </rPr>
          <t>Alan Dodd:</t>
        </r>
        <r>
          <rPr>
            <sz val="8"/>
            <color indexed="81"/>
            <rFont val="Tahoma"/>
            <family val="2"/>
          </rPr>
          <t xml:space="preserve">
Average discharge current</t>
        </r>
      </text>
    </comment>
    <comment ref="O46" authorId="0">
      <text>
        <r>
          <rPr>
            <b/>
            <sz val="8"/>
            <color indexed="81"/>
            <rFont val="Tahoma"/>
            <family val="2"/>
          </rPr>
          <t>Alan Dodd:</t>
        </r>
        <r>
          <rPr>
            <sz val="8"/>
            <color indexed="81"/>
            <rFont val="Tahoma"/>
            <family val="2"/>
          </rPr>
          <t xml:space="preserve">
Average output current</t>
        </r>
      </text>
    </comment>
  </commentList>
</comments>
</file>

<file path=xl/sharedStrings.xml><?xml version="1.0" encoding="utf-8"?>
<sst xmlns="http://schemas.openxmlformats.org/spreadsheetml/2006/main" count="429" uniqueCount="281">
  <si>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</si>
  <si>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</si>
  <si>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</si>
  <si>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</si>
  <si>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</si>
  <si>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</si>
  <si>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</si>
  <si>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</si>
  <si>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</si>
  <si>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</si>
  <si>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</si>
  <si>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</si>
  <si>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</si>
  <si>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</si>
  <si>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</si>
  <si>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</si>
  <si>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</si>
  <si>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</si>
  <si>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</si>
  <si>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</si>
  <si>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</si>
  <si>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</si>
  <si>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</si>
  <si>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</si>
  <si>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</si>
  <si>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</si>
  <si>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</si>
  <si>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</si>
  <si>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</si>
  <si>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</si>
  <si>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</si>
  <si>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</si>
  <si>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</si>
  <si>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</si>
  <si>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</si>
  <si>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</si>
  <si>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</si>
  <si>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</si>
  <si>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Rs</t>
  </si>
  <si>
    <t>L</t>
  </si>
  <si>
    <t>average current during discharge</t>
  </si>
  <si>
    <t>Notes</t>
  </si>
  <si>
    <t>Typical Value</t>
  </si>
  <si>
    <t>Minimum LED current</t>
  </si>
  <si>
    <t>This is the 90% to 10% falltime of the voltage on the LX pin at the working voltage. This figure is used to estimate the switching loss during switch turn-on</t>
  </si>
  <si>
    <t>Maximum LED current</t>
  </si>
  <si>
    <t>Average LED current (Iavg)</t>
  </si>
  <si>
    <t>Current sense resistor (Rs)</t>
  </si>
  <si>
    <t>Switch resistance at Tj</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</si>
  <si>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</si>
  <si>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</si>
  <si>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</si>
  <si>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</si>
  <si>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</si>
  <si>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</si>
  <si>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</si>
  <si>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</si>
  <si>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</si>
  <si>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</si>
  <si>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</si>
  <si>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</si>
  <si>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</si>
  <si>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</si>
  <si>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</si>
  <si>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</si>
  <si>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</si>
  <si>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</si>
  <si>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</si>
  <si>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</si>
  <si>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</si>
  <si>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</si>
  <si>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</si>
  <si>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</si>
  <si>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</si>
  <si>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coil DC winding resistance. The calculator accepts values between 0 and 10 Ohms. The resistance is assumed to be constant over the operating conditions.</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</si>
  <si>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</si>
  <si>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</si>
  <si>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</si>
  <si>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</si>
  <si>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</si>
  <si>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</si>
  <si>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</si>
  <si>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</si>
  <si>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</si>
  <si>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</si>
  <si>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</si>
  <si>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</si>
  <si>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</si>
  <si>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</si>
  <si>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</si>
  <si>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</si>
  <si>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</si>
  <si>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</si>
  <si>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</si>
  <si>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</si>
  <si>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</si>
  <si>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Enter your inputs here</t>
  </si>
  <si>
    <t>Supply Voltage</t>
  </si>
  <si>
    <t>FailMin</t>
  </si>
  <si>
    <t>RecMin</t>
  </si>
  <si>
    <t>Typ</t>
  </si>
  <si>
    <t>RecMax</t>
  </si>
  <si>
    <t>FailMax</t>
  </si>
  <si>
    <t>Units</t>
  </si>
  <si>
    <t>No of LEDs</t>
  </si>
  <si>
    <t>LED Forward Voltage</t>
  </si>
  <si>
    <t>Free-wheel Diode Voltage</t>
  </si>
  <si>
    <t>Current Sense Resistor</t>
  </si>
  <si>
    <t>Ω</t>
  </si>
  <si>
    <t>Coil Inductance</t>
  </si>
  <si>
    <t>Coil Resistance</t>
  </si>
  <si>
    <t>Ambient Temperature</t>
  </si>
  <si>
    <t>°C</t>
  </si>
  <si>
    <t>(Vin)</t>
  </si>
  <si>
    <t>(N)</t>
  </si>
  <si>
    <t>(VLED)</t>
  </si>
  <si>
    <t>(VF)</t>
  </si>
  <si>
    <t>(Rs)</t>
  </si>
  <si>
    <t>(L)</t>
  </si>
  <si>
    <t>(rL)</t>
  </si>
  <si>
    <t>(Tamb)</t>
  </si>
  <si>
    <t>(TpdH)</t>
  </si>
  <si>
    <t>(TpdL)</t>
  </si>
  <si>
    <t>(Tr)</t>
  </si>
  <si>
    <t>(Tf)</t>
  </si>
  <si>
    <t>(Ø jA)</t>
  </si>
  <si>
    <t>Package thermal resistance</t>
  </si>
  <si>
    <t>(Vadj)</t>
  </si>
  <si>
    <t>LX voltage falltime</t>
  </si>
  <si>
    <t>LX voltage risetime</t>
  </si>
  <si>
    <t>Comparator H&gt;L prop delay</t>
  </si>
  <si>
    <t>Comparator L&gt;H prop delay</t>
  </si>
  <si>
    <t>°C/W</t>
  </si>
  <si>
    <t>Turn on time</t>
  </si>
  <si>
    <t>(Ton)</t>
  </si>
  <si>
    <t>Turn off time</t>
  </si>
  <si>
    <t>(Toff)</t>
  </si>
  <si>
    <t>Duty cycle</t>
  </si>
  <si>
    <t>(D)</t>
  </si>
  <si>
    <t>Switching frequency</t>
  </si>
  <si>
    <t>(f)</t>
  </si>
  <si>
    <t>Average LED current</t>
  </si>
  <si>
    <t>(Iavg)</t>
  </si>
  <si>
    <t>Estimated die temperature</t>
  </si>
  <si>
    <t>(Tj)</t>
  </si>
  <si>
    <t>Typical spec</t>
  </si>
  <si>
    <t>List devices here</t>
  </si>
  <si>
    <t>Supply decoupling capacitor</t>
  </si>
  <si>
    <t>µF</t>
  </si>
  <si>
    <t>Information parameters</t>
  </si>
  <si>
    <t>ton</t>
  </si>
  <si>
    <t>toff</t>
  </si>
  <si>
    <t>D</t>
  </si>
  <si>
    <t>f</t>
  </si>
  <si>
    <t>Irip</t>
  </si>
  <si>
    <t>Iav</t>
  </si>
  <si>
    <t>Pled</t>
  </si>
  <si>
    <t>Plx</t>
  </si>
  <si>
    <t>Psw</t>
  </si>
  <si>
    <t>Pcoil</t>
  </si>
  <si>
    <t>Nled</t>
  </si>
  <si>
    <t>Vled</t>
  </si>
  <si>
    <t>Vf</t>
  </si>
  <si>
    <t>La</t>
  </si>
  <si>
    <t>rL</t>
  </si>
  <si>
    <t>Tamb</t>
  </si>
  <si>
    <t>Vadj</t>
  </si>
  <si>
    <t>TpdH</t>
  </si>
  <si>
    <t>TpdL</t>
  </si>
  <si>
    <t>Tr</t>
  </si>
  <si>
    <t>Tf</t>
  </si>
  <si>
    <t>Rlx_amb</t>
  </si>
  <si>
    <t>thetaja</t>
  </si>
  <si>
    <t>UpILED</t>
  </si>
  <si>
    <t>LoILED</t>
  </si>
  <si>
    <t>AvILED</t>
  </si>
  <si>
    <t>UpILED_id</t>
  </si>
  <si>
    <t>LoILED_id</t>
  </si>
  <si>
    <t>Vleds</t>
  </si>
  <si>
    <t>Rchg</t>
  </si>
  <si>
    <t>Ichg</t>
  </si>
  <si>
    <t>TpdH_u</t>
  </si>
  <si>
    <t>TpdL_u</t>
  </si>
  <si>
    <t>Rs+rL</t>
  </si>
  <si>
    <t>Idis</t>
  </si>
  <si>
    <t>Chip current</t>
  </si>
  <si>
    <t>Ilth</t>
  </si>
  <si>
    <t>Iuth</t>
  </si>
  <si>
    <t>Pchip</t>
  </si>
  <si>
    <t>Pdiode</t>
  </si>
  <si>
    <t>Prsense</t>
  </si>
  <si>
    <t>Eff</t>
  </si>
  <si>
    <t>Iin</t>
  </si>
  <si>
    <t>Rlx_Tj</t>
  </si>
  <si>
    <t>Tj</t>
  </si>
  <si>
    <t>Ichip</t>
  </si>
  <si>
    <t>Pswitch</t>
  </si>
  <si>
    <t>Outputs</t>
  </si>
  <si>
    <t>Inputs</t>
  </si>
  <si>
    <t xml:space="preserve"> Ω</t>
  </si>
  <si>
    <t>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t>
  </si>
  <si>
    <t>Radj</t>
  </si>
  <si>
    <t>kΩ</t>
  </si>
  <si>
    <t>(Radj)</t>
  </si>
  <si>
    <t>LX switch resistance at 25ºC</t>
  </si>
  <si>
    <t>No. of LEDs (NLED)</t>
  </si>
  <si>
    <t>NLED</t>
  </si>
  <si>
    <t>VLED</t>
  </si>
  <si>
    <t>Frequency</t>
  </si>
  <si>
    <t>This is the nominal propagation delay of the comparator as the output current crosses through the ideal upper threshold current (Imax).  Allow for device -device variations of +/-40%.</t>
  </si>
  <si>
    <t>This is the nominal propagation delay of the comparator as the output current crosses through the ideal lower threshold current (Imin).  Allow for device -device variations of +/-40%.</t>
  </si>
  <si>
    <t xml:space="preserve">This is the temperature adjusted value of switch resistance, calculated from the estimated die temperature and the nominal characteristics of the switch. </t>
  </si>
  <si>
    <t>Description</t>
  </si>
  <si>
    <t>Vsense</t>
  </si>
  <si>
    <t>Schottky Diode</t>
  </si>
  <si>
    <t>Variables</t>
  </si>
  <si>
    <t>Vsense [mV]</t>
  </si>
  <si>
    <t>Schottky diode</t>
  </si>
  <si>
    <t>SBR</t>
  </si>
  <si>
    <t>min</t>
  </si>
  <si>
    <t>max</t>
  </si>
  <si>
    <t>Maximum PWM resolution</t>
  </si>
  <si>
    <t>PWM</t>
  </si>
  <si>
    <t>Schottky</t>
  </si>
  <si>
    <t>bit</t>
  </si>
  <si>
    <t>Maximum PWM  resolution</t>
  </si>
  <si>
    <t>SBR2A40P1</t>
  </si>
  <si>
    <t>This is a typical Schottky diodes that fits in the system with the device. Refer to the website to get more devices.</t>
  </si>
  <si>
    <t>VSET pin voltage</t>
  </si>
  <si>
    <t>- set to 2.5V if floating</t>
  </si>
  <si>
    <t>PJA June 2015</t>
  </si>
  <si>
    <t>Figures left the same unless specification indicated otherwise</t>
  </si>
  <si>
    <t>Spec. figures are +/-45ns. These are on front sheet</t>
  </si>
  <si>
    <t>This nunbers was set by bench measurement on EVB</t>
  </si>
  <si>
    <t>Items that have been changed are highlighted</t>
  </si>
  <si>
    <t>VSET control is 2.5V for 100%</t>
  </si>
  <si>
    <t>Change with Tj left the same</t>
  </si>
  <si>
    <t>Change with Vin approx. from graph 7 in spec.</t>
  </si>
  <si>
    <t>This is the maximum resolution achievable driving the VSET pin with a PWM signal.</t>
  </si>
  <si>
    <t>Initial release</t>
  </si>
  <si>
    <t>Issued by Philip Armitage</t>
  </si>
  <si>
    <t>Visible worksheets</t>
  </si>
  <si>
    <t>Calculator</t>
  </si>
  <si>
    <t>Explanatory Notes</t>
  </si>
  <si>
    <t>Hidden worksheets</t>
  </si>
  <si>
    <t>Calculations</t>
  </si>
  <si>
    <t>SelectedDevice</t>
  </si>
  <si>
    <t>Changes from "ZXLD135x_136x_muliti_device_calculator.xls"</t>
  </si>
  <si>
    <t>"FailMin" set to 0.3 to catch VSET voltages &lt;0.3V</t>
  </si>
  <si>
    <t>Copyright, Diodes Incorporated, 2015</t>
  </si>
  <si>
    <t>Designed in Microsoft Excel 2010</t>
  </si>
  <si>
    <t>DFLS240L typ. at 1A</t>
  </si>
  <si>
    <t>Typ. from bench measuremets</t>
  </si>
  <si>
    <t>Suggested Diode</t>
  </si>
  <si>
    <t xml:space="preserve"> More choices at  www.diodes.com</t>
  </si>
  <si>
    <r>
      <rPr>
        <b/>
        <u/>
        <sz val="16"/>
        <rFont val="Arial"/>
        <family val="2"/>
      </rPr>
      <t>PAM2863 calculator</t>
    </r>
    <r>
      <rPr>
        <b/>
        <sz val="16"/>
        <rFont val="Arial"/>
        <family val="2"/>
      </rPr>
      <t xml:space="preserve">  Issue 1.0 </t>
    </r>
    <r>
      <rPr>
        <sz val="16"/>
        <rFont val="Arial"/>
        <family val="2"/>
      </rPr>
      <t>November 2015</t>
    </r>
  </si>
  <si>
    <t>"PAM2861ABR" was based on "ZXLD1360" w-s from "ZXLD135x_136x_muliti_device_calculator"</t>
  </si>
  <si>
    <t>PJA November 2015</t>
  </si>
  <si>
    <t>PAM2863ECR</t>
  </si>
  <si>
    <t>"PAM2863ECR" was based on "PAM2861ABR" w-s from "PAM2861_muliti_device_calculator_v1.1"</t>
  </si>
  <si>
    <t>2A / 40V  --  SOP-8 (EP) Package</t>
  </si>
  <si>
    <r>
      <t xml:space="preserve">Changes marked in </t>
    </r>
    <r>
      <rPr>
        <b/>
        <sz val="10"/>
        <color rgb="FFFF0000"/>
        <rFont val="Arial"/>
        <family val="2"/>
      </rPr>
      <t>red</t>
    </r>
  </si>
  <si>
    <t>PAM2861 "Calculations" w-s originally based on "Sheet1" w-s from "ZXLD135x_136x_muliti_device_calculator"</t>
  </si>
  <si>
    <t>VSET pin voltage (VSET)</t>
  </si>
  <si>
    <t>2.5V</t>
  </si>
  <si>
    <t>Suggested freewheeling diode</t>
  </si>
  <si>
    <t>These numbers are the spec. figures; NOT adjusted to give freq. close to measured values.</t>
  </si>
  <si>
    <t>B350</t>
  </si>
  <si>
    <t>Revision History</t>
  </si>
  <si>
    <t>5th November 2015</t>
  </si>
  <si>
    <t>"Calculations" was taken from "Calculations" w-s from "PAM2861_device_calculator_v1.1"</t>
  </si>
  <si>
    <t>Calculator based on "PAM2861_device_calculator_v1.1.xls"</t>
  </si>
  <si>
    <t>References to "ADJ" pin on "Explanatory Notes" w-s changed to "VSET"</t>
  </si>
  <si>
    <t>SBR option removed from "Suggested Diodes" list on "Explantory Notes" w-s</t>
  </si>
  <si>
    <t>Drop down list on "Calculator" changed to select "PAM2863ECR"</t>
  </si>
  <si>
    <t>Changes to "Calculations" w-s from "Calculations" w-s in "PAM2861_device_calculator_v1.1" are highlighed</t>
  </si>
  <si>
    <r>
      <t xml:space="preserve">Changes marked in </t>
    </r>
    <r>
      <rPr>
        <b/>
        <sz val="10"/>
        <color rgb="FF00B0F0"/>
        <rFont val="Arial"/>
        <family val="2"/>
      </rPr>
      <t>blue</t>
    </r>
  </si>
  <si>
    <t>- uses spec. of ±13%</t>
  </si>
  <si>
    <t xml:space="preserve">Spec. figures of 45ns. </t>
  </si>
  <si>
    <t>Recommended Schottky changed to B350 (3A, 50V) from DFLS240L (2A, 40V)</t>
  </si>
  <si>
    <t>"PAM2863ECR" worksheet copied from "PAM2861ABR" w-s;  Changes are highlighted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</si>
</sst>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_ ;[Red]\-0.00\ "/>
    <numFmt numFmtId="166" formatCode="0.000"/>
  </numFmts>
  <fonts count="40" x14ac:knownFonts="1">
    <font>
      <sz val="10"/>
      <name val="Arial"/>
    </font>
    <font>
      <sz val="10"/>
      <name val="Arial"/>
    </font>
    <font>
      <sz val="10"/>
      <name val="Arial"/>
      <family val="2"/>
    </font>
    <font>
      <sz val="10"/>
      <color indexed="12"/>
      <name val="Arial"/>
      <family val="2"/>
    </font>
    <font>
      <sz val="10"/>
      <name val="Arial"/>
      <family val="2"/>
    </font>
    <font>
      <sz val="10"/>
      <name val="Arial"/>
      <family val="2"/>
    </font>
    <font>
      <sz val="10"/>
      <name val="Arial"/>
      <family val="2"/>
    </font>
    <font>
      <b/>
      <u/>
      <sz val="16"/>
      <name val="Arial"/>
      <family val="2"/>
    </font>
    <font>
      <b/>
      <sz val="10"/>
      <name val="Arial"/>
      <family val="2"/>
    </font>
    <font>
      <sz val="8"/>
      <name val="Arial"/>
      <family val="2"/>
    </font>
    <font>
      <sz val="10"/>
      <name val="Arial"/>
      <family val="2"/>
    </font>
    <font>
      <b/>
      <sz val="9"/>
      <name val="Arial"/>
      <family val="2"/>
    </font>
    <font>
      <sz val="9"/>
      <name val="Arial"/>
      <family val="2"/>
    </font>
    <font>
      <sz val="8"/>
      <color indexed="12"/>
      <name val="Arial"/>
      <family val="2"/>
    </font>
    <font>
      <b/>
      <sz val="8"/>
      <name val="Arial"/>
      <family val="2"/>
    </font>
    <font>
      <b/>
      <sz val="8"/>
      <name val="Arial"/>
      <family val="2"/>
    </font>
    <font>
      <sz val="8"/>
      <name val="Arial"/>
      <family val="2"/>
    </font>
    <font>
      <sz val="7.5"/>
      <name val="Arial"/>
      <family val="2"/>
    </font>
    <font>
      <sz val="7.5"/>
      <color indexed="12"/>
      <name val="Arial"/>
      <family val="2"/>
    </font>
    <font>
      <b/>
      <sz val="7.5"/>
      <name val="Arial"/>
      <family val="2"/>
    </font>
    <font>
      <b/>
      <sz val="14"/>
      <name val="Arial"/>
      <family val="2"/>
    </font>
    <font>
      <sz val="7.5"/>
      <name val="Arial"/>
      <family val="2"/>
    </font>
    <font>
      <b/>
      <sz val="7.5"/>
      <name val="Arial"/>
      <family val="2"/>
    </font>
    <font>
      <b/>
      <sz val="16"/>
      <name val="Arial"/>
      <family val="2"/>
    </font>
    <font>
      <sz val="7.5"/>
      <color indexed="8"/>
      <name val="Arial"/>
      <family val="2"/>
    </font>
    <font>
      <sz val="8"/>
      <color indexed="12"/>
      <name val="Arial"/>
      <family val="2"/>
    </font>
    <font>
      <b/>
      <sz val="12"/>
      <name val="Arial"/>
      <family val="2"/>
    </font>
    <font>
      <b/>
      <i/>
      <sz val="10"/>
      <name val="Arial"/>
      <family val="2"/>
    </font>
    <font>
      <sz val="8"/>
      <color indexed="81"/>
      <name val="Tahoma"/>
      <family val="2"/>
    </font>
    <font>
      <b/>
      <sz val="8"/>
      <color indexed="81"/>
      <name val="Tahoma"/>
      <family val="2"/>
    </font>
    <font>
      <b/>
      <sz val="18"/>
      <color indexed="10"/>
      <name val="Arial"/>
      <family val="2"/>
    </font>
    <font>
      <b/>
      <sz val="12"/>
      <name val="Arial"/>
      <family val="2"/>
    </font>
    <font>
      <b/>
      <sz val="10"/>
      <color rgb="FFFF0000"/>
      <name val="Arial"/>
      <family val="2"/>
    </font>
    <font>
      <b/>
      <sz val="9"/>
      <color rgb="FFFF0000"/>
      <name val="Arial"/>
      <family val="2"/>
    </font>
    <font>
      <sz val="10"/>
      <name val="Trebuchet MS"/>
      <family val="2"/>
    </font>
    <font>
      <sz val="8"/>
      <name val="Trebuchet MS"/>
      <family val="2"/>
    </font>
    <font>
      <b/>
      <sz val="8"/>
      <name val="Trebuchet MS"/>
      <family val="2"/>
    </font>
    <font>
      <sz val="16"/>
      <name val="Arial"/>
      <family val="2"/>
    </font>
    <font>
      <b/>
      <sz val="10"/>
      <color rgb="FF00B0F0"/>
      <name val="Arial"/>
      <family val="2"/>
    </font>
    <font>
      <sz val="10"/>
      <color rgb="FF00B0F0"/>
      <name val="Arial"/>
      <family val="2"/>
    </font>
  </fonts>
  <fills count="11">
    <fill>
      <patternFill patternType="none"/>
    </fill>
    <fill>
      <patternFill patternType="gray125"/>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53"/>
        <bgColor indexed="64"/>
      </patternFill>
    </fill>
    <fill>
      <patternFill patternType="solid">
        <fgColor rgb="FFFFFF00"/>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ck">
        <color auto="1"/>
      </left>
      <right/>
      <top/>
      <bottom/>
      <diagonal/>
    </border>
  </borders>
  <cellStyleXfs count="1">
    <xf numFmtId="0" fontId="0" fillId="0" borderId="0"/>
  </cellStyleXfs>
  <cellXfs count="206">
    <xf numFmtId="0" fontId="0" fillId="0" borderId="0" xfId="0"/>
    <xf numFmtId="0" fontId="1" fillId="0" borderId="0" xfId="0" applyFont="1" applyBorder="1" applyProtection="1">
      <protection hidden="1"/>
    </xf>
    <xf numFmtId="0" fontId="2" fillId="0" borderId="0" xfId="0" applyFont="1" applyBorder="1" applyProtection="1">
      <protection hidden="1"/>
    </xf>
    <xf numFmtId="0" fontId="4" fillId="0" borderId="0" xfId="0" applyFont="1" applyBorder="1" applyProtection="1">
      <protection hidden="1"/>
    </xf>
    <xf numFmtId="0" fontId="5" fillId="0" borderId="0" xfId="0" applyFont="1" applyBorder="1" applyProtection="1">
      <protection hidden="1"/>
    </xf>
    <xf numFmtId="0" fontId="6" fillId="0" borderId="0" xfId="0" applyFont="1" applyBorder="1" applyProtection="1">
      <protection hidden="1"/>
    </xf>
    <xf numFmtId="0" fontId="0" fillId="0" borderId="0" xfId="0" applyAlignment="1">
      <alignment wrapText="1"/>
    </xf>
    <xf numFmtId="0" fontId="0" fillId="0" borderId="0" xfId="0" applyFill="1"/>
    <xf numFmtId="0" fontId="0" fillId="0" borderId="0" xfId="0" applyAlignment="1">
      <alignment horizontal="left"/>
    </xf>
    <xf numFmtId="0" fontId="0" fillId="0" borderId="0" xfId="0" applyAlignment="1">
      <alignment horizontal="left" vertical="top"/>
    </xf>
    <xf numFmtId="0" fontId="12" fillId="2" borderId="1" xfId="0" applyFont="1" applyFill="1" applyBorder="1" applyAlignment="1" applyProtection="1">
      <alignment horizontal="left" vertical="top"/>
      <protection hidden="1"/>
    </xf>
    <xf numFmtId="0" fontId="11" fillId="3" borderId="1" xfId="0" applyFont="1" applyFill="1" applyBorder="1" applyProtection="1">
      <protection hidden="1"/>
    </xf>
    <xf numFmtId="0" fontId="11" fillId="3" borderId="1" xfId="0" applyFont="1" applyFill="1" applyBorder="1" applyAlignment="1" applyProtection="1">
      <alignment horizontal="left" vertical="top"/>
      <protection hidden="1"/>
    </xf>
    <xf numFmtId="0" fontId="12" fillId="0" borderId="0" xfId="0" applyFont="1" applyFill="1" applyBorder="1" applyAlignment="1" applyProtection="1">
      <alignment horizontal="left" vertical="top"/>
      <protection hidden="1"/>
    </xf>
    <xf numFmtId="0" fontId="0" fillId="0" borderId="0" xfId="0" applyProtection="1">
      <protection locked="0"/>
    </xf>
    <xf numFmtId="0" fontId="10" fillId="4" borderId="1" xfId="0" applyFont="1" applyFill="1" applyBorder="1" applyProtection="1">
      <protection locked="0"/>
    </xf>
    <xf numFmtId="0" fontId="12" fillId="4" borderId="1" xfId="0" applyFont="1" applyFill="1" applyBorder="1" applyProtection="1">
      <protection locked="0"/>
    </xf>
    <xf numFmtId="164" fontId="12" fillId="4" borderId="1" xfId="0" applyNumberFormat="1" applyFont="1" applyFill="1" applyBorder="1" applyProtection="1">
      <protection locked="0"/>
    </xf>
    <xf numFmtId="2" fontId="12" fillId="4" borderId="1" xfId="0" applyNumberFormat="1" applyFont="1" applyFill="1" applyBorder="1" applyProtection="1">
      <protection locked="0"/>
    </xf>
    <xf numFmtId="0" fontId="11" fillId="4" borderId="1" xfId="0" applyFont="1" applyFill="1" applyBorder="1" applyProtection="1">
      <protection locked="0"/>
    </xf>
    <xf numFmtId="166" fontId="12" fillId="4" borderId="1" xfId="0" applyNumberFormat="1" applyFont="1" applyFill="1" applyBorder="1" applyProtection="1">
      <protection locked="0"/>
    </xf>
    <xf numFmtId="164" fontId="11" fillId="4" borderId="1" xfId="0" applyNumberFormat="1" applyFont="1" applyFill="1" applyBorder="1" applyProtection="1">
      <protection locked="0"/>
    </xf>
    <xf numFmtId="0" fontId="0" fillId="0" borderId="1" xfId="0" applyBorder="1"/>
    <xf numFmtId="0" fontId="8" fillId="0" borderId="0" xfId="0" applyFont="1"/>
    <xf numFmtId="0" fontId="0" fillId="0" borderId="0" xfId="0" applyProtection="1"/>
    <xf numFmtId="0" fontId="21" fillId="0" borderId="0" xfId="0" applyFont="1" applyBorder="1" applyProtection="1"/>
    <xf numFmtId="0" fontId="24" fillId="0" borderId="0" xfId="0" applyFont="1" applyProtection="1"/>
    <xf numFmtId="0" fontId="4" fillId="0" borderId="0" xfId="0" applyFont="1" applyProtection="1"/>
    <xf numFmtId="0" fontId="10" fillId="0" borderId="0" xfId="0" applyFont="1" applyFill="1" applyProtection="1"/>
    <xf numFmtId="0" fontId="8" fillId="0" borderId="0" xfId="0" applyFont="1" applyFill="1" applyProtection="1"/>
    <xf numFmtId="0" fontId="6" fillId="0" borderId="0" xfId="0" applyFont="1" applyProtection="1"/>
    <xf numFmtId="0" fontId="0" fillId="0" borderId="0" xfId="0" applyFill="1" applyProtection="1"/>
    <xf numFmtId="0" fontId="0" fillId="0" borderId="2" xfId="0" applyFill="1" applyBorder="1" applyAlignment="1" applyProtection="1">
      <alignment horizontal="center"/>
    </xf>
    <xf numFmtId="0" fontId="17" fillId="0" borderId="0" xfId="0" applyFont="1" applyProtection="1"/>
    <xf numFmtId="0" fontId="10" fillId="4" borderId="1" xfId="0" applyFont="1" applyFill="1" applyBorder="1" applyProtection="1"/>
    <xf numFmtId="0" fontId="0" fillId="0" borderId="1" xfId="0" applyBorder="1" applyProtection="1"/>
    <xf numFmtId="0" fontId="0" fillId="0" borderId="0" xfId="0" applyBorder="1" applyAlignment="1" applyProtection="1">
      <alignment wrapText="1"/>
    </xf>
    <xf numFmtId="0" fontId="11"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wrapText="1"/>
    </xf>
    <xf numFmtId="0" fontId="12" fillId="0" borderId="0" xfId="0" applyFont="1" applyBorder="1" applyAlignment="1" applyProtection="1">
      <alignment horizontal="left" vertical="top" wrapText="1"/>
    </xf>
    <xf numFmtId="0" fontId="23" fillId="0" borderId="0" xfId="0" applyFont="1" applyFill="1" applyAlignment="1" applyProtection="1">
      <alignment wrapText="1"/>
    </xf>
    <xf numFmtId="0" fontId="12" fillId="0" borderId="0" xfId="0" applyFont="1" applyBorder="1" applyProtection="1"/>
    <xf numFmtId="0" fontId="12" fillId="0" borderId="0" xfId="0" applyFont="1" applyBorder="1" applyAlignment="1" applyProtection="1">
      <alignment wrapText="1"/>
    </xf>
    <xf numFmtId="0" fontId="11" fillId="3" borderId="1"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wrapText="1"/>
    </xf>
    <xf numFmtId="0" fontId="12" fillId="0" borderId="1"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12" fillId="0" borderId="0" xfId="0" applyFont="1" applyAlignment="1" applyProtection="1">
      <alignment wrapText="1"/>
    </xf>
    <xf numFmtId="0" fontId="12" fillId="0" borderId="0" xfId="0" applyFont="1" applyAlignment="1" applyProtection="1">
      <alignment horizontal="center"/>
    </xf>
    <xf numFmtId="0" fontId="12" fillId="0" borderId="0" xfId="0" applyFont="1" applyProtection="1"/>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left" vertical="top" wrapText="1"/>
    </xf>
    <xf numFmtId="0" fontId="27" fillId="4" borderId="1" xfId="0" applyFont="1" applyFill="1" applyBorder="1" applyProtection="1">
      <protection locked="0"/>
    </xf>
    <xf numFmtId="2" fontId="12" fillId="5" borderId="1" xfId="0" applyNumberFormat="1" applyFont="1" applyFill="1" applyBorder="1" applyProtection="1">
      <protection locked="0"/>
    </xf>
    <xf numFmtId="164" fontId="12" fillId="5" borderId="1" xfId="0" applyNumberFormat="1" applyFont="1" applyFill="1" applyBorder="1" applyProtection="1">
      <protection locked="0"/>
    </xf>
    <xf numFmtId="49" fontId="11" fillId="5" borderId="1" xfId="0" applyNumberFormat="1" applyFont="1" applyFill="1" applyBorder="1" applyProtection="1">
      <protection locked="0"/>
    </xf>
    <xf numFmtId="0" fontId="12" fillId="5" borderId="1" xfId="0" applyFont="1" applyFill="1" applyBorder="1" applyProtection="1">
      <protection locked="0"/>
    </xf>
    <xf numFmtId="1" fontId="11" fillId="5" borderId="1" xfId="0" applyNumberFormat="1" applyFont="1" applyFill="1" applyBorder="1" applyProtection="1">
      <protection locked="0"/>
    </xf>
    <xf numFmtId="0" fontId="11" fillId="5" borderId="1" xfId="0" applyFont="1" applyFill="1" applyBorder="1" applyProtection="1">
      <protection locked="0"/>
    </xf>
    <xf numFmtId="164" fontId="12" fillId="5" borderId="1" xfId="0" applyNumberFormat="1" applyFont="1" applyFill="1" applyBorder="1" applyAlignment="1" applyProtection="1">
      <protection locked="0"/>
    </xf>
    <xf numFmtId="166" fontId="12" fillId="5" borderId="1" xfId="0" applyNumberFormat="1" applyFont="1" applyFill="1" applyBorder="1" applyProtection="1">
      <protection locked="0"/>
    </xf>
    <xf numFmtId="0" fontId="12" fillId="0" borderId="1" xfId="0" applyFont="1" applyFill="1" applyBorder="1" applyProtection="1">
      <protection locked="0"/>
    </xf>
    <xf numFmtId="0" fontId="12" fillId="5" borderId="1" xfId="0" applyNumberFormat="1" applyFont="1" applyFill="1" applyBorder="1" applyProtection="1">
      <protection locked="0"/>
    </xf>
    <xf numFmtId="1" fontId="12" fillId="5" borderId="1" xfId="0" applyNumberFormat="1" applyFont="1" applyFill="1" applyBorder="1" applyProtection="1">
      <protection locked="0"/>
    </xf>
    <xf numFmtId="0" fontId="12" fillId="2" borderId="4" xfId="0" applyFont="1" applyFill="1" applyBorder="1" applyAlignment="1" applyProtection="1">
      <alignment horizontal="left" vertical="top"/>
      <protection hidden="1"/>
    </xf>
    <xf numFmtId="0" fontId="12" fillId="0" borderId="4" xfId="0" applyFont="1" applyBorder="1" applyAlignment="1" applyProtection="1">
      <alignment horizontal="left" vertical="top" wrapText="1"/>
    </xf>
    <xf numFmtId="0" fontId="12" fillId="0" borderId="0" xfId="0" applyFont="1" applyBorder="1" applyAlignment="1" applyProtection="1">
      <alignment horizontal="center" vertical="center"/>
    </xf>
    <xf numFmtId="0" fontId="12" fillId="0" borderId="6" xfId="0" applyFont="1" applyBorder="1" applyAlignment="1" applyProtection="1">
      <alignment horizontal="left" vertical="top" wrapText="1"/>
    </xf>
    <xf numFmtId="0" fontId="12" fillId="0" borderId="0" xfId="0" applyFont="1" applyFill="1" applyBorder="1" applyAlignment="1" applyProtection="1">
      <alignment horizontal="center" vertical="top"/>
      <protection hidden="1"/>
    </xf>
    <xf numFmtId="0" fontId="0" fillId="0" borderId="7" xfId="0" applyBorder="1" applyProtection="1"/>
    <xf numFmtId="0" fontId="0" fillId="0" borderId="8" xfId="0" applyBorder="1" applyProtection="1"/>
    <xf numFmtId="0" fontId="0" fillId="0" borderId="9" xfId="0" applyBorder="1" applyProtection="1"/>
    <xf numFmtId="0" fontId="17" fillId="0" borderId="0" xfId="0" applyFont="1" applyBorder="1" applyProtection="1"/>
    <xf numFmtId="0" fontId="21" fillId="0" borderId="0" xfId="0" applyFont="1" applyProtection="1"/>
    <xf numFmtId="0" fontId="22" fillId="3" borderId="10" xfId="0" applyFont="1" applyFill="1" applyBorder="1" applyProtection="1"/>
    <xf numFmtId="0" fontId="17" fillId="3" borderId="11" xfId="0" applyFont="1" applyFill="1" applyBorder="1" applyProtection="1"/>
    <xf numFmtId="0" fontId="13" fillId="0" borderId="0" xfId="0" applyFont="1" applyBorder="1" applyProtection="1"/>
    <xf numFmtId="0" fontId="9" fillId="0" borderId="0" xfId="0" applyFont="1" applyBorder="1" applyProtection="1"/>
    <xf numFmtId="0" fontId="9" fillId="0" borderId="0" xfId="0" applyFont="1" applyFill="1" applyBorder="1" applyProtection="1"/>
    <xf numFmtId="0" fontId="5" fillId="0" borderId="0" xfId="0" applyFont="1" applyFill="1" applyProtection="1"/>
    <xf numFmtId="164" fontId="14" fillId="6" borderId="2" xfId="0" applyNumberFormat="1" applyFont="1" applyFill="1" applyBorder="1" applyAlignment="1" applyProtection="1">
      <alignment horizontal="center"/>
    </xf>
    <xf numFmtId="0" fontId="5" fillId="0" borderId="0" xfId="0" quotePrefix="1" applyFont="1" applyFill="1" applyBorder="1" applyProtection="1"/>
    <xf numFmtId="0" fontId="4" fillId="0" borderId="0" xfId="0" applyFont="1" applyBorder="1" applyProtection="1"/>
    <xf numFmtId="0" fontId="4" fillId="0" borderId="0" xfId="0" applyFont="1" applyFill="1" applyProtection="1"/>
    <xf numFmtId="0" fontId="9" fillId="0" borderId="3" xfId="0" applyFont="1" applyFill="1" applyBorder="1" applyAlignment="1" applyProtection="1">
      <alignment horizontal="center" vertical="center"/>
    </xf>
    <xf numFmtId="0" fontId="5" fillId="0" borderId="0" xfId="0" applyFont="1" applyFill="1" applyBorder="1" applyProtection="1"/>
    <xf numFmtId="0" fontId="17" fillId="3" borderId="12" xfId="0" applyFont="1" applyFill="1" applyBorder="1" applyProtection="1"/>
    <xf numFmtId="0" fontId="9" fillId="0" borderId="0" xfId="0" applyFont="1" applyProtection="1"/>
    <xf numFmtId="0" fontId="17" fillId="2" borderId="8" xfId="0" applyFont="1" applyFill="1" applyBorder="1" applyProtection="1"/>
    <xf numFmtId="164" fontId="19" fillId="6" borderId="0" xfId="0" applyNumberFormat="1" applyFont="1" applyFill="1" applyBorder="1" applyProtection="1"/>
    <xf numFmtId="0" fontId="21" fillId="6" borderId="13" xfId="0" applyFont="1" applyFill="1" applyBorder="1" applyProtection="1"/>
    <xf numFmtId="164" fontId="14" fillId="0" borderId="0" xfId="0" applyNumberFormat="1" applyFont="1" applyFill="1" applyBorder="1" applyProtection="1"/>
    <xf numFmtId="164" fontId="9" fillId="0" borderId="0" xfId="0" applyNumberFormat="1" applyFont="1" applyFill="1" applyBorder="1" applyProtection="1"/>
    <xf numFmtId="0" fontId="4" fillId="0" borderId="0" xfId="0" applyFont="1" applyFill="1" applyBorder="1" applyProtection="1"/>
    <xf numFmtId="0" fontId="3" fillId="0" borderId="0" xfId="0" applyFont="1" applyBorder="1" applyProtection="1"/>
    <xf numFmtId="164" fontId="4" fillId="0" borderId="0" xfId="0" applyNumberFormat="1" applyFont="1" applyBorder="1" applyProtection="1"/>
    <xf numFmtId="0" fontId="19" fillId="6" borderId="0" xfId="0" applyFont="1" applyFill="1" applyBorder="1" applyProtection="1"/>
    <xf numFmtId="0" fontId="17" fillId="2" borderId="14" xfId="0" applyFont="1" applyFill="1" applyBorder="1" applyProtection="1"/>
    <xf numFmtId="1" fontId="19" fillId="6" borderId="15" xfId="0" applyNumberFormat="1" applyFont="1" applyFill="1" applyBorder="1" applyProtection="1"/>
    <xf numFmtId="0" fontId="21" fillId="6" borderId="16" xfId="0" applyFont="1" applyFill="1" applyBorder="1" applyProtection="1"/>
    <xf numFmtId="0" fontId="3" fillId="0" borderId="0" xfId="0" applyFont="1" applyProtection="1"/>
    <xf numFmtId="0" fontId="17" fillId="2" borderId="17" xfId="0" applyFont="1" applyFill="1" applyBorder="1" applyProtection="1"/>
    <xf numFmtId="0" fontId="5" fillId="0" borderId="0" xfId="0" applyFont="1" applyProtection="1"/>
    <xf numFmtId="0" fontId="17" fillId="2" borderId="18" xfId="0" applyFont="1" applyFill="1" applyBorder="1" applyProtection="1"/>
    <xf numFmtId="0" fontId="25" fillId="0" borderId="0" xfId="0" applyFont="1" applyProtection="1"/>
    <xf numFmtId="0" fontId="17" fillId="2" borderId="15" xfId="0" applyFont="1" applyFill="1" applyBorder="1" applyProtection="1"/>
    <xf numFmtId="0" fontId="2" fillId="0" borderId="0" xfId="0" applyFont="1" applyBorder="1" applyProtection="1"/>
    <xf numFmtId="0" fontId="2" fillId="0" borderId="0" xfId="0" applyFont="1" applyProtection="1"/>
    <xf numFmtId="164" fontId="2" fillId="0" borderId="0" xfId="0" applyNumberFormat="1" applyFont="1" applyBorder="1" applyProtection="1"/>
    <xf numFmtId="0" fontId="31" fillId="0" borderId="0" xfId="0" applyFont="1" applyBorder="1" applyProtection="1"/>
    <xf numFmtId="0" fontId="20" fillId="0" borderId="0" xfId="0" applyFont="1" applyBorder="1" applyProtection="1"/>
    <xf numFmtId="164" fontId="20" fillId="0" borderId="0" xfId="0" applyNumberFormat="1" applyFont="1" applyBorder="1" applyProtection="1"/>
    <xf numFmtId="164" fontId="4" fillId="0" borderId="0" xfId="0" applyNumberFormat="1" applyFont="1" applyProtection="1"/>
    <xf numFmtId="164" fontId="17" fillId="3" borderId="7" xfId="0" applyNumberFormat="1" applyFont="1" applyFill="1" applyBorder="1" applyProtection="1"/>
    <xf numFmtId="0" fontId="17" fillId="3" borderId="19" xfId="0" applyFont="1" applyFill="1" applyBorder="1" applyProtection="1"/>
    <xf numFmtId="0" fontId="16" fillId="0" borderId="20" xfId="0" applyFont="1" applyFill="1" applyBorder="1" applyAlignment="1" applyProtection="1">
      <alignment horizontal="center"/>
    </xf>
    <xf numFmtId="0" fontId="16" fillId="0" borderId="20" xfId="0" applyFont="1" applyFill="1" applyBorder="1" applyAlignment="1" applyProtection="1">
      <alignment horizontal="center" vertical="center"/>
    </xf>
    <xf numFmtId="0" fontId="9" fillId="0" borderId="20" xfId="0" applyFont="1" applyFill="1" applyBorder="1" applyAlignment="1" applyProtection="1">
      <alignment horizontal="center"/>
    </xf>
    <xf numFmtId="0" fontId="17" fillId="7" borderId="13" xfId="0" quotePrefix="1" applyFont="1" applyFill="1" applyBorder="1" applyProtection="1"/>
    <xf numFmtId="0" fontId="17" fillId="2" borderId="21" xfId="0" applyFont="1" applyFill="1" applyBorder="1" applyProtection="1"/>
    <xf numFmtId="2" fontId="19" fillId="6" borderId="21" xfId="0" applyNumberFormat="1" applyFont="1" applyFill="1" applyBorder="1" applyProtection="1"/>
    <xf numFmtId="0" fontId="17" fillId="6" borderId="19" xfId="0" applyFont="1" applyFill="1" applyBorder="1" applyProtection="1"/>
    <xf numFmtId="0" fontId="18" fillId="0" borderId="0" xfId="0" applyFont="1" applyBorder="1" applyProtection="1"/>
    <xf numFmtId="164" fontId="15" fillId="8" borderId="2" xfId="0" applyNumberFormat="1" applyFont="1" applyFill="1" applyBorder="1" applyAlignment="1" applyProtection="1">
      <alignment horizontal="center"/>
    </xf>
    <xf numFmtId="165" fontId="15" fillId="8" borderId="2" xfId="0" applyNumberFormat="1" applyFont="1" applyFill="1" applyBorder="1" applyAlignment="1" applyProtection="1">
      <alignment horizontal="center" vertical="center"/>
    </xf>
    <xf numFmtId="1" fontId="14" fillId="8" borderId="2" xfId="0" applyNumberFormat="1" applyFont="1" applyFill="1" applyBorder="1" applyAlignment="1" applyProtection="1">
      <alignment horizontal="center"/>
    </xf>
    <xf numFmtId="0" fontId="17" fillId="7" borderId="13" xfId="0" applyFont="1" applyFill="1" applyBorder="1" applyProtection="1"/>
    <xf numFmtId="2" fontId="19" fillId="6" borderId="15" xfId="0" applyNumberFormat="1" applyFont="1" applyFill="1" applyBorder="1" applyProtection="1"/>
    <xf numFmtId="0" fontId="17" fillId="6" borderId="13" xfId="0" applyFont="1" applyFill="1" applyBorder="1" applyProtection="1"/>
    <xf numFmtId="0" fontId="16" fillId="0" borderId="3" xfId="0" applyFont="1" applyFill="1" applyBorder="1" applyAlignment="1" applyProtection="1">
      <alignment horizontal="center"/>
    </xf>
    <xf numFmtId="0" fontId="16" fillId="0" borderId="3"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16" fillId="0" borderId="0" xfId="0" applyFont="1" applyFill="1" applyBorder="1" applyProtection="1"/>
    <xf numFmtId="0" fontId="21" fillId="0" borderId="0" xfId="0" applyFont="1" applyBorder="1" applyAlignment="1" applyProtection="1">
      <alignment horizontal="left" vertical="center"/>
    </xf>
    <xf numFmtId="0" fontId="17" fillId="6" borderId="13" xfId="0" quotePrefix="1" applyFont="1" applyFill="1" applyBorder="1" applyProtection="1"/>
    <xf numFmtId="164" fontId="19" fillId="6" borderId="14" xfId="0" applyNumberFormat="1" applyFont="1" applyFill="1" applyBorder="1" applyProtection="1"/>
    <xf numFmtId="0" fontId="21" fillId="0" borderId="8" xfId="0" applyFont="1" applyBorder="1" applyProtection="1"/>
    <xf numFmtId="0" fontId="22" fillId="3" borderId="14" xfId="0" applyFont="1" applyFill="1" applyBorder="1" applyProtection="1"/>
    <xf numFmtId="164" fontId="17" fillId="3" borderId="16" xfId="0" applyNumberFormat="1" applyFont="1" applyFill="1" applyBorder="1" applyProtection="1"/>
    <xf numFmtId="164" fontId="15" fillId="8" borderId="2" xfId="0" applyNumberFormat="1" applyFont="1" applyFill="1" applyBorder="1" applyAlignment="1" applyProtection="1">
      <alignment horizontal="center" vertical="center"/>
    </xf>
    <xf numFmtId="164" fontId="19" fillId="6" borderId="15" xfId="0" applyNumberFormat="1" applyFont="1" applyFill="1" applyBorder="1" applyProtection="1"/>
    <xf numFmtId="0" fontId="16" fillId="0" borderId="3" xfId="0" applyNumberFormat="1" applyFont="1" applyFill="1" applyBorder="1" applyAlignment="1" applyProtection="1">
      <alignment horizontal="center"/>
    </xf>
    <xf numFmtId="0" fontId="21" fillId="7" borderId="13" xfId="0" applyFont="1" applyFill="1" applyBorder="1" applyProtection="1"/>
    <xf numFmtId="0" fontId="13" fillId="0" borderId="0" xfId="0" applyFont="1" applyFill="1" applyBorder="1" applyProtection="1"/>
    <xf numFmtId="0" fontId="21" fillId="7" borderId="22" xfId="0" applyFont="1" applyFill="1" applyBorder="1" applyProtection="1"/>
    <xf numFmtId="0" fontId="17" fillId="6" borderId="22" xfId="0" applyFont="1" applyFill="1" applyBorder="1" applyProtection="1"/>
    <xf numFmtId="164" fontId="17" fillId="3" borderId="12" xfId="0" applyNumberFormat="1" applyFont="1" applyFill="1" applyBorder="1" applyProtection="1"/>
    <xf numFmtId="164" fontId="19" fillId="6" borderId="21" xfId="0" applyNumberFormat="1" applyFont="1" applyFill="1" applyBorder="1" applyProtection="1"/>
    <xf numFmtId="0" fontId="25" fillId="0" borderId="0" xfId="0" applyFont="1" applyBorder="1" applyProtection="1"/>
    <xf numFmtId="0" fontId="19" fillId="6" borderId="13" xfId="0" applyFont="1" applyFill="1" applyBorder="1" applyProtection="1"/>
    <xf numFmtId="164" fontId="19" fillId="6" borderId="16" xfId="0" applyNumberFormat="1" applyFont="1" applyFill="1" applyBorder="1" applyProtection="1"/>
    <xf numFmtId="0" fontId="19" fillId="6" borderId="22" xfId="0" applyFont="1" applyFill="1" applyBorder="1" applyProtection="1"/>
    <xf numFmtId="164" fontId="19" fillId="7" borderId="15" xfId="0" applyNumberFormat="1" applyFont="1" applyFill="1" applyBorder="1" applyAlignment="1" applyProtection="1">
      <alignment horizontal="right"/>
      <protection locked="0"/>
    </xf>
    <xf numFmtId="1" fontId="19" fillId="7" borderId="15" xfId="0" applyNumberFormat="1" applyFont="1" applyFill="1" applyBorder="1" applyAlignment="1" applyProtection="1">
      <alignment horizontal="right"/>
      <protection locked="0"/>
    </xf>
    <xf numFmtId="2" fontId="19" fillId="7" borderId="15" xfId="0" applyNumberFormat="1" applyFont="1" applyFill="1" applyBorder="1" applyAlignment="1" applyProtection="1">
      <alignment horizontal="right"/>
      <protection locked="0"/>
    </xf>
    <xf numFmtId="165" fontId="19" fillId="7" borderId="15" xfId="0" applyNumberFormat="1" applyFont="1" applyFill="1" applyBorder="1" applyAlignment="1" applyProtection="1">
      <protection locked="0"/>
    </xf>
    <xf numFmtId="164" fontId="19" fillId="7" borderId="0" xfId="0" applyNumberFormat="1" applyFont="1" applyFill="1" applyBorder="1" applyProtection="1">
      <protection locked="0"/>
    </xf>
    <xf numFmtId="166" fontId="19" fillId="7" borderId="16" xfId="0" applyNumberFormat="1" applyFont="1" applyFill="1" applyBorder="1" applyProtection="1">
      <protection locked="0"/>
    </xf>
    <xf numFmtId="0" fontId="0" fillId="0" borderId="0" xfId="0" applyBorder="1" applyAlignment="1" applyProtection="1">
      <alignment horizontal="left"/>
    </xf>
    <xf numFmtId="0" fontId="0" fillId="0" borderId="0" xfId="0" applyBorder="1" applyProtection="1"/>
    <xf numFmtId="0" fontId="0" fillId="0" borderId="0" xfId="0" applyAlignment="1" applyProtection="1">
      <alignment horizontal="left" vertical="top"/>
    </xf>
    <xf numFmtId="0" fontId="0" fillId="0" borderId="23" xfId="0" applyBorder="1" applyProtection="1"/>
    <xf numFmtId="0" fontId="0" fillId="0" borderId="0" xfId="0" applyAlignment="1" applyProtection="1">
      <alignment wrapText="1"/>
    </xf>
    <xf numFmtId="0" fontId="0" fillId="0" borderId="0" xfId="0" applyFill="1" applyAlignment="1" applyProtection="1">
      <alignment wrapText="1"/>
    </xf>
    <xf numFmtId="0" fontId="26" fillId="0" borderId="24" xfId="0" applyFont="1" applyBorder="1" applyAlignment="1" applyProtection="1">
      <alignment horizontal="center"/>
      <protection locked="0"/>
    </xf>
    <xf numFmtId="0" fontId="2" fillId="4" borderId="1" xfId="0" applyFont="1" applyFill="1" applyBorder="1" applyProtection="1"/>
    <xf numFmtId="0" fontId="17" fillId="0" borderId="0" xfId="0" quotePrefix="1" applyFont="1" applyProtection="1"/>
    <xf numFmtId="0" fontId="2" fillId="4" borderId="1" xfId="0" applyFont="1" applyFill="1" applyBorder="1" applyProtection="1">
      <protection locked="0"/>
    </xf>
    <xf numFmtId="0" fontId="2" fillId="0" borderId="0" xfId="0" applyFont="1"/>
    <xf numFmtId="0" fontId="32" fillId="4" borderId="1" xfId="0" applyFont="1" applyFill="1" applyBorder="1" applyProtection="1">
      <protection locked="0"/>
    </xf>
    <xf numFmtId="0" fontId="32" fillId="4" borderId="1" xfId="0" quotePrefix="1" applyFont="1" applyFill="1" applyBorder="1" applyProtection="1">
      <protection locked="0"/>
    </xf>
    <xf numFmtId="0" fontId="0" fillId="9" borderId="0" xfId="0" applyFill="1"/>
    <xf numFmtId="0" fontId="2" fillId="9" borderId="0" xfId="0" applyFont="1" applyFill="1"/>
    <xf numFmtId="0" fontId="2" fillId="9" borderId="25" xfId="0" applyFont="1" applyFill="1" applyBorder="1"/>
    <xf numFmtId="0" fontId="33" fillId="4" borderId="1" xfId="0" applyFont="1" applyFill="1" applyBorder="1" applyProtection="1">
      <protection locked="0"/>
    </xf>
    <xf numFmtId="164" fontId="8" fillId="0" borderId="0" xfId="0" applyNumberFormat="1" applyFont="1" applyAlignment="1">
      <alignment horizontal="center"/>
    </xf>
    <xf numFmtId="0" fontId="2" fillId="9" borderId="0" xfId="0" applyFont="1" applyFill="1" applyBorder="1"/>
    <xf numFmtId="0" fontId="34" fillId="0" borderId="0" xfId="0" applyFont="1" applyAlignment="1" applyProtection="1">
      <alignment vertical="top"/>
    </xf>
    <xf numFmtId="0" fontId="35" fillId="0" borderId="0" xfId="0" applyFont="1" applyAlignment="1" applyProtection="1">
      <alignment horizontal="right" vertical="top"/>
    </xf>
    <xf numFmtId="0" fontId="36" fillId="0" borderId="0" xfId="0" applyFont="1" applyAlignment="1" applyProtection="1">
      <alignment horizontal="right" vertical="top"/>
    </xf>
    <xf numFmtId="17" fontId="8" fillId="0" borderId="0" xfId="0" quotePrefix="1" applyNumberFormat="1" applyFont="1" applyBorder="1" applyProtection="1"/>
    <xf numFmtId="0" fontId="23" fillId="0" borderId="0" xfId="0" applyFont="1" applyBorder="1" applyProtection="1"/>
    <xf numFmtId="0" fontId="19" fillId="3" borderId="10" xfId="0" applyFont="1" applyFill="1" applyBorder="1" applyProtection="1"/>
    <xf numFmtId="0" fontId="14" fillId="0" borderId="0" xfId="0" applyFont="1"/>
    <xf numFmtId="0" fontId="2" fillId="10" borderId="0" xfId="0" applyFont="1" applyFill="1"/>
    <xf numFmtId="0" fontId="0" fillId="10" borderId="0" xfId="0" applyFill="1"/>
    <xf numFmtId="0" fontId="8" fillId="10" borderId="0" xfId="0" applyFont="1" applyFill="1"/>
    <xf numFmtId="0" fontId="12" fillId="0" borderId="1" xfId="0" applyFont="1" applyBorder="1" applyAlignment="1" applyProtection="1">
      <alignment horizontal="center" vertical="center"/>
    </xf>
    <xf numFmtId="0" fontId="12" fillId="2" borderId="5" xfId="0" applyFont="1" applyFill="1" applyBorder="1" applyAlignment="1" applyProtection="1">
      <alignment horizontal="left" vertical="top"/>
      <protection hidden="1"/>
    </xf>
    <xf numFmtId="0" fontId="23" fillId="0" borderId="0" xfId="0" applyFont="1" applyProtection="1"/>
    <xf numFmtId="0" fontId="22" fillId="3" borderId="10" xfId="0" applyFont="1" applyFill="1" applyBorder="1" applyAlignment="1" applyProtection="1">
      <alignment horizontal="left"/>
    </xf>
    <xf numFmtId="0" fontId="22" fillId="3" borderId="12" xfId="0" applyFont="1" applyFill="1" applyBorder="1" applyAlignment="1" applyProtection="1">
      <alignment horizontal="left"/>
    </xf>
    <xf numFmtId="0" fontId="22" fillId="3" borderId="11" xfId="0" applyFont="1" applyFill="1" applyBorder="1" applyAlignment="1" applyProtection="1">
      <alignment horizontal="left"/>
    </xf>
    <xf numFmtId="0" fontId="30" fillId="0" borderId="0" xfId="0" applyFont="1" applyAlignment="1" applyProtection="1">
      <alignment horizontal="center"/>
    </xf>
    <xf numFmtId="164" fontId="19" fillId="6" borderId="10" xfId="0" applyNumberFormat="1" applyFont="1" applyFill="1" applyBorder="1" applyAlignment="1" applyProtection="1">
      <alignment horizontal="center"/>
    </xf>
    <xf numFmtId="164" fontId="19" fillId="6" borderId="11" xfId="0" applyNumberFormat="1" applyFont="1" applyFill="1" applyBorder="1" applyAlignment="1" applyProtection="1">
      <alignment horizontal="center"/>
    </xf>
    <xf numFmtId="0" fontId="12" fillId="0" borderId="0" xfId="0" applyFont="1" applyBorder="1" applyAlignment="1" applyProtection="1">
      <alignment horizontal="left" vertical="top" wrapText="1"/>
    </xf>
    <xf numFmtId="0" fontId="12" fillId="0" borderId="0" xfId="0" applyNumberFormat="1" applyFont="1" applyBorder="1" applyAlignment="1" applyProtection="1">
      <alignment horizontal="left" vertical="top" wrapText="1"/>
    </xf>
    <xf numFmtId="0" fontId="2" fillId="10" borderId="25" xfId="0" applyFont="1" applyFill="1" applyBorder="1"/>
    <xf numFmtId="0" fontId="38" fillId="4" borderId="1" xfId="0" quotePrefix="1" applyFont="1" applyFill="1" applyBorder="1" applyProtection="1">
      <protection locked="0"/>
    </xf>
    <xf numFmtId="0" fontId="38" fillId="0" borderId="25" xfId="0" applyFont="1" applyFill="1" applyBorder="1"/>
    <xf numFmtId="0" fontId="39" fillId="0" borderId="0" xfId="0" applyFont="1" applyFill="1"/>
  </cellXfs>
  <cellStyles count="1">
    <cellStyle name="Normal" xfId="0" builtinId="0"/>
  </cellStyles>
  <dxfs count="4">
    <dxf>
      <font>
        <b/>
        <i val="0"/>
        <condense val="0"/>
        <extend val="0"/>
      </font>
    </dxf>
    <dxf>
      <font>
        <b/>
        <i val="0"/>
        <condense val="0"/>
        <extend val="0"/>
      </font>
    </dxf>
    <dxf>
      <font>
        <b/>
        <i val="0"/>
        <condense val="0"/>
        <extend val="0"/>
      </font>
    </dxf>
    <dxf>
      <font>
        <b/>
        <i val="0"/>
        <condense val="0"/>
        <extend val="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LED Current </a:t>
            </a:r>
          </a:p>
        </c:rich>
      </c:tx>
      <c:layout>
        <c:manualLayout>
          <c:xMode val="edge"/>
          <c:yMode val="edge"/>
          <c:x val="0.37631578947368421"/>
          <c:y val="4.9382716049382713E-2"/>
        </c:manualLayout>
      </c:layout>
      <c:overlay val="0"/>
      <c:spPr>
        <a:noFill/>
        <a:ln w="25400">
          <a:noFill/>
        </a:ln>
      </c:spPr>
    </c:title>
    <c:autoTitleDeleted val="0"/>
    <c:plotArea>
      <c:layout>
        <c:manualLayout>
          <c:layoutTarget val="inner"/>
          <c:xMode val="edge"/>
          <c:yMode val="edge"/>
          <c:x val="0.19210526315789472"/>
          <c:y val="0.18518592940590201"/>
          <c:w val="0.5"/>
          <c:h val="0.55967303109339273"/>
        </c:manualLayout>
      </c:layout>
      <c:scatterChart>
        <c:scatterStyle val="smoothMarker"/>
        <c:varyColors val="0"/>
        <c:ser>
          <c:idx val="0"/>
          <c:order val="0"/>
          <c:tx>
            <c:v>Iled</c:v>
          </c:tx>
          <c:spPr>
            <a:ln w="38100">
              <a:solidFill>
                <a:srgbClr val="000080"/>
              </a:solidFill>
              <a:prstDash val="solid"/>
            </a:ln>
          </c:spPr>
          <c:marker>
            <c:symbol val="none"/>
          </c:marker>
          <c:xVal>
            <c:numRef>
              <c:f>Calculations!$D$5:$D$25</c:f>
              <c:numCache>
                <c:formatCode>0.00</c:formatCode>
                <c:ptCount val="21"/>
                <c:pt idx="0">
                  <c:v>0</c:v>
                </c:pt>
                <c:pt idx="1">
                  <c:v>0.22154827402200969</c:v>
                </c:pt>
                <c:pt idx="2">
                  <c:v>0.44309654804401938</c:v>
                </c:pt>
                <c:pt idx="3">
                  <c:v>0.66464482206602915</c:v>
                </c:pt>
                <c:pt idx="4">
                  <c:v>0.88619309608803876</c:v>
                </c:pt>
                <c:pt idx="5">
                  <c:v>1.1077413701100485</c:v>
                </c:pt>
                <c:pt idx="6">
                  <c:v>1.3329929795297475</c:v>
                </c:pt>
                <c:pt idx="7">
                  <c:v>1.5582445889494465</c:v>
                </c:pt>
                <c:pt idx="8">
                  <c:v>1.7834961983691455</c:v>
                </c:pt>
                <c:pt idx="9">
                  <c:v>2.0087478077888443</c:v>
                </c:pt>
                <c:pt idx="10">
                  <c:v>2.2339994172085436</c:v>
                </c:pt>
                <c:pt idx="11">
                  <c:v>2.4555476912305534</c:v>
                </c:pt>
                <c:pt idx="12">
                  <c:v>2.6770959652525632</c:v>
                </c:pt>
                <c:pt idx="13">
                  <c:v>2.8986442392745726</c:v>
                </c:pt>
                <c:pt idx="14">
                  <c:v>3.1201925132965824</c:v>
                </c:pt>
                <c:pt idx="15">
                  <c:v>3.3417407873185923</c:v>
                </c:pt>
                <c:pt idx="16">
                  <c:v>3.566992396738291</c:v>
                </c:pt>
                <c:pt idx="17">
                  <c:v>3.7922440061579903</c:v>
                </c:pt>
                <c:pt idx="18">
                  <c:v>4.0174956155776895</c:v>
                </c:pt>
                <c:pt idx="19">
                  <c:v>4.2427472249973883</c:v>
                </c:pt>
                <c:pt idx="20">
                  <c:v>4.4679988344170871</c:v>
                </c:pt>
              </c:numCache>
            </c:numRef>
          </c:xVal>
          <c:yVal>
            <c:numRef>
              <c:f>Calculations!$E$5:$E$25</c:f>
              <c:numCache>
                <c:formatCode>General</c:formatCode>
                <c:ptCount val="21"/>
                <c:pt idx="0" formatCode="0.000">
                  <c:v>854.64286241525906</c:v>
                </c:pt>
                <c:pt idx="1">
                  <c:v>923.06850528408711</c:v>
                </c:pt>
                <c:pt idx="2">
                  <c:v>991.28315871407597</c:v>
                </c:pt>
                <c:pt idx="3">
                  <c:v>1059.2874732879745</c:v>
                </c:pt>
                <c:pt idx="4">
                  <c:v>1127.0820975824768</c:v>
                </c:pt>
                <c:pt idx="5" formatCode="0.000">
                  <c:v>1194.6676781744063</c:v>
                </c:pt>
                <c:pt idx="6">
                  <c:v>1126.5140935821671</c:v>
                </c:pt>
                <c:pt idx="7">
                  <c:v>1058.4349008670015</c:v>
                </c:pt>
                <c:pt idx="8">
                  <c:v>990.43001882773706</c:v>
                </c:pt>
                <c:pt idx="9">
                  <c:v>922.49936635182917</c:v>
                </c:pt>
                <c:pt idx="10" formatCode="0.000">
                  <c:v>854.64286241525906</c:v>
                </c:pt>
                <c:pt idx="11">
                  <c:v>923.06850528408711</c:v>
                </c:pt>
                <c:pt idx="12">
                  <c:v>991.28315871407597</c:v>
                </c:pt>
                <c:pt idx="13">
                  <c:v>1059.2874732879745</c:v>
                </c:pt>
                <c:pt idx="14">
                  <c:v>1127.0820975824768</c:v>
                </c:pt>
                <c:pt idx="15" formatCode="0.000">
                  <c:v>1194.6676781744063</c:v>
                </c:pt>
                <c:pt idx="16">
                  <c:v>1126.5140935821671</c:v>
                </c:pt>
                <c:pt idx="17">
                  <c:v>1058.4349008670015</c:v>
                </c:pt>
                <c:pt idx="18">
                  <c:v>990.43001882773706</c:v>
                </c:pt>
                <c:pt idx="19">
                  <c:v>922.49936635182917</c:v>
                </c:pt>
                <c:pt idx="20" formatCode="0.000">
                  <c:v>854.64286241525906</c:v>
                </c:pt>
              </c:numCache>
            </c:numRef>
          </c:yVal>
          <c:smooth val="0"/>
        </c:ser>
        <c:ser>
          <c:idx val="1"/>
          <c:order val="1"/>
          <c:tx>
            <c:v>Iavg</c:v>
          </c:tx>
          <c:spPr>
            <a:ln w="25400">
              <a:solidFill>
                <a:srgbClr val="993300"/>
              </a:solidFill>
              <a:prstDash val="solid"/>
            </a:ln>
          </c:spPr>
          <c:marker>
            <c:symbol val="none"/>
          </c:marker>
          <c:xVal>
            <c:numRef>
              <c:f>Calculations!$D$5:$D$25</c:f>
              <c:numCache>
                <c:formatCode>0.00</c:formatCode>
                <c:ptCount val="21"/>
                <c:pt idx="0">
                  <c:v>0</c:v>
                </c:pt>
                <c:pt idx="1">
                  <c:v>0.22154827402200969</c:v>
                </c:pt>
                <c:pt idx="2">
                  <c:v>0.44309654804401938</c:v>
                </c:pt>
                <c:pt idx="3">
                  <c:v>0.66464482206602915</c:v>
                </c:pt>
                <c:pt idx="4">
                  <c:v>0.88619309608803876</c:v>
                </c:pt>
                <c:pt idx="5">
                  <c:v>1.1077413701100485</c:v>
                </c:pt>
                <c:pt idx="6">
                  <c:v>1.3329929795297475</c:v>
                </c:pt>
                <c:pt idx="7">
                  <c:v>1.5582445889494465</c:v>
                </c:pt>
                <c:pt idx="8">
                  <c:v>1.7834961983691455</c:v>
                </c:pt>
                <c:pt idx="9">
                  <c:v>2.0087478077888443</c:v>
                </c:pt>
                <c:pt idx="10">
                  <c:v>2.2339994172085436</c:v>
                </c:pt>
                <c:pt idx="11">
                  <c:v>2.4555476912305534</c:v>
                </c:pt>
                <c:pt idx="12">
                  <c:v>2.6770959652525632</c:v>
                </c:pt>
                <c:pt idx="13">
                  <c:v>2.8986442392745726</c:v>
                </c:pt>
                <c:pt idx="14">
                  <c:v>3.1201925132965824</c:v>
                </c:pt>
                <c:pt idx="15">
                  <c:v>3.3417407873185923</c:v>
                </c:pt>
                <c:pt idx="16">
                  <c:v>3.566992396738291</c:v>
                </c:pt>
                <c:pt idx="17">
                  <c:v>3.7922440061579903</c:v>
                </c:pt>
                <c:pt idx="18">
                  <c:v>4.0174956155776895</c:v>
                </c:pt>
                <c:pt idx="19">
                  <c:v>4.2427472249973883</c:v>
                </c:pt>
                <c:pt idx="20">
                  <c:v>4.4679988344170871</c:v>
                </c:pt>
              </c:numCache>
            </c:numRef>
          </c:xVal>
          <c:yVal>
            <c:numRef>
              <c:f>Calculations!$F$5:$F$25</c:f>
              <c:numCache>
                <c:formatCode>0.0</c:formatCode>
                <c:ptCount val="21"/>
                <c:pt idx="0">
                  <c:v>1024.7942170896158</c:v>
                </c:pt>
                <c:pt idx="1">
                  <c:v>1024.7942170896158</c:v>
                </c:pt>
                <c:pt idx="2">
                  <c:v>1024.7942170896158</c:v>
                </c:pt>
                <c:pt idx="3">
                  <c:v>1024.7942170896158</c:v>
                </c:pt>
                <c:pt idx="4">
                  <c:v>1024.7942170896158</c:v>
                </c:pt>
                <c:pt idx="5">
                  <c:v>1024.7942170896158</c:v>
                </c:pt>
                <c:pt idx="6">
                  <c:v>1024.7942170896158</c:v>
                </c:pt>
                <c:pt idx="7">
                  <c:v>1024.7942170896158</c:v>
                </c:pt>
                <c:pt idx="8">
                  <c:v>1024.7942170896158</c:v>
                </c:pt>
                <c:pt idx="9">
                  <c:v>1024.7942170896158</c:v>
                </c:pt>
                <c:pt idx="10">
                  <c:v>1024.7942170896158</c:v>
                </c:pt>
                <c:pt idx="11">
                  <c:v>1024.7942170896158</c:v>
                </c:pt>
                <c:pt idx="12">
                  <c:v>1024.7942170896158</c:v>
                </c:pt>
                <c:pt idx="13">
                  <c:v>1024.7942170896158</c:v>
                </c:pt>
                <c:pt idx="14">
                  <c:v>1024.7942170896158</c:v>
                </c:pt>
                <c:pt idx="15">
                  <c:v>1024.7942170896158</c:v>
                </c:pt>
                <c:pt idx="16">
                  <c:v>1024.7942170896158</c:v>
                </c:pt>
                <c:pt idx="17">
                  <c:v>1024.7942170896158</c:v>
                </c:pt>
                <c:pt idx="18">
                  <c:v>1024.7942170896158</c:v>
                </c:pt>
                <c:pt idx="19">
                  <c:v>1024.7942170896158</c:v>
                </c:pt>
                <c:pt idx="20">
                  <c:v>1024.7942170896158</c:v>
                </c:pt>
              </c:numCache>
            </c:numRef>
          </c:yVal>
          <c:smooth val="1"/>
        </c:ser>
        <c:ser>
          <c:idx val="4"/>
          <c:order val="2"/>
          <c:tx>
            <c:strRef>
              <c:f>Calculations!$I$4</c:f>
              <c:strCache>
                <c:ptCount val="1"/>
                <c:pt idx="0">
                  <c:v>Imin</c:v>
                </c:pt>
              </c:strCache>
            </c:strRef>
          </c:tx>
          <c:spPr>
            <a:ln w="25400">
              <a:solidFill>
                <a:srgbClr val="800080"/>
              </a:solidFill>
              <a:prstDash val="lgDash"/>
            </a:ln>
          </c:spPr>
          <c:marker>
            <c:symbol val="star"/>
            <c:size val="5"/>
            <c:spPr>
              <a:noFill/>
              <a:ln w="9525">
                <a:noFill/>
              </a:ln>
            </c:spPr>
          </c:marker>
          <c:xVal>
            <c:numRef>
              <c:f>Calculations!$D$5:$D$25</c:f>
              <c:numCache>
                <c:formatCode>0.00</c:formatCode>
                <c:ptCount val="21"/>
                <c:pt idx="0">
                  <c:v>0</c:v>
                </c:pt>
                <c:pt idx="1">
                  <c:v>0.22154827402200969</c:v>
                </c:pt>
                <c:pt idx="2">
                  <c:v>0.44309654804401938</c:v>
                </c:pt>
                <c:pt idx="3">
                  <c:v>0.66464482206602915</c:v>
                </c:pt>
                <c:pt idx="4">
                  <c:v>0.88619309608803876</c:v>
                </c:pt>
                <c:pt idx="5">
                  <c:v>1.1077413701100485</c:v>
                </c:pt>
                <c:pt idx="6">
                  <c:v>1.3329929795297475</c:v>
                </c:pt>
                <c:pt idx="7">
                  <c:v>1.5582445889494465</c:v>
                </c:pt>
                <c:pt idx="8">
                  <c:v>1.7834961983691455</c:v>
                </c:pt>
                <c:pt idx="9">
                  <c:v>2.0087478077888443</c:v>
                </c:pt>
                <c:pt idx="10">
                  <c:v>2.2339994172085436</c:v>
                </c:pt>
                <c:pt idx="11">
                  <c:v>2.4555476912305534</c:v>
                </c:pt>
                <c:pt idx="12">
                  <c:v>2.6770959652525632</c:v>
                </c:pt>
                <c:pt idx="13">
                  <c:v>2.8986442392745726</c:v>
                </c:pt>
                <c:pt idx="14">
                  <c:v>3.1201925132965824</c:v>
                </c:pt>
                <c:pt idx="15">
                  <c:v>3.3417407873185923</c:v>
                </c:pt>
                <c:pt idx="16">
                  <c:v>3.566992396738291</c:v>
                </c:pt>
                <c:pt idx="17">
                  <c:v>3.7922440061579903</c:v>
                </c:pt>
                <c:pt idx="18">
                  <c:v>4.0174956155776895</c:v>
                </c:pt>
                <c:pt idx="19">
                  <c:v>4.2427472249973883</c:v>
                </c:pt>
                <c:pt idx="20">
                  <c:v>4.4679988344170871</c:v>
                </c:pt>
              </c:numCache>
            </c:numRef>
          </c:xVal>
          <c:yVal>
            <c:numRef>
              <c:f>Calculations!$I$5:$I$25</c:f>
              <c:numCache>
                <c:formatCode>General</c:formatCode>
                <c:ptCount val="21"/>
                <c:pt idx="0">
                  <c:v>854.64286241525906</c:v>
                </c:pt>
                <c:pt idx="1">
                  <c:v>854.64286241525906</c:v>
                </c:pt>
                <c:pt idx="2">
                  <c:v>854.64286241525906</c:v>
                </c:pt>
                <c:pt idx="3">
                  <c:v>854.64286241525906</c:v>
                </c:pt>
                <c:pt idx="4">
                  <c:v>854.64286241525906</c:v>
                </c:pt>
                <c:pt idx="5">
                  <c:v>854.64286241525906</c:v>
                </c:pt>
                <c:pt idx="6">
                  <c:v>854.64286241525906</c:v>
                </c:pt>
                <c:pt idx="7">
                  <c:v>854.64286241525906</c:v>
                </c:pt>
                <c:pt idx="8">
                  <c:v>854.64286241525906</c:v>
                </c:pt>
                <c:pt idx="9">
                  <c:v>854.64286241525906</c:v>
                </c:pt>
                <c:pt idx="10">
                  <c:v>854.64286241525906</c:v>
                </c:pt>
                <c:pt idx="11">
                  <c:v>854.64286241525906</c:v>
                </c:pt>
                <c:pt idx="12">
                  <c:v>854.64286241525906</c:v>
                </c:pt>
                <c:pt idx="13">
                  <c:v>854.64286241525906</c:v>
                </c:pt>
                <c:pt idx="14">
                  <c:v>854.64286241525906</c:v>
                </c:pt>
                <c:pt idx="15">
                  <c:v>854.64286241525906</c:v>
                </c:pt>
                <c:pt idx="16">
                  <c:v>854.64286241525906</c:v>
                </c:pt>
                <c:pt idx="17">
                  <c:v>854.64286241525906</c:v>
                </c:pt>
                <c:pt idx="18">
                  <c:v>854.64286241525906</c:v>
                </c:pt>
                <c:pt idx="19">
                  <c:v>854.64286241525906</c:v>
                </c:pt>
                <c:pt idx="20">
                  <c:v>854.64286241525906</c:v>
                </c:pt>
              </c:numCache>
            </c:numRef>
          </c:yVal>
          <c:smooth val="1"/>
        </c:ser>
        <c:ser>
          <c:idx val="5"/>
          <c:order val="3"/>
          <c:tx>
            <c:strRef>
              <c:f>Calculations!$J$4</c:f>
              <c:strCache>
                <c:ptCount val="1"/>
                <c:pt idx="0">
                  <c:v>Imax</c:v>
                </c:pt>
              </c:strCache>
            </c:strRef>
          </c:tx>
          <c:spPr>
            <a:ln w="25400">
              <a:solidFill>
                <a:srgbClr val="008000"/>
              </a:solidFill>
              <a:prstDash val="lgDash"/>
            </a:ln>
          </c:spPr>
          <c:marker>
            <c:symbol val="none"/>
          </c:marker>
          <c:xVal>
            <c:numRef>
              <c:f>Calculations!$D$5:$D$25</c:f>
              <c:numCache>
                <c:formatCode>0.00</c:formatCode>
                <c:ptCount val="21"/>
                <c:pt idx="0">
                  <c:v>0</c:v>
                </c:pt>
                <c:pt idx="1">
                  <c:v>0.22154827402200969</c:v>
                </c:pt>
                <c:pt idx="2">
                  <c:v>0.44309654804401938</c:v>
                </c:pt>
                <c:pt idx="3">
                  <c:v>0.66464482206602915</c:v>
                </c:pt>
                <c:pt idx="4">
                  <c:v>0.88619309608803876</c:v>
                </c:pt>
                <c:pt idx="5">
                  <c:v>1.1077413701100485</c:v>
                </c:pt>
                <c:pt idx="6">
                  <c:v>1.3329929795297475</c:v>
                </c:pt>
                <c:pt idx="7">
                  <c:v>1.5582445889494465</c:v>
                </c:pt>
                <c:pt idx="8">
                  <c:v>1.7834961983691455</c:v>
                </c:pt>
                <c:pt idx="9">
                  <c:v>2.0087478077888443</c:v>
                </c:pt>
                <c:pt idx="10">
                  <c:v>2.2339994172085436</c:v>
                </c:pt>
                <c:pt idx="11">
                  <c:v>2.4555476912305534</c:v>
                </c:pt>
                <c:pt idx="12">
                  <c:v>2.6770959652525632</c:v>
                </c:pt>
                <c:pt idx="13">
                  <c:v>2.8986442392745726</c:v>
                </c:pt>
                <c:pt idx="14">
                  <c:v>3.1201925132965824</c:v>
                </c:pt>
                <c:pt idx="15">
                  <c:v>3.3417407873185923</c:v>
                </c:pt>
                <c:pt idx="16">
                  <c:v>3.566992396738291</c:v>
                </c:pt>
                <c:pt idx="17">
                  <c:v>3.7922440061579903</c:v>
                </c:pt>
                <c:pt idx="18">
                  <c:v>4.0174956155776895</c:v>
                </c:pt>
                <c:pt idx="19">
                  <c:v>4.2427472249973883</c:v>
                </c:pt>
                <c:pt idx="20">
                  <c:v>4.4679988344170871</c:v>
                </c:pt>
              </c:numCache>
            </c:numRef>
          </c:xVal>
          <c:yVal>
            <c:numRef>
              <c:f>Calculations!$J$5:$J$25</c:f>
              <c:numCache>
                <c:formatCode>General</c:formatCode>
                <c:ptCount val="21"/>
                <c:pt idx="0">
                  <c:v>1194.6676781744063</c:v>
                </c:pt>
                <c:pt idx="1">
                  <c:v>1194.6676781744063</c:v>
                </c:pt>
                <c:pt idx="2">
                  <c:v>1194.6676781744063</c:v>
                </c:pt>
                <c:pt idx="3">
                  <c:v>1194.6676781744063</c:v>
                </c:pt>
                <c:pt idx="4">
                  <c:v>1194.6676781744063</c:v>
                </c:pt>
                <c:pt idx="5">
                  <c:v>1194.6676781744063</c:v>
                </c:pt>
                <c:pt idx="6">
                  <c:v>1194.6676781744063</c:v>
                </c:pt>
                <c:pt idx="7">
                  <c:v>1194.6676781744063</c:v>
                </c:pt>
                <c:pt idx="8">
                  <c:v>1194.6676781744063</c:v>
                </c:pt>
                <c:pt idx="9">
                  <c:v>1194.6676781744063</c:v>
                </c:pt>
                <c:pt idx="10">
                  <c:v>1194.6676781744063</c:v>
                </c:pt>
                <c:pt idx="11">
                  <c:v>1194.6676781744063</c:v>
                </c:pt>
                <c:pt idx="12">
                  <c:v>1194.6676781744063</c:v>
                </c:pt>
                <c:pt idx="13">
                  <c:v>1194.6676781744063</c:v>
                </c:pt>
                <c:pt idx="14">
                  <c:v>1194.6676781744063</c:v>
                </c:pt>
                <c:pt idx="15">
                  <c:v>1194.6676781744063</c:v>
                </c:pt>
                <c:pt idx="16">
                  <c:v>1194.6676781744063</c:v>
                </c:pt>
                <c:pt idx="17">
                  <c:v>1194.6676781744063</c:v>
                </c:pt>
                <c:pt idx="18">
                  <c:v>1194.6676781744063</c:v>
                </c:pt>
                <c:pt idx="19">
                  <c:v>1194.6676781744063</c:v>
                </c:pt>
                <c:pt idx="20">
                  <c:v>1194.6676781744063</c:v>
                </c:pt>
              </c:numCache>
            </c:numRef>
          </c:yVal>
          <c:smooth val="1"/>
        </c:ser>
        <c:dLbls>
          <c:showLegendKey val="0"/>
          <c:showVal val="0"/>
          <c:showCatName val="0"/>
          <c:showSerName val="0"/>
          <c:showPercent val="0"/>
          <c:showBubbleSize val="0"/>
        </c:dLbls>
        <c:axId val="121042048"/>
        <c:axId val="121043968"/>
      </c:scatterChart>
      <c:valAx>
        <c:axId val="121042048"/>
        <c:scaling>
          <c:orientation val="minMax"/>
        </c:scaling>
        <c:delete val="0"/>
        <c:axPos val="b"/>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Time [us]</a:t>
                </a:r>
              </a:p>
            </c:rich>
          </c:tx>
          <c:layout>
            <c:manualLayout>
              <c:xMode val="edge"/>
              <c:yMode val="edge"/>
              <c:x val="0.36842105263157893"/>
              <c:y val="0.8559705345473791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043968"/>
        <c:crosses val="autoZero"/>
        <c:crossBetween val="midCat"/>
      </c:valAx>
      <c:valAx>
        <c:axId val="1210439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Iout [mA]</a:t>
                </a:r>
              </a:p>
            </c:rich>
          </c:tx>
          <c:layout>
            <c:manualLayout>
              <c:xMode val="edge"/>
              <c:yMode val="edge"/>
              <c:x val="4.736842105263158E-2"/>
              <c:y val="0.353910761154855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21042048"/>
        <c:crosses val="autoZero"/>
        <c:crossBetween val="midCat"/>
      </c:valAx>
      <c:spPr>
        <a:noFill/>
        <a:ln w="12700">
          <a:solidFill>
            <a:srgbClr val="808080"/>
          </a:solidFill>
          <a:prstDash val="solid"/>
        </a:ln>
      </c:spPr>
    </c:plotArea>
    <c:legend>
      <c:legendPos val="r"/>
      <c:layout>
        <c:manualLayout>
          <c:xMode val="edge"/>
          <c:yMode val="edge"/>
          <c:x val="0.75263157894736843"/>
          <c:y val="0.20987740729939622"/>
          <c:w val="0.23157894736842111"/>
          <c:h val="0.31687372411781867"/>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723900</xdr:colOff>
      <xdr:row>23</xdr:row>
      <xdr:rowOff>142875</xdr:rowOff>
    </xdr:from>
    <xdr:to>
      <xdr:col>20</xdr:col>
      <xdr:colOff>0</xdr:colOff>
      <xdr:row>37</xdr:row>
      <xdr:rowOff>142875</xdr:rowOff>
    </xdr:to>
    <xdr:graphicFrame macro="">
      <xdr:nvGraphicFramePr>
        <xdr:cNvPr id="1323"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11</xdr:col>
          <xdr:colOff>123825</xdr:colOff>
          <xdr:row>14</xdr:row>
          <xdr:rowOff>123825</xdr:rowOff>
        </xdr:from>
        <xdr:to>
          <xdr:col>18</xdr:col>
          <xdr:colOff>142875</xdr:colOff>
          <xdr:row>23</xdr:row>
          <xdr:rowOff>85725</xdr:rowOff>
        </xdr:to>
        <xdr:sp macro="" textlink="">
          <xdr:nvSpPr>
            <xdr:cNvPr id="1170" name="Object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xdr:twoCellAnchor>
    <xdr:from>
      <xdr:col>1</xdr:col>
      <xdr:colOff>114300</xdr:colOff>
      <xdr:row>0</xdr:row>
      <xdr:rowOff>142875</xdr:rowOff>
    </xdr:from>
    <xdr:to>
      <xdr:col>3</xdr:col>
      <xdr:colOff>19050</xdr:colOff>
      <xdr:row>3</xdr:row>
      <xdr:rowOff>47625</xdr:rowOff>
    </xdr:to>
    <xdr:pic>
      <xdr:nvPicPr>
        <xdr:cNvPr id="1324" name="Picture 9" descr="Diodes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42875"/>
          <a:ext cx="1933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36</xdr:row>
      <xdr:rowOff>57150</xdr:rowOff>
    </xdr:from>
    <xdr:to>
      <xdr:col>5</xdr:col>
      <xdr:colOff>295276</xdr:colOff>
      <xdr:row>39</xdr:row>
      <xdr:rowOff>85725</xdr:rowOff>
    </xdr:to>
    <xdr:sp macro="" textlink="">
      <xdr:nvSpPr>
        <xdr:cNvPr id="8" name="Text Box 2"/>
        <xdr:cNvSpPr txBox="1">
          <a:spLocks noChangeArrowheads="1"/>
        </xdr:cNvSpPr>
      </xdr:nvSpPr>
      <xdr:spPr bwMode="auto">
        <a:xfrm>
          <a:off x="38101" y="6267450"/>
          <a:ext cx="4114800" cy="51435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GB" sz="1000" b="0" i="0" u="none" strike="noStrike" baseline="0">
              <a:solidFill>
                <a:srgbClr val="000000"/>
              </a:solidFill>
              <a:latin typeface="Arial" panose="020B0604020202020204" pitchFamily="34" charset="0"/>
              <a:cs typeface="Arial" panose="020B0604020202020204" pitchFamily="34" charset="0"/>
            </a:rPr>
            <a:t>For explanation, please click the </a:t>
          </a:r>
          <a:r>
            <a:rPr lang="en-GB" sz="1000" b="0" i="0" u="none" strike="noStrike" baseline="0">
              <a:solidFill>
                <a:srgbClr val="0070C0"/>
              </a:solidFill>
              <a:latin typeface="Arial" panose="020B0604020202020204" pitchFamily="34" charset="0"/>
              <a:cs typeface="Arial" panose="020B0604020202020204" pitchFamily="34" charset="0"/>
            </a:rPr>
            <a:t>Explanatory Notes </a:t>
          </a:r>
          <a:r>
            <a:rPr lang="en-GB" sz="1000" b="0" i="0" u="none" strike="noStrike" baseline="0">
              <a:solidFill>
                <a:srgbClr val="000000"/>
              </a:solidFill>
              <a:latin typeface="Arial" panose="020B0604020202020204" pitchFamily="34" charset="0"/>
              <a:cs typeface="Arial" panose="020B0604020202020204" pitchFamily="34" charset="0"/>
            </a:rPr>
            <a:t>tab.  Note that this</a:t>
          </a:r>
        </a:p>
        <a:p>
          <a:pPr algn="l" rtl="0">
            <a:defRPr sz="1000"/>
          </a:pPr>
          <a:r>
            <a:rPr lang="en-GB" sz="1000" b="0" i="0" u="none" strike="noStrike" baseline="0">
              <a:solidFill>
                <a:srgbClr val="000000"/>
              </a:solidFill>
              <a:latin typeface="Arial" panose="020B0604020202020204" pitchFamily="34" charset="0"/>
              <a:cs typeface="Arial" panose="020B0604020202020204" pitchFamily="34" charset="0"/>
            </a:rPr>
            <a:t>calculator only provides a guide to estimated performance, and is not a</a:t>
          </a:r>
        </a:p>
        <a:p>
          <a:pPr algn="l" rtl="0">
            <a:defRPr sz="1000"/>
          </a:pPr>
          <a:r>
            <a:rPr lang="en-GB" sz="1000" b="0" i="0" u="none" strike="noStrike" baseline="0">
              <a:solidFill>
                <a:srgbClr val="000000"/>
              </a:solidFill>
              <a:latin typeface="Arial" panose="020B0604020202020204" pitchFamily="34" charset="0"/>
              <a:cs typeface="Arial" panose="020B0604020202020204" pitchFamily="34" charset="0"/>
            </a:rPr>
            <a:t>substitute for practical performance testing.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H89"/>
  <sheetViews>
    <sheetView showGridLines="0" showRowColHeaders="0" tabSelected="1" zoomScaleNormal="100" workbookViewId="0">
      <pane xSplit="34" ySplit="54" topLeftCell="AI96" activePane="bottomRight" state="frozenSplit"/>
      <selection pane="topRight" activeCell="L6" sqref="L6"/>
      <selection pane="bottomLeft" activeCell="L6" sqref="L6"/>
      <selection pane="bottomRight" activeCell="C12" sqref="C12"/>
    </sheetView>
  </sheetViews>
  <sheetFormatPr defaultRowHeight="12.75" x14ac:dyDescent="0.2"/>
  <cols>
    <col min="1" max="1" width="0.5703125" customWidth="1"/>
    <col min="2" max="2" width="23.28515625" customWidth="1"/>
    <col min="3" max="3" width="7.140625" customWidth="1"/>
    <col min="4" max="4" width="5.7109375" customWidth="1"/>
    <col min="5" max="5" width="21.140625" customWidth="1"/>
    <col min="6" max="6" width="20.5703125" customWidth="1"/>
    <col min="7" max="7" width="7.140625" customWidth="1"/>
    <col min="8" max="8" width="4.85546875" customWidth="1"/>
    <col min="9" max="9" width="3.42578125" customWidth="1"/>
    <col min="10" max="10" width="12.42578125" customWidth="1"/>
    <col min="11" max="11" width="1.7109375" customWidth="1"/>
    <col min="12" max="12" width="7.140625" customWidth="1"/>
    <col min="13" max="13" width="1.85546875" customWidth="1"/>
    <col min="14" max="14" width="7.28515625" customWidth="1"/>
    <col min="15" max="15" width="1.42578125" customWidth="1"/>
    <col min="16" max="16" width="7.7109375" customWidth="1"/>
    <col min="17" max="17" width="1.7109375" customWidth="1"/>
    <col min="18" max="18" width="7.7109375" customWidth="1"/>
    <col min="19" max="19" width="4" customWidth="1"/>
    <col min="20" max="20" width="12.140625" customWidth="1"/>
    <col min="21" max="21" width="12.42578125" bestFit="1" customWidth="1"/>
    <col min="24" max="24" width="10" bestFit="1" customWidth="1"/>
    <col min="25" max="25" width="12.42578125" bestFit="1" customWidth="1"/>
    <col min="27" max="27" width="13.28515625" customWidth="1"/>
    <col min="28" max="28" width="12.140625" customWidth="1"/>
  </cols>
  <sheetData>
    <row r="1" spans="1:34" x14ac:dyDescent="0.2">
      <c r="A1" s="1"/>
      <c r="B1" s="24"/>
      <c r="C1" s="24"/>
      <c r="D1" s="24"/>
      <c r="E1" s="24"/>
      <c r="F1" s="110"/>
      <c r="G1" s="110"/>
      <c r="H1" s="110"/>
      <c r="I1" s="110"/>
      <c r="J1" s="110"/>
      <c r="K1" s="111"/>
      <c r="L1" s="111"/>
      <c r="M1" s="111"/>
      <c r="N1" s="111"/>
      <c r="O1" s="111"/>
      <c r="P1" s="111"/>
      <c r="Q1" s="111"/>
      <c r="R1" s="111"/>
      <c r="S1" s="111"/>
      <c r="T1" s="111"/>
      <c r="U1" s="111"/>
      <c r="V1" s="24"/>
      <c r="W1" s="24"/>
      <c r="X1" s="24"/>
      <c r="Y1" s="24"/>
      <c r="Z1" s="24"/>
      <c r="AA1" s="24"/>
      <c r="AB1" s="24"/>
      <c r="AC1" s="24"/>
      <c r="AD1" s="24"/>
      <c r="AE1" s="24"/>
      <c r="AF1" s="24"/>
      <c r="AG1" s="24"/>
      <c r="AH1" s="24"/>
    </row>
    <row r="2" spans="1:34" x14ac:dyDescent="0.2">
      <c r="A2" s="2"/>
      <c r="B2" s="110"/>
      <c r="C2" s="112"/>
      <c r="D2" s="110"/>
      <c r="E2" s="24"/>
      <c r="F2" s="110"/>
      <c r="G2" s="110"/>
      <c r="H2" s="110"/>
      <c r="I2" s="110"/>
      <c r="J2" s="110"/>
      <c r="K2" s="111"/>
      <c r="L2" s="111"/>
      <c r="M2" s="111"/>
      <c r="N2" s="111"/>
      <c r="O2" s="111"/>
      <c r="P2" s="111"/>
      <c r="Q2" s="111"/>
      <c r="R2" s="111"/>
      <c r="S2" s="111"/>
      <c r="T2" s="111"/>
      <c r="U2" s="111"/>
      <c r="V2" s="24"/>
      <c r="W2" s="24"/>
      <c r="X2" s="24"/>
      <c r="Y2" s="24"/>
      <c r="Z2" s="24"/>
      <c r="AA2" s="24"/>
      <c r="AB2" s="24"/>
      <c r="AC2" s="24"/>
      <c r="AD2" s="24"/>
      <c r="AE2" s="24"/>
      <c r="AF2" s="24"/>
      <c r="AG2" s="24"/>
      <c r="AH2" s="24"/>
    </row>
    <row r="3" spans="1:34" ht="20.25" x14ac:dyDescent="0.3">
      <c r="A3" s="2"/>
      <c r="B3" s="110"/>
      <c r="C3" s="112"/>
      <c r="D3" s="110"/>
      <c r="E3" s="185" t="s">
        <v>255</v>
      </c>
      <c r="F3" s="110"/>
      <c r="G3" s="110"/>
      <c r="H3" s="184"/>
      <c r="I3" s="110"/>
      <c r="J3" s="110"/>
      <c r="K3" s="111"/>
      <c r="L3" s="111"/>
      <c r="M3" s="111"/>
      <c r="O3" s="111"/>
      <c r="P3" s="111"/>
      <c r="Q3" s="111"/>
      <c r="R3" s="111"/>
      <c r="S3" s="111"/>
      <c r="T3" s="111"/>
      <c r="U3" s="111"/>
      <c r="V3" s="24"/>
      <c r="W3" s="24"/>
      <c r="X3" s="24"/>
      <c r="Y3" s="24"/>
      <c r="Z3" s="24"/>
      <c r="AA3" s="24"/>
      <c r="AB3" s="24"/>
      <c r="AC3" s="24"/>
      <c r="AD3" s="24"/>
      <c r="AE3" s="24"/>
      <c r="AF3" s="24"/>
      <c r="AG3" s="24"/>
      <c r="AH3" s="24"/>
    </row>
    <row r="4" spans="1:34" ht="13.5" x14ac:dyDescent="0.2">
      <c r="A4" s="2"/>
      <c r="B4" s="110"/>
      <c r="C4" s="112"/>
      <c r="D4" s="110"/>
      <c r="E4" s="197"/>
      <c r="F4" s="197"/>
      <c r="G4" s="110"/>
      <c r="H4" s="110"/>
      <c r="I4" s="110"/>
      <c r="J4" s="110"/>
      <c r="K4" s="111"/>
      <c r="L4" s="111"/>
      <c r="M4" s="111"/>
      <c r="O4" s="111"/>
      <c r="P4" s="111"/>
      <c r="Q4" s="111"/>
      <c r="R4" s="111"/>
      <c r="S4" s="111"/>
      <c r="T4" s="182" t="s">
        <v>250</v>
      </c>
      <c r="U4" s="111"/>
      <c r="V4" s="24"/>
      <c r="W4" s="24"/>
      <c r="X4" s="24"/>
      <c r="Y4" s="24"/>
      <c r="Z4" s="24"/>
      <c r="AA4" s="24"/>
      <c r="AB4" s="24"/>
      <c r="AC4" s="24"/>
      <c r="AD4" s="24"/>
      <c r="AE4" s="24"/>
      <c r="AF4" s="24"/>
      <c r="AG4" s="24"/>
      <c r="AH4" s="24"/>
    </row>
    <row r="5" spans="1:34" ht="15.75" thickBot="1" x14ac:dyDescent="0.25">
      <c r="A5" s="2"/>
      <c r="B5" s="110"/>
      <c r="C5" s="112"/>
      <c r="D5" s="110"/>
      <c r="E5" s="197"/>
      <c r="F5" s="197"/>
      <c r="G5" s="110"/>
      <c r="H5" s="181"/>
      <c r="J5" s="110"/>
      <c r="K5" s="111"/>
      <c r="L5" s="111"/>
      <c r="M5" s="111"/>
      <c r="O5" s="111"/>
      <c r="P5" s="111"/>
      <c r="Q5" s="111"/>
      <c r="R5" s="111"/>
      <c r="S5" s="111"/>
      <c r="T5" s="183" t="s">
        <v>249</v>
      </c>
      <c r="U5" s="111"/>
      <c r="V5" s="24"/>
      <c r="W5" s="24"/>
      <c r="X5" s="24"/>
      <c r="Y5" s="24"/>
      <c r="Z5" s="24"/>
      <c r="AA5" s="24"/>
      <c r="AB5" s="24"/>
      <c r="AC5" s="24"/>
      <c r="AD5" s="24"/>
      <c r="AE5" s="24"/>
      <c r="AF5" s="24"/>
      <c r="AG5" s="24"/>
      <c r="AH5" s="24"/>
    </row>
    <row r="6" spans="1:34" ht="16.5" thickBot="1" x14ac:dyDescent="0.3">
      <c r="A6" s="2"/>
      <c r="B6" s="168" t="s">
        <v>258</v>
      </c>
      <c r="C6" s="112"/>
      <c r="D6" s="113" t="str">
        <f ca="1">SelectedDevice!C39</f>
        <v>2A / 40V  --  SOP-8 (EP) Package</v>
      </c>
      <c r="E6" s="24"/>
      <c r="F6" s="110"/>
      <c r="G6" s="110"/>
      <c r="H6" s="181"/>
      <c r="J6" s="110"/>
      <c r="K6" s="111"/>
      <c r="L6" s="111"/>
      <c r="M6" s="111"/>
      <c r="N6" s="24"/>
      <c r="O6" s="111"/>
      <c r="P6" s="111"/>
      <c r="Q6" s="111"/>
      <c r="R6" s="111"/>
      <c r="S6" s="111"/>
      <c r="T6" s="111"/>
      <c r="U6" s="111"/>
      <c r="V6" s="24"/>
      <c r="W6" s="24"/>
      <c r="X6" s="24"/>
      <c r="Y6" s="24"/>
      <c r="Z6" s="24"/>
      <c r="AA6" s="24"/>
      <c r="AB6" s="24"/>
      <c r="AC6" s="24"/>
      <c r="AD6" s="24"/>
      <c r="AE6" s="24"/>
      <c r="AF6" s="24"/>
      <c r="AG6" s="24"/>
      <c r="AH6" s="24"/>
    </row>
    <row r="7" spans="1:34" x14ac:dyDescent="0.2">
      <c r="A7" s="2"/>
      <c r="B7" s="110"/>
      <c r="C7" s="112"/>
      <c r="D7" s="110"/>
      <c r="E7" s="24"/>
      <c r="F7" s="110"/>
      <c r="G7" s="110"/>
      <c r="H7" s="110"/>
      <c r="I7" s="110"/>
      <c r="J7" s="110"/>
      <c r="K7" s="111"/>
      <c r="L7" s="111"/>
      <c r="M7" s="111"/>
      <c r="N7" s="24"/>
      <c r="O7" s="111"/>
      <c r="P7" s="111"/>
      <c r="Q7" s="111"/>
      <c r="R7" s="111"/>
      <c r="S7" s="111"/>
      <c r="T7" s="111"/>
      <c r="U7" s="111"/>
      <c r="V7" s="24"/>
      <c r="W7" s="24"/>
      <c r="X7" s="24"/>
      <c r="Y7" s="24"/>
      <c r="Z7" s="24"/>
      <c r="AA7" s="24"/>
      <c r="AB7" s="24"/>
      <c r="AC7" s="24"/>
      <c r="AD7" s="24"/>
      <c r="AE7" s="24"/>
      <c r="AF7" s="24"/>
      <c r="AG7" s="24"/>
      <c r="AH7" s="24"/>
    </row>
    <row r="8" spans="1:34" x14ac:dyDescent="0.2">
      <c r="A8" s="2"/>
      <c r="B8" s="110"/>
      <c r="C8" s="112"/>
      <c r="D8" s="110"/>
      <c r="E8" s="110"/>
      <c r="F8" s="110"/>
      <c r="G8" s="110"/>
      <c r="H8" s="110"/>
      <c r="I8" s="110"/>
      <c r="J8" s="110"/>
      <c r="K8" s="111"/>
      <c r="L8" s="111"/>
      <c r="M8" s="111"/>
      <c r="N8" s="24"/>
      <c r="O8" s="111"/>
      <c r="P8" s="111"/>
      <c r="Q8" s="111"/>
      <c r="R8" s="111"/>
      <c r="S8" s="111"/>
      <c r="T8" s="111"/>
      <c r="U8" s="111"/>
      <c r="V8" s="24"/>
      <c r="W8" s="24"/>
      <c r="X8" s="24"/>
      <c r="Y8" s="24"/>
      <c r="Z8" s="24"/>
      <c r="AA8" s="24"/>
      <c r="AB8" s="24"/>
      <c r="AC8" s="24"/>
      <c r="AD8" s="24"/>
      <c r="AE8" s="24"/>
      <c r="AF8" s="24"/>
      <c r="AG8" s="24"/>
      <c r="AH8" s="24"/>
    </row>
    <row r="9" spans="1:34" ht="18" x14ac:dyDescent="0.25">
      <c r="A9" s="2"/>
      <c r="B9" s="114" t="s">
        <v>96</v>
      </c>
      <c r="C9" s="115"/>
      <c r="D9" s="114"/>
      <c r="E9" s="114"/>
      <c r="F9" s="114" t="s">
        <v>95</v>
      </c>
      <c r="G9" s="110"/>
      <c r="H9" s="110"/>
      <c r="I9" s="110"/>
      <c r="J9" s="110"/>
      <c r="K9" s="111"/>
      <c r="L9" s="114"/>
      <c r="M9" s="114"/>
      <c r="N9" s="114"/>
      <c r="O9" s="111"/>
      <c r="P9" s="111"/>
      <c r="Q9" s="111"/>
      <c r="R9" s="111"/>
      <c r="S9" s="111"/>
      <c r="T9" s="111"/>
      <c r="U9" s="111"/>
      <c r="V9" s="24"/>
      <c r="W9" s="24"/>
      <c r="X9" s="24"/>
      <c r="Y9" s="24"/>
      <c r="Z9" s="24"/>
      <c r="AA9" s="24"/>
      <c r="AB9" s="24"/>
      <c r="AC9" s="24"/>
      <c r="AD9" s="24"/>
      <c r="AE9" s="24"/>
      <c r="AF9" s="24"/>
      <c r="AG9" s="24"/>
      <c r="AH9" s="24"/>
    </row>
    <row r="10" spans="1:34" ht="13.5" thickBot="1" x14ac:dyDescent="0.25">
      <c r="A10" s="2"/>
      <c r="B10" s="27"/>
      <c r="C10" s="116"/>
      <c r="D10" s="27"/>
      <c r="E10" s="27"/>
      <c r="F10" s="111"/>
      <c r="G10" s="111"/>
      <c r="H10" s="111"/>
      <c r="I10" s="104"/>
      <c r="J10" s="24"/>
      <c r="K10" s="111"/>
      <c r="L10" s="111"/>
      <c r="M10" s="111"/>
      <c r="N10" s="111"/>
      <c r="O10" s="111"/>
      <c r="P10" s="111"/>
      <c r="Q10" s="111"/>
      <c r="R10" s="111"/>
      <c r="S10" s="111"/>
      <c r="T10" s="111"/>
      <c r="U10" s="111"/>
      <c r="V10" s="24"/>
      <c r="W10" s="24"/>
      <c r="X10" s="24"/>
      <c r="Y10" s="24"/>
      <c r="Z10" s="24"/>
      <c r="AA10" s="24"/>
      <c r="AB10" s="24"/>
      <c r="AC10" s="24"/>
      <c r="AD10" s="24"/>
      <c r="AE10" s="24"/>
      <c r="AF10" s="24"/>
      <c r="AG10" s="24"/>
      <c r="AH10" s="24"/>
    </row>
    <row r="11" spans="1:34" ht="13.5" thickBot="1" x14ac:dyDescent="0.25">
      <c r="A11" s="2"/>
      <c r="B11" s="194" t="s">
        <v>54</v>
      </c>
      <c r="C11" s="195"/>
      <c r="D11" s="196"/>
      <c r="E11" s="25"/>
      <c r="F11" s="78" t="s">
        <v>20</v>
      </c>
      <c r="G11" s="117"/>
      <c r="H11" s="118"/>
      <c r="I11" s="80"/>
      <c r="J11" s="81"/>
      <c r="K11" s="24"/>
      <c r="L11" s="119" t="s">
        <v>23</v>
      </c>
      <c r="M11" s="24"/>
      <c r="N11" s="120" t="s">
        <v>38</v>
      </c>
      <c r="O11" s="24"/>
      <c r="P11" s="121" t="s">
        <v>206</v>
      </c>
      <c r="Q11" s="28"/>
      <c r="R11" s="119" t="s">
        <v>207</v>
      </c>
      <c r="S11" s="27"/>
      <c r="T11" s="121" t="s">
        <v>52</v>
      </c>
      <c r="U11" s="27"/>
      <c r="V11" s="24"/>
      <c r="W11" s="24"/>
      <c r="X11" s="24"/>
      <c r="Y11" s="24"/>
      <c r="Z11" s="24"/>
      <c r="AA11" s="24"/>
      <c r="AB11" s="24"/>
      <c r="AC11" s="24"/>
      <c r="AD11" s="24"/>
      <c r="AE11" s="24"/>
      <c r="AF11" s="24"/>
      <c r="AG11" s="24"/>
      <c r="AH11" s="24"/>
    </row>
    <row r="12" spans="1:34" x14ac:dyDescent="0.2">
      <c r="A12" s="3"/>
      <c r="B12" s="109" t="s">
        <v>55</v>
      </c>
      <c r="C12" s="156">
        <v>20</v>
      </c>
      <c r="D12" s="122" t="s">
        <v>0</v>
      </c>
      <c r="E12" s="77" t="str">
        <f ca="1">IF(C12&gt;Vin_rx,"Vin too large",IF(C12&lt;Vin_rn,"Vin too small",CONCATENATE("Vin from ",SelectedDevice!N2)))</f>
        <v>Vin from 4.5 to 40V</v>
      </c>
      <c r="F12" s="123" t="s">
        <v>9</v>
      </c>
      <c r="G12" s="124">
        <f ca="1">Calculations!B2</f>
        <v>1.1077413701100485</v>
      </c>
      <c r="H12" s="125" t="s">
        <v>35</v>
      </c>
      <c r="I12" s="126" t="str">
        <f ca="1">IF(Calculations!B2&lt;0.5,"Turn on time less than recommended!","")</f>
        <v/>
      </c>
      <c r="J12" s="76"/>
      <c r="K12" s="24"/>
      <c r="L12" s="127">
        <f>C12</f>
        <v>20</v>
      </c>
      <c r="M12" s="24"/>
      <c r="N12" s="128">
        <f>C16</f>
        <v>0.1</v>
      </c>
      <c r="O12" s="24"/>
      <c r="P12" s="129">
        <f>C13</f>
        <v>3</v>
      </c>
      <c r="Q12" s="29"/>
      <c r="R12" s="127">
        <f>C14*C13</f>
        <v>9.3990000000000009</v>
      </c>
      <c r="S12" s="30"/>
      <c r="T12" s="32" t="s">
        <v>53</v>
      </c>
      <c r="U12" s="30"/>
      <c r="V12" s="24"/>
      <c r="W12" s="24"/>
      <c r="X12" s="24"/>
      <c r="Y12" s="24"/>
      <c r="Z12" s="24"/>
      <c r="AA12" s="24"/>
      <c r="AB12" s="24"/>
      <c r="AC12" s="24"/>
      <c r="AD12" s="24"/>
      <c r="AE12" s="24"/>
      <c r="AF12" s="24"/>
      <c r="AG12" s="24"/>
      <c r="AH12" s="24"/>
    </row>
    <row r="13" spans="1:34" x14ac:dyDescent="0.2">
      <c r="A13" s="5"/>
      <c r="B13" s="109" t="s">
        <v>205</v>
      </c>
      <c r="C13" s="157">
        <v>3</v>
      </c>
      <c r="D13" s="130"/>
      <c r="E13" s="77" t="str">
        <f>IF(C13&gt;Calculations!R46, "Too many LEDs for Vin!", CONCATENATE("Integer from 1 to ",Calculations!R46))</f>
        <v>Integer from 1 to 5</v>
      </c>
      <c r="F13" s="109" t="s">
        <v>10</v>
      </c>
      <c r="G13" s="131">
        <f ca="1">Calculations!B3</f>
        <v>1.1262580470984951</v>
      </c>
      <c r="H13" s="132" t="s">
        <v>35</v>
      </c>
      <c r="I13" s="126" t="str">
        <f ca="1">IF(Calculations!B3&lt;0.2,"Turn off time too low!","")</f>
        <v/>
      </c>
      <c r="J13" s="76"/>
      <c r="K13" s="24"/>
      <c r="L13" s="133" t="s">
        <v>0</v>
      </c>
      <c r="M13" s="24"/>
      <c r="N13" s="134" t="s">
        <v>1</v>
      </c>
      <c r="O13" s="24"/>
      <c r="P13" s="135"/>
      <c r="Q13" s="136"/>
      <c r="R13" s="133" t="s">
        <v>0</v>
      </c>
      <c r="S13" s="24"/>
      <c r="T13" s="84">
        <f ca="1">Calculations!B9</f>
        <v>1024.7942170896158</v>
      </c>
      <c r="U13" s="27"/>
      <c r="V13" s="24"/>
      <c r="W13" s="24"/>
      <c r="X13" s="24"/>
      <c r="Y13" s="24"/>
      <c r="Z13" s="24"/>
      <c r="AA13" s="24"/>
      <c r="AB13" s="24"/>
      <c r="AC13" s="24"/>
      <c r="AD13" s="24"/>
      <c r="AE13" s="24"/>
      <c r="AF13" s="24"/>
      <c r="AG13" s="24"/>
      <c r="AH13" s="24"/>
    </row>
    <row r="14" spans="1:34" x14ac:dyDescent="0.2">
      <c r="A14" s="3"/>
      <c r="B14" s="109" t="s">
        <v>56</v>
      </c>
      <c r="C14" s="158">
        <v>3.133</v>
      </c>
      <c r="D14" s="122" t="s">
        <v>0</v>
      </c>
      <c r="E14" s="137" t="str">
        <f ca="1">IF(C14*C13&gt;(C12-1.2), "Total LED voltage too high!", CONCATENATE("Typically ",SelectedDevice!N4))</f>
        <v>Typically 3V</v>
      </c>
      <c r="F14" s="109" t="s">
        <v>63</v>
      </c>
      <c r="G14" s="131">
        <f ca="1">Calculations!B4</f>
        <v>0.49585571132073442</v>
      </c>
      <c r="H14" s="138"/>
      <c r="I14" s="126" t="str">
        <f ca="1">IF(Calculations!B4&lt;0.25,"Less than recommended!", IF(Calculations!B4&gt;0.75, "Greater than recommended!", ""))</f>
        <v/>
      </c>
      <c r="J14" s="76"/>
      <c r="K14" s="81"/>
      <c r="L14" s="82"/>
      <c r="M14" s="31"/>
      <c r="N14" s="31"/>
      <c r="O14" s="82"/>
      <c r="P14" s="87"/>
      <c r="Q14" s="87"/>
      <c r="R14" s="31"/>
      <c r="S14" s="24"/>
      <c r="T14" s="88" t="s">
        <v>4</v>
      </c>
      <c r="U14" s="106"/>
      <c r="V14" s="24"/>
      <c r="W14" s="24"/>
      <c r="X14" s="24"/>
      <c r="Y14" s="24"/>
      <c r="Z14" s="24"/>
      <c r="AA14" s="24"/>
      <c r="AB14" s="24"/>
      <c r="AC14" s="24"/>
      <c r="AD14" s="24"/>
      <c r="AE14" s="24"/>
      <c r="AF14" s="24"/>
      <c r="AG14" s="24"/>
      <c r="AH14" s="24"/>
    </row>
    <row r="15" spans="1:34" ht="13.5" thickBot="1" x14ac:dyDescent="0.25">
      <c r="A15" s="4"/>
      <c r="B15" s="109" t="s">
        <v>2</v>
      </c>
      <c r="C15" s="158">
        <v>0.4</v>
      </c>
      <c r="D15" s="122" t="s">
        <v>0</v>
      </c>
      <c r="E15" s="25" t="str">
        <f ca="1">IF(C15&gt;VF_fx,"Vf too large",IF(C15&lt;VF_fn,"Vf too small",CONCATENATE("Typically ",SelectedDevice!N5)))</f>
        <v>Typically 0.4V</v>
      </c>
      <c r="F15" s="107" t="s">
        <v>64</v>
      </c>
      <c r="G15" s="139">
        <f ca="1">Calculations!B5</f>
        <v>447.62769063276352</v>
      </c>
      <c r="H15" s="138" t="s">
        <v>3</v>
      </c>
      <c r="I15" s="126" t="str">
        <f ca="1">IF(Calculations!B5&gt;1000,"Above recommended maximum!","")</f>
        <v/>
      </c>
      <c r="J15" s="76"/>
      <c r="K15" s="81"/>
      <c r="L15" s="82"/>
      <c r="M15" s="82"/>
      <c r="N15" s="82"/>
      <c r="O15" s="82"/>
      <c r="P15" s="87"/>
      <c r="Q15" s="87"/>
      <c r="R15" s="24"/>
      <c r="S15" s="24"/>
      <c r="T15" s="24"/>
      <c r="U15" s="106"/>
      <c r="V15" s="24"/>
      <c r="W15" s="24"/>
      <c r="X15" s="24"/>
      <c r="Y15" s="24"/>
      <c r="Z15" s="24"/>
      <c r="AA15" s="24"/>
      <c r="AB15" s="24"/>
      <c r="AC15" s="24"/>
      <c r="AD15" s="24"/>
      <c r="AE15" s="24"/>
      <c r="AF15" s="24"/>
      <c r="AG15" s="24"/>
      <c r="AH15" s="24"/>
    </row>
    <row r="16" spans="1:34" ht="13.5" thickBot="1" x14ac:dyDescent="0.25">
      <c r="A16" s="4"/>
      <c r="B16" s="109" t="s">
        <v>47</v>
      </c>
      <c r="C16" s="159">
        <v>0.1</v>
      </c>
      <c r="D16" s="130" t="s">
        <v>1</v>
      </c>
      <c r="E16" s="140" t="str">
        <f ca="1">IF(C16&gt;Rs_fx,"Rs too large",IF(C16&lt;Rs_fn,"Rs too small",CONCATENATE("Typically ",SelectedDevice!N6)))</f>
        <v>Typically 0.05 to 0.5Ω</v>
      </c>
      <c r="F16" s="141" t="s">
        <v>65</v>
      </c>
      <c r="G16" s="142"/>
      <c r="H16" s="79"/>
      <c r="I16" s="126"/>
      <c r="J16" s="76"/>
      <c r="K16" s="81"/>
      <c r="L16" s="82"/>
      <c r="M16" s="82"/>
      <c r="N16" s="82"/>
      <c r="O16" s="82"/>
      <c r="P16" s="87"/>
      <c r="Q16" s="87"/>
      <c r="R16" s="24"/>
      <c r="S16" s="24"/>
      <c r="T16" s="120" t="s">
        <v>39</v>
      </c>
      <c r="U16" s="106"/>
      <c r="V16" s="24"/>
      <c r="W16" s="24"/>
      <c r="X16" s="24"/>
      <c r="Y16" s="24"/>
      <c r="Z16" s="24"/>
      <c r="AA16" s="24"/>
      <c r="AB16" s="24"/>
      <c r="AC16" s="24"/>
      <c r="AD16" s="24"/>
      <c r="AE16" s="24"/>
      <c r="AF16" s="24"/>
      <c r="AG16" s="24"/>
      <c r="AH16" s="24"/>
    </row>
    <row r="17" spans="1:34" x14ac:dyDescent="0.2">
      <c r="A17" s="4"/>
      <c r="B17" s="109" t="s">
        <v>57</v>
      </c>
      <c r="C17" s="156">
        <v>33</v>
      </c>
      <c r="D17" s="130" t="s">
        <v>36</v>
      </c>
      <c r="E17" s="25" t="str">
        <f ca="1">IF(C17&lt;L_fn, "L too small!",IF(C17&gt;L_fx, "L too large!", CONCATENATE("Typically ",SelectedDevice!N7)))</f>
        <v>Typically 22 to 1000µH</v>
      </c>
      <c r="F17" s="105" t="s">
        <v>45</v>
      </c>
      <c r="G17" s="93">
        <f ca="1">Calculations!B6</f>
        <v>1194.6676781744063</v>
      </c>
      <c r="H17" s="125" t="s">
        <v>4</v>
      </c>
      <c r="I17" s="126"/>
      <c r="J17" s="76"/>
      <c r="K17" s="81"/>
      <c r="L17" s="82"/>
      <c r="M17" s="82"/>
      <c r="N17" s="82"/>
      <c r="O17" s="82"/>
      <c r="P17" s="87"/>
      <c r="Q17" s="87"/>
      <c r="R17" s="24"/>
      <c r="S17" s="24"/>
      <c r="T17" s="143">
        <f>C17</f>
        <v>33</v>
      </c>
      <c r="U17" s="106"/>
      <c r="V17" s="24"/>
      <c r="W17" s="24"/>
      <c r="X17" s="24"/>
      <c r="Y17" s="24"/>
      <c r="Z17" s="24"/>
      <c r="AA17" s="24"/>
      <c r="AB17" s="24"/>
      <c r="AC17" s="24"/>
      <c r="AD17" s="24"/>
      <c r="AE17" s="24"/>
      <c r="AF17" s="24"/>
      <c r="AG17" s="24"/>
      <c r="AH17" s="24"/>
    </row>
    <row r="18" spans="1:34" x14ac:dyDescent="0.2">
      <c r="A18" s="4"/>
      <c r="B18" s="109" t="s">
        <v>58</v>
      </c>
      <c r="C18" s="158">
        <v>0.06</v>
      </c>
      <c r="D18" s="130" t="s">
        <v>1</v>
      </c>
      <c r="E18" s="25" t="str">
        <f ca="1">IF(C18&lt;rL_fn,"Coil resistance too low!",IF(C18&gt;rL_fx,"Coil resistance too high!",CONCATENATE("Typically ",SelectedDevice!N8)))</f>
        <v>Typically 0.1 to 1Ω</v>
      </c>
      <c r="F18" s="109" t="s">
        <v>43</v>
      </c>
      <c r="G18" s="144">
        <f ca="1">Calculations!B7</f>
        <v>854.64286241525906</v>
      </c>
      <c r="H18" s="132" t="s">
        <v>4</v>
      </c>
      <c r="I18" s="126"/>
      <c r="J18" s="76"/>
      <c r="K18" s="81"/>
      <c r="L18" s="82"/>
      <c r="M18" s="82"/>
      <c r="N18" s="82"/>
      <c r="O18" s="82"/>
      <c r="P18" s="87"/>
      <c r="Q18" s="87"/>
      <c r="R18" s="24"/>
      <c r="S18" s="24"/>
      <c r="T18" s="145" t="s">
        <v>36</v>
      </c>
      <c r="U18" s="106"/>
      <c r="V18" s="24"/>
      <c r="W18" s="24"/>
      <c r="X18" s="24"/>
      <c r="Y18" s="24"/>
      <c r="Z18" s="24"/>
      <c r="AA18" s="24"/>
      <c r="AB18" s="24"/>
      <c r="AC18" s="24"/>
      <c r="AD18" s="24"/>
      <c r="AE18" s="24"/>
      <c r="AF18" s="24"/>
      <c r="AG18" s="24"/>
      <c r="AH18" s="24"/>
    </row>
    <row r="19" spans="1:34" x14ac:dyDescent="0.2">
      <c r="A19" s="4"/>
      <c r="B19" s="92" t="s">
        <v>26</v>
      </c>
      <c r="C19" s="160">
        <v>25</v>
      </c>
      <c r="D19" s="146" t="s">
        <v>37</v>
      </c>
      <c r="E19" s="77" t="str">
        <f ca="1">IF(C19&lt;Tamb_fn, "Temp too low!",IF(C19&gt;Tamb_fx, "Temp too high!", SelectedDevice!N9))</f>
        <v>-40 to 85°C</v>
      </c>
      <c r="F19" s="109" t="s">
        <v>66</v>
      </c>
      <c r="G19" s="144">
        <f ca="1">Calculations!B8</f>
        <v>340.02481575914726</v>
      </c>
      <c r="H19" s="132" t="s">
        <v>4</v>
      </c>
      <c r="I19" s="147" t="str">
        <f ca="1">IF(G18&lt;0, "Increase inductance value!"," ")</f>
        <v xml:space="preserve"> </v>
      </c>
      <c r="J19" s="81"/>
      <c r="K19" s="81"/>
      <c r="L19" s="82"/>
      <c r="M19" s="82"/>
      <c r="N19" s="24"/>
      <c r="O19" s="82"/>
      <c r="P19" s="87"/>
      <c r="Q19" s="87"/>
      <c r="R19" s="24"/>
      <c r="S19" s="24"/>
      <c r="T19" s="75"/>
      <c r="U19" s="106"/>
      <c r="V19" s="24"/>
      <c r="W19" s="24"/>
      <c r="X19" s="24"/>
      <c r="Y19" s="24"/>
      <c r="Z19" s="24"/>
      <c r="AA19" s="24"/>
      <c r="AB19" s="24"/>
      <c r="AC19" s="24"/>
      <c r="AD19" s="24"/>
      <c r="AE19" s="24"/>
      <c r="AF19" s="24"/>
      <c r="AG19" s="24"/>
      <c r="AH19" s="24"/>
    </row>
    <row r="20" spans="1:34" ht="13.5" thickBot="1" x14ac:dyDescent="0.25">
      <c r="A20" s="4"/>
      <c r="B20" s="107" t="s">
        <v>228</v>
      </c>
      <c r="C20" s="161">
        <v>2.5</v>
      </c>
      <c r="D20" s="148" t="s">
        <v>0</v>
      </c>
      <c r="E20" s="77" t="str">
        <f ca="1">IF(C20&lt;Vadj_fn, "VSET too low!",IF(C20&gt;Vadj_fx, "VSET too high!", CONCATENATE("Typically ",SelectedDevice!N16)))</f>
        <v>Typically 0.3 to 2.5V</v>
      </c>
      <c r="F20" s="101" t="s">
        <v>46</v>
      </c>
      <c r="G20" s="139">
        <f ca="1">Calculations!B9</f>
        <v>1024.7942170896158</v>
      </c>
      <c r="H20" s="149" t="s">
        <v>4</v>
      </c>
      <c r="I20" s="80" t="str">
        <f ca="1">IF(Calculations!B9&gt;Iavg_fx, "LED current too high!","")</f>
        <v/>
      </c>
      <c r="J20" s="81"/>
      <c r="K20" s="81"/>
      <c r="L20" s="82"/>
      <c r="M20" s="82"/>
      <c r="N20" s="82" t="str">
        <f ca="1">SelectedDevice!A1</f>
        <v>PAM2863ECR</v>
      </c>
      <c r="O20" s="24"/>
      <c r="P20" s="87"/>
      <c r="Q20" s="87"/>
      <c r="R20" s="24"/>
      <c r="S20" s="24"/>
      <c r="T20" s="32" t="s">
        <v>208</v>
      </c>
      <c r="U20" s="85"/>
      <c r="V20" s="24"/>
      <c r="W20" s="24"/>
      <c r="X20" s="24"/>
      <c r="Y20" s="24"/>
      <c r="Z20" s="24"/>
      <c r="AA20" s="24"/>
      <c r="AB20" s="24"/>
      <c r="AC20" s="24"/>
      <c r="AD20" s="24"/>
      <c r="AE20" s="24"/>
      <c r="AF20" s="24"/>
      <c r="AG20" s="24"/>
      <c r="AH20" s="24"/>
    </row>
    <row r="21" spans="1:34" ht="13.5" thickBot="1" x14ac:dyDescent="0.25">
      <c r="A21" s="4"/>
      <c r="B21" s="24"/>
      <c r="C21" s="24"/>
      <c r="D21" s="24"/>
      <c r="E21" s="170" t="s">
        <v>229</v>
      </c>
      <c r="F21" s="78" t="s">
        <v>22</v>
      </c>
      <c r="G21" s="150"/>
      <c r="H21" s="79"/>
      <c r="I21" s="80"/>
      <c r="J21" s="81"/>
      <c r="K21" s="81"/>
      <c r="L21" s="82"/>
      <c r="M21" s="82"/>
      <c r="N21" s="82"/>
      <c r="O21" s="24"/>
      <c r="P21" s="83"/>
      <c r="Q21" s="83"/>
      <c r="R21" s="24"/>
      <c r="S21" s="24"/>
      <c r="T21" s="84">
        <f ca="1">G15</f>
        <v>447.62769063276352</v>
      </c>
      <c r="U21" s="85"/>
      <c r="V21" s="24"/>
      <c r="W21" s="24"/>
      <c r="X21" s="24"/>
      <c r="Y21" s="24"/>
      <c r="Z21" s="24"/>
      <c r="AA21" s="24"/>
      <c r="AB21" s="24"/>
      <c r="AC21" s="24"/>
      <c r="AD21" s="24"/>
      <c r="AE21" s="24"/>
      <c r="AF21" s="24"/>
      <c r="AG21" s="24"/>
      <c r="AH21" s="24"/>
    </row>
    <row r="22" spans="1:34" ht="13.5" thickBot="1" x14ac:dyDescent="0.25">
      <c r="A22" s="4"/>
      <c r="B22" s="24"/>
      <c r="C22" s="24"/>
      <c r="D22" s="24"/>
      <c r="E22" s="24"/>
      <c r="F22" s="123" t="s">
        <v>67</v>
      </c>
      <c r="G22" s="151">
        <f ca="1">ABS(Calculations!B11)</f>
        <v>9.6320408464252996</v>
      </c>
      <c r="H22" s="125" t="s">
        <v>11</v>
      </c>
      <c r="I22" s="80"/>
      <c r="J22" s="86"/>
      <c r="K22" s="81"/>
      <c r="L22" s="82"/>
      <c r="M22" s="82"/>
      <c r="N22" s="82"/>
      <c r="O22" s="82"/>
      <c r="P22" s="87"/>
      <c r="Q22" s="87"/>
      <c r="R22" s="24"/>
      <c r="S22" s="24"/>
      <c r="T22" s="88" t="s">
        <v>3</v>
      </c>
      <c r="U22" s="89"/>
      <c r="V22" s="24"/>
      <c r="W22" s="24"/>
      <c r="X22" s="24"/>
      <c r="Y22" s="24"/>
      <c r="Z22" s="24"/>
      <c r="AA22" s="24"/>
      <c r="AB22" s="24"/>
      <c r="AC22" s="24"/>
      <c r="AD22" s="24"/>
      <c r="AE22" s="24"/>
      <c r="AF22" s="24"/>
      <c r="AG22" s="24"/>
      <c r="AH22" s="24"/>
    </row>
    <row r="23" spans="1:34" ht="13.5" thickBot="1" x14ac:dyDescent="0.25">
      <c r="A23" s="4"/>
      <c r="B23" s="78" t="s">
        <v>149</v>
      </c>
      <c r="C23" s="90"/>
      <c r="D23" s="79"/>
      <c r="E23" s="77"/>
      <c r="F23" s="109" t="s">
        <v>68</v>
      </c>
      <c r="G23" s="144">
        <f>ABS(Calculations!E36)</f>
        <v>900</v>
      </c>
      <c r="H23" s="132" t="s">
        <v>34</v>
      </c>
      <c r="I23" s="80"/>
      <c r="J23" s="86"/>
      <c r="K23" s="81"/>
      <c r="L23" s="81"/>
      <c r="M23" s="81"/>
      <c r="N23" s="81"/>
      <c r="O23" s="81"/>
      <c r="P23" s="27"/>
      <c r="Q23" s="27"/>
      <c r="R23" s="91"/>
      <c r="S23" s="82"/>
      <c r="T23" s="24"/>
      <c r="U23" s="89"/>
      <c r="V23" s="24"/>
      <c r="W23" s="24"/>
      <c r="X23" s="24"/>
      <c r="Y23" s="24"/>
      <c r="Z23" s="24"/>
      <c r="AA23" s="24"/>
      <c r="AB23" s="24"/>
      <c r="AC23" s="24"/>
      <c r="AD23" s="24"/>
      <c r="AE23" s="24"/>
      <c r="AF23" s="24"/>
      <c r="AG23" s="24"/>
      <c r="AH23" s="24"/>
    </row>
    <row r="24" spans="1:34" x14ac:dyDescent="0.2">
      <c r="A24" s="4"/>
      <c r="B24" s="92" t="s">
        <v>27</v>
      </c>
      <c r="C24" s="93">
        <v>45</v>
      </c>
      <c r="D24" s="94" t="s">
        <v>28</v>
      </c>
      <c r="E24" s="77"/>
      <c r="F24" s="109" t="s">
        <v>12</v>
      </c>
      <c r="G24" s="144">
        <f ca="1">ABS(Calculations!B12)</f>
        <v>156.22477455293114</v>
      </c>
      <c r="H24" s="132" t="s">
        <v>13</v>
      </c>
      <c r="I24" s="80"/>
      <c r="J24" s="27"/>
      <c r="K24" s="86"/>
      <c r="L24" s="86"/>
      <c r="M24" s="86"/>
      <c r="N24" s="86"/>
      <c r="O24" s="86"/>
      <c r="P24" s="27"/>
      <c r="Q24" s="27"/>
      <c r="R24" s="91"/>
      <c r="S24" s="82"/>
      <c r="T24" s="95"/>
      <c r="U24" s="89"/>
      <c r="V24" s="24"/>
      <c r="W24" s="24"/>
      <c r="X24" s="24"/>
      <c r="Y24" s="24"/>
      <c r="Z24" s="24"/>
      <c r="AA24" s="24"/>
      <c r="AB24" s="24"/>
      <c r="AC24" s="24"/>
      <c r="AD24" s="24"/>
      <c r="AE24" s="24"/>
      <c r="AF24" s="24"/>
      <c r="AG24" s="24"/>
      <c r="AH24" s="24"/>
    </row>
    <row r="25" spans="1:34" x14ac:dyDescent="0.2">
      <c r="A25" s="4"/>
      <c r="B25" s="92" t="s">
        <v>29</v>
      </c>
      <c r="C25" s="93">
        <v>45</v>
      </c>
      <c r="D25" s="94" t="s">
        <v>28</v>
      </c>
      <c r="E25" s="77"/>
      <c r="F25" s="109" t="s">
        <v>14</v>
      </c>
      <c r="G25" s="144">
        <f ca="1">ABS(Calculations!B13)</f>
        <v>143.35665035870224</v>
      </c>
      <c r="H25" s="132" t="s">
        <v>13</v>
      </c>
      <c r="I25" s="80"/>
      <c r="J25" s="27"/>
      <c r="K25" s="86"/>
      <c r="L25" s="86"/>
      <c r="M25" s="86"/>
      <c r="N25" s="86"/>
      <c r="O25" s="86"/>
      <c r="P25" s="27"/>
      <c r="Q25" s="27"/>
      <c r="R25" s="91"/>
      <c r="S25" s="82"/>
      <c r="T25" s="96"/>
      <c r="U25" s="97"/>
      <c r="V25" s="24"/>
      <c r="W25" s="24"/>
      <c r="X25" s="24"/>
      <c r="Y25" s="24"/>
      <c r="Z25" s="24"/>
      <c r="AA25" s="24"/>
      <c r="AB25" s="24"/>
      <c r="AC25" s="24"/>
      <c r="AD25" s="24"/>
      <c r="AE25" s="24"/>
      <c r="AF25" s="24"/>
      <c r="AG25" s="24"/>
      <c r="AH25" s="24"/>
    </row>
    <row r="26" spans="1:34" x14ac:dyDescent="0.2">
      <c r="A26" s="3"/>
      <c r="B26" s="92" t="s">
        <v>59</v>
      </c>
      <c r="C26" s="93">
        <f ca="1">SelectedDevice!E12</f>
        <v>30</v>
      </c>
      <c r="D26" s="94" t="s">
        <v>28</v>
      </c>
      <c r="E26" s="77"/>
      <c r="F26" s="109" t="s">
        <v>15</v>
      </c>
      <c r="G26" s="144">
        <f ca="1">ABS(Calculations!E39)</f>
        <v>309.68142491163337</v>
      </c>
      <c r="H26" s="132" t="s">
        <v>13</v>
      </c>
      <c r="I26" s="152" t="str">
        <f ca="1">IF(OR(SelectedDevice!A1=Calculations!A19,SelectedDevice!A1=Calculations!A20),IF(G26&gt;450,"Chip power too high!",""),IF(OR(SelectedDevice!A1=Calculations!A21,SelectedDevice!A1=Calculations!A23,SelectedDevice!A1=Calculations!A24, SelectedDevice!A1=Calculations!A26),IF(G26&gt;1000,"Chip power too high!",""),IF(G26&gt;1500,"Chip power too high!","")))</f>
        <v/>
      </c>
      <c r="J26" s="27"/>
      <c r="K26" s="27"/>
      <c r="L26" s="27"/>
      <c r="M26" s="86"/>
      <c r="N26" s="86"/>
      <c r="O26" s="86"/>
      <c r="P26" s="27"/>
      <c r="Q26" s="27"/>
      <c r="R26" s="91"/>
      <c r="S26" s="82"/>
      <c r="T26" s="95"/>
      <c r="U26" s="89"/>
      <c r="V26" s="24"/>
      <c r="W26" s="24"/>
      <c r="X26" s="24"/>
      <c r="Y26" s="24"/>
      <c r="Z26" s="24"/>
      <c r="AA26" s="24"/>
      <c r="AB26" s="24"/>
      <c r="AC26" s="24"/>
      <c r="AD26" s="24"/>
      <c r="AE26" s="24"/>
      <c r="AF26" s="24"/>
      <c r="AG26" s="24"/>
      <c r="AH26" s="24"/>
    </row>
    <row r="27" spans="1:34" x14ac:dyDescent="0.2">
      <c r="A27" s="4"/>
      <c r="B27" s="92" t="s">
        <v>60</v>
      </c>
      <c r="C27" s="93">
        <f ca="1">SelectedDevice!E13</f>
        <v>35</v>
      </c>
      <c r="D27" s="94" t="s">
        <v>28</v>
      </c>
      <c r="E27" s="77"/>
      <c r="F27" s="109" t="s">
        <v>16</v>
      </c>
      <c r="G27" s="144">
        <f ca="1">ABS(Calculations!E40)</f>
        <v>206.65766064690766</v>
      </c>
      <c r="H27" s="132" t="s">
        <v>13</v>
      </c>
      <c r="I27" s="80"/>
      <c r="J27" s="27"/>
      <c r="K27" s="27"/>
      <c r="L27" s="27"/>
      <c r="M27" s="86"/>
      <c r="N27" s="86"/>
      <c r="O27" s="86"/>
      <c r="P27" s="27"/>
      <c r="Q27" s="27"/>
      <c r="R27" s="91"/>
      <c r="S27" s="82"/>
      <c r="T27" s="95"/>
      <c r="U27" s="89"/>
      <c r="V27" s="24"/>
      <c r="W27" s="24"/>
      <c r="X27" s="24"/>
      <c r="Y27" s="24"/>
      <c r="Z27" s="24"/>
      <c r="AA27" s="24"/>
      <c r="AB27" s="24"/>
      <c r="AC27" s="24"/>
      <c r="AD27" s="24"/>
      <c r="AE27" s="24"/>
      <c r="AF27" s="24"/>
      <c r="AG27" s="24"/>
      <c r="AH27" s="24"/>
    </row>
    <row r="28" spans="1:34" x14ac:dyDescent="0.2">
      <c r="A28" s="4"/>
      <c r="B28" s="92" t="s">
        <v>204</v>
      </c>
      <c r="C28" s="93">
        <f ca="1">SelectedDevice!E14</f>
        <v>0.3</v>
      </c>
      <c r="D28" s="94" t="s">
        <v>1</v>
      </c>
      <c r="E28" s="77"/>
      <c r="F28" s="109" t="s">
        <v>17</v>
      </c>
      <c r="G28" s="144">
        <f ca="1">(Calculations!E41)</f>
        <v>105.02031873803186</v>
      </c>
      <c r="H28" s="132" t="s">
        <v>13</v>
      </c>
      <c r="I28" s="80"/>
      <c r="J28" s="98"/>
      <c r="K28" s="27"/>
      <c r="L28" s="27"/>
      <c r="M28" s="99"/>
      <c r="N28" s="86"/>
      <c r="O28" s="86"/>
      <c r="P28" s="27"/>
      <c r="Q28" s="27"/>
      <c r="R28" s="91"/>
      <c r="S28" s="82"/>
      <c r="T28" s="95"/>
      <c r="U28" s="89"/>
      <c r="V28" s="24"/>
      <c r="W28" s="24"/>
      <c r="X28" s="24"/>
      <c r="Y28" s="24"/>
      <c r="Z28" s="24"/>
      <c r="AA28" s="24"/>
      <c r="AB28" s="24"/>
      <c r="AC28" s="24"/>
      <c r="AD28" s="24"/>
      <c r="AE28" s="24"/>
      <c r="AF28" s="24"/>
      <c r="AG28" s="24"/>
      <c r="AH28" s="24"/>
    </row>
    <row r="29" spans="1:34" x14ac:dyDescent="0.2">
      <c r="A29" s="4"/>
      <c r="B29" s="92" t="s">
        <v>62</v>
      </c>
      <c r="C29" s="100">
        <f ca="1">SelectedDevice!E15</f>
        <v>90</v>
      </c>
      <c r="D29" s="94" t="s">
        <v>33</v>
      </c>
      <c r="E29" s="77"/>
      <c r="F29" s="109" t="s">
        <v>19</v>
      </c>
      <c r="G29" s="144">
        <f ca="1">(Calculations!B15)</f>
        <v>63.012191242819107</v>
      </c>
      <c r="H29" s="132" t="s">
        <v>13</v>
      </c>
      <c r="I29" s="80"/>
      <c r="J29" s="98"/>
      <c r="K29" s="27"/>
      <c r="L29" s="27"/>
      <c r="M29" s="27"/>
      <c r="N29" s="27"/>
      <c r="O29" s="27"/>
      <c r="P29" s="27"/>
      <c r="Q29" s="27"/>
      <c r="R29" s="91"/>
      <c r="S29" s="82"/>
      <c r="T29" s="95"/>
      <c r="U29" s="89"/>
      <c r="V29" s="24"/>
      <c r="W29" s="24"/>
      <c r="X29" s="24"/>
      <c r="Y29" s="24"/>
      <c r="Z29" s="24"/>
      <c r="AA29" s="24"/>
      <c r="AB29" s="24"/>
      <c r="AC29" s="24"/>
      <c r="AD29" s="24"/>
      <c r="AE29" s="24"/>
      <c r="AF29" s="24"/>
      <c r="AG29" s="24"/>
      <c r="AH29" s="24"/>
    </row>
    <row r="30" spans="1:34" ht="13.5" thickBot="1" x14ac:dyDescent="0.25">
      <c r="A30" s="4"/>
      <c r="B30" s="101" t="s">
        <v>221</v>
      </c>
      <c r="C30" s="102">
        <f ca="1">SelectedDevice!C43</f>
        <v>8</v>
      </c>
      <c r="D30" s="103" t="s">
        <v>224</v>
      </c>
      <c r="E30" s="74"/>
      <c r="F30" s="109" t="s">
        <v>69</v>
      </c>
      <c r="G30" s="144">
        <f ca="1">ABS(Calculations!E43)</f>
        <v>93.366186168017734</v>
      </c>
      <c r="H30" s="132" t="s">
        <v>18</v>
      </c>
      <c r="I30" s="80"/>
      <c r="J30" s="98"/>
      <c r="K30" s="86"/>
      <c r="L30" s="86"/>
      <c r="M30" s="86"/>
      <c r="N30" s="27"/>
      <c r="O30" s="27"/>
      <c r="P30" s="27"/>
      <c r="Q30" s="27"/>
      <c r="R30" s="91"/>
      <c r="S30" s="82"/>
      <c r="T30" s="95"/>
      <c r="U30" s="89"/>
      <c r="V30" s="24"/>
      <c r="W30" s="24"/>
      <c r="X30" s="24"/>
      <c r="Y30" s="24"/>
      <c r="Z30" s="24"/>
      <c r="AA30" s="24"/>
      <c r="AB30" s="24"/>
      <c r="AC30" s="24"/>
      <c r="AD30" s="24"/>
      <c r="AE30" s="24"/>
      <c r="AF30" s="24"/>
      <c r="AG30" s="24"/>
      <c r="AH30" s="24"/>
    </row>
    <row r="31" spans="1:34" ht="13.5" thickBot="1" x14ac:dyDescent="0.25">
      <c r="A31" s="4"/>
      <c r="B31" s="24"/>
      <c r="C31" s="73"/>
      <c r="D31" s="24"/>
      <c r="E31" s="26"/>
      <c r="F31" s="101" t="s">
        <v>70</v>
      </c>
      <c r="G31" s="139">
        <f ca="1">ABS(Calculations!E44)</f>
        <v>515.97091222400491</v>
      </c>
      <c r="H31" s="149" t="s">
        <v>4</v>
      </c>
      <c r="I31" s="91"/>
      <c r="J31" s="98"/>
      <c r="K31" s="86"/>
      <c r="L31" s="86"/>
      <c r="M31" s="86"/>
      <c r="N31" s="27"/>
      <c r="O31" s="27"/>
      <c r="P31" s="27"/>
      <c r="Q31" s="27"/>
      <c r="R31" s="91"/>
      <c r="S31" s="91"/>
      <c r="T31" s="91"/>
      <c r="U31" s="27"/>
      <c r="V31" s="24"/>
      <c r="W31" s="24"/>
      <c r="X31" s="24"/>
      <c r="Y31" s="24"/>
      <c r="Z31" s="24"/>
      <c r="AA31" s="24"/>
      <c r="AB31" s="24"/>
      <c r="AC31" s="24"/>
      <c r="AD31" s="24"/>
      <c r="AE31" s="24"/>
      <c r="AF31" s="24"/>
      <c r="AG31" s="24"/>
      <c r="AH31" s="24"/>
    </row>
    <row r="32" spans="1:34" ht="13.5" thickBot="1" x14ac:dyDescent="0.25">
      <c r="A32" s="3"/>
      <c r="B32" s="186" t="s">
        <v>253</v>
      </c>
      <c r="C32" s="90"/>
      <c r="D32" s="79"/>
      <c r="E32" s="26"/>
      <c r="F32" s="78" t="s">
        <v>51</v>
      </c>
      <c r="G32" s="90"/>
      <c r="H32" s="79"/>
      <c r="I32" s="104"/>
      <c r="J32" s="98"/>
      <c r="K32" s="86"/>
      <c r="L32" s="86"/>
      <c r="M32" s="86"/>
      <c r="N32" s="86"/>
      <c r="O32" s="86"/>
      <c r="P32" s="27"/>
      <c r="Q32" s="27"/>
      <c r="R32" s="24"/>
      <c r="S32" s="24"/>
      <c r="T32" s="24"/>
      <c r="U32" s="27"/>
      <c r="V32" s="24"/>
      <c r="W32" s="24"/>
      <c r="X32" s="24"/>
      <c r="Y32" s="24"/>
      <c r="Z32" s="24"/>
      <c r="AA32" s="24"/>
      <c r="AB32" s="24"/>
      <c r="AC32" s="24"/>
      <c r="AD32" s="24"/>
      <c r="AE32" s="24"/>
      <c r="AF32" s="24"/>
      <c r="AG32" s="24"/>
      <c r="AH32" s="24"/>
    </row>
    <row r="33" spans="1:34" ht="13.5" thickBot="1" x14ac:dyDescent="0.25">
      <c r="A33" s="3"/>
      <c r="B33" s="107" t="s">
        <v>214</v>
      </c>
      <c r="C33" s="198" t="str">
        <f ca="1">SelectedDevice!C41</f>
        <v>B350</v>
      </c>
      <c r="D33" s="199"/>
      <c r="E33" s="26"/>
      <c r="F33" s="105" t="s">
        <v>48</v>
      </c>
      <c r="G33" s="93">
        <f ca="1">Calculations!E45</f>
        <v>0.34000710329076944</v>
      </c>
      <c r="H33" s="153" t="s">
        <v>1</v>
      </c>
      <c r="I33" s="24"/>
      <c r="J33" s="24"/>
      <c r="K33" s="86"/>
      <c r="L33" s="86"/>
      <c r="M33" s="86"/>
      <c r="N33" s="86"/>
      <c r="O33" s="86"/>
      <c r="P33" s="27"/>
      <c r="Q33" s="27"/>
      <c r="R33" s="24"/>
      <c r="S33" s="24"/>
      <c r="T33" s="24"/>
      <c r="U33" s="106"/>
      <c r="V33" s="24"/>
      <c r="W33" s="24"/>
      <c r="X33" s="24"/>
      <c r="Y33" s="24"/>
      <c r="Z33" s="24"/>
      <c r="AA33" s="24"/>
      <c r="AB33" s="24"/>
      <c r="AC33" s="24"/>
      <c r="AD33" s="24"/>
      <c r="AE33" s="24"/>
      <c r="AF33" s="24"/>
      <c r="AG33" s="24"/>
      <c r="AH33" s="24"/>
    </row>
    <row r="34" spans="1:34" ht="13.5" thickBot="1" x14ac:dyDescent="0.25">
      <c r="A34" s="4"/>
      <c r="B34" s="187" t="s">
        <v>254</v>
      </c>
      <c r="E34" s="26"/>
      <c r="F34" s="107" t="s">
        <v>71</v>
      </c>
      <c r="G34" s="154">
        <f ca="1">Calculations!E46</f>
        <v>52.871328242046999</v>
      </c>
      <c r="H34" s="155" t="s">
        <v>37</v>
      </c>
      <c r="I34" s="104" t="str">
        <f ca="1">IF(G34&gt;150,"Chip temp too high!","")</f>
        <v/>
      </c>
      <c r="J34" s="98"/>
      <c r="K34" s="86"/>
      <c r="L34" s="86"/>
      <c r="M34" s="86"/>
      <c r="N34" s="86"/>
      <c r="O34" s="86"/>
      <c r="P34" s="27"/>
      <c r="Q34" s="27"/>
      <c r="R34" s="24"/>
      <c r="S34" s="24"/>
      <c r="T34" s="24"/>
      <c r="U34" s="98"/>
      <c r="V34" s="24"/>
      <c r="W34" s="24"/>
      <c r="X34" s="24"/>
      <c r="Y34" s="24"/>
      <c r="Z34" s="24"/>
      <c r="AA34" s="24"/>
      <c r="AB34" s="24"/>
      <c r="AC34" s="24"/>
      <c r="AD34" s="24"/>
      <c r="AE34" s="24"/>
      <c r="AF34" s="24"/>
      <c r="AG34" s="24"/>
      <c r="AH34" s="24"/>
    </row>
    <row r="35" spans="1:34" x14ac:dyDescent="0.2">
      <c r="A35" s="4"/>
      <c r="B35" s="24"/>
      <c r="C35" s="24"/>
      <c r="D35" s="24"/>
      <c r="E35" s="26"/>
      <c r="F35" s="80"/>
      <c r="G35" s="80"/>
      <c r="H35" s="80"/>
      <c r="I35" s="108"/>
      <c r="J35" s="98"/>
      <c r="K35" s="86"/>
      <c r="L35" s="86"/>
      <c r="M35" s="86"/>
      <c r="N35" s="86"/>
      <c r="O35" s="86"/>
      <c r="P35" s="27"/>
      <c r="Q35" s="27"/>
      <c r="R35" s="91"/>
      <c r="S35" s="91"/>
      <c r="T35" s="91"/>
      <c r="U35" s="27"/>
      <c r="V35" s="24"/>
      <c r="W35" s="24"/>
      <c r="X35" s="24"/>
      <c r="Y35" s="24"/>
      <c r="Z35" s="24"/>
      <c r="AA35" s="24"/>
      <c r="AB35" s="24"/>
      <c r="AC35" s="24"/>
      <c r="AD35" s="24"/>
      <c r="AE35" s="24"/>
      <c r="AF35" s="24"/>
      <c r="AG35" s="24"/>
      <c r="AH35" s="24"/>
    </row>
    <row r="36" spans="1:34" x14ac:dyDescent="0.2">
      <c r="A36" s="3"/>
      <c r="B36" s="33"/>
      <c r="C36" s="76"/>
      <c r="D36" s="76"/>
      <c r="E36" s="24"/>
      <c r="F36" s="24"/>
      <c r="G36" s="24"/>
      <c r="H36" s="24"/>
      <c r="I36" s="104"/>
      <c r="J36" s="98"/>
      <c r="K36" s="86"/>
      <c r="L36" s="86"/>
      <c r="M36" s="86"/>
      <c r="N36" s="86"/>
      <c r="O36" s="86"/>
      <c r="P36" s="27"/>
      <c r="Q36" s="27"/>
      <c r="R36" s="27"/>
      <c r="S36" s="27"/>
      <c r="T36" s="27"/>
      <c r="U36" s="27"/>
      <c r="V36" s="24"/>
      <c r="W36" s="24"/>
      <c r="X36" s="24"/>
      <c r="Y36" s="24"/>
      <c r="Z36" s="24"/>
      <c r="AA36" s="24"/>
      <c r="AB36" s="24"/>
      <c r="AC36" s="24"/>
      <c r="AD36" s="24"/>
      <c r="AE36" s="24"/>
      <c r="AF36" s="24"/>
      <c r="AG36" s="24"/>
      <c r="AH36" s="24"/>
    </row>
    <row r="37" spans="1:34" x14ac:dyDescent="0.2">
      <c r="A37" s="3"/>
      <c r="B37" s="24"/>
      <c r="C37" s="24"/>
      <c r="D37" s="24"/>
      <c r="E37" s="24"/>
      <c r="F37" s="80"/>
      <c r="G37" s="80"/>
      <c r="H37" s="80"/>
      <c r="I37" s="24"/>
      <c r="J37" s="24"/>
      <c r="K37" s="86"/>
      <c r="L37" s="86"/>
      <c r="M37" s="86"/>
      <c r="N37" s="86"/>
      <c r="O37" s="86"/>
      <c r="P37" s="27"/>
      <c r="Q37" s="27"/>
      <c r="R37" s="27"/>
      <c r="S37" s="27"/>
      <c r="T37" s="27"/>
      <c r="U37" s="27"/>
      <c r="V37" s="24"/>
      <c r="W37" s="24"/>
      <c r="X37" s="24"/>
      <c r="Y37" s="24"/>
      <c r="Z37" s="24"/>
      <c r="AA37" s="24"/>
      <c r="AB37" s="24"/>
      <c r="AC37" s="24"/>
      <c r="AD37" s="24"/>
      <c r="AE37" s="24"/>
      <c r="AF37" s="24"/>
      <c r="AG37" s="24"/>
      <c r="AH37" s="24"/>
    </row>
    <row r="38" spans="1:34" x14ac:dyDescent="0.2">
      <c r="A38" s="3"/>
      <c r="B38" s="24"/>
      <c r="C38" s="24"/>
      <c r="D38" s="24"/>
      <c r="E38" s="24"/>
      <c r="F38" s="24"/>
      <c r="G38" s="24"/>
      <c r="H38" s="24"/>
      <c r="I38" s="104"/>
      <c r="J38" s="98"/>
      <c r="K38" s="86"/>
      <c r="L38" s="86"/>
      <c r="M38" s="86"/>
      <c r="N38" s="86"/>
      <c r="O38" s="86"/>
      <c r="P38" s="27"/>
      <c r="Q38" s="27"/>
      <c r="R38" s="27"/>
      <c r="S38" s="27"/>
      <c r="T38" s="27"/>
      <c r="U38" s="27"/>
      <c r="V38" s="24"/>
      <c r="W38" s="24"/>
      <c r="X38" s="24"/>
      <c r="Y38" s="24"/>
      <c r="Z38" s="24"/>
      <c r="AA38" s="24"/>
      <c r="AB38" s="24"/>
      <c r="AC38" s="24"/>
      <c r="AD38" s="24"/>
      <c r="AE38" s="24"/>
      <c r="AF38" s="24"/>
      <c r="AG38" s="24"/>
      <c r="AH38" s="24"/>
    </row>
    <row r="39" spans="1:34" x14ac:dyDescent="0.2">
      <c r="A39" s="3"/>
      <c r="B39" s="24"/>
      <c r="C39" s="24"/>
      <c r="D39" s="24"/>
      <c r="E39" s="24"/>
      <c r="F39" s="80"/>
      <c r="G39" s="80"/>
      <c r="H39" s="80"/>
      <c r="I39" s="24"/>
      <c r="J39" s="24"/>
      <c r="K39" s="86"/>
      <c r="L39" s="86"/>
      <c r="M39" s="86"/>
      <c r="N39" s="86"/>
      <c r="O39" s="86"/>
      <c r="P39" s="27"/>
      <c r="Q39" s="27"/>
      <c r="R39" s="27"/>
      <c r="S39" s="27"/>
      <c r="T39" s="27"/>
      <c r="U39" s="27"/>
      <c r="V39" s="24"/>
      <c r="W39" s="24"/>
      <c r="X39" s="24"/>
      <c r="Y39" s="24"/>
      <c r="Z39" s="24"/>
      <c r="AA39" s="24"/>
      <c r="AB39" s="24"/>
      <c r="AC39" s="24"/>
      <c r="AD39" s="24"/>
      <c r="AE39" s="24"/>
      <c r="AF39" s="24"/>
      <c r="AG39" s="24"/>
      <c r="AH39" s="24"/>
    </row>
    <row r="40" spans="1:34" x14ac:dyDescent="0.2">
      <c r="A40" s="3"/>
      <c r="B40" s="24"/>
      <c r="C40" s="24"/>
      <c r="D40" s="24"/>
      <c r="E40" s="24"/>
      <c r="F40" s="80"/>
      <c r="G40" s="80"/>
      <c r="H40" s="80"/>
      <c r="I40" s="104"/>
      <c r="J40" s="98"/>
      <c r="K40" s="86"/>
      <c r="L40" s="86"/>
      <c r="M40" s="86"/>
      <c r="N40" s="86"/>
      <c r="O40" s="86"/>
      <c r="P40" s="27"/>
      <c r="Q40" s="27"/>
      <c r="R40" s="27"/>
      <c r="S40" s="27"/>
      <c r="T40" s="27"/>
      <c r="U40" s="27"/>
      <c r="V40" s="24"/>
      <c r="W40" s="24"/>
      <c r="X40" s="24"/>
      <c r="Y40" s="24"/>
      <c r="Z40" s="24"/>
      <c r="AA40" s="24"/>
      <c r="AB40" s="24"/>
      <c r="AC40" s="24"/>
      <c r="AD40" s="24"/>
      <c r="AE40" s="24"/>
      <c r="AF40" s="24"/>
      <c r="AG40" s="24"/>
      <c r="AH40" s="24"/>
    </row>
    <row r="41" spans="1:34" x14ac:dyDescent="0.2">
      <c r="A41" s="3"/>
      <c r="B41" s="24"/>
      <c r="C41" s="24"/>
      <c r="D41" s="24"/>
      <c r="E41" s="24"/>
      <c r="F41" s="80"/>
      <c r="G41" s="80"/>
      <c r="H41" s="80"/>
      <c r="I41" s="104"/>
      <c r="J41" s="98"/>
      <c r="K41" s="86"/>
      <c r="L41" s="86"/>
      <c r="M41" s="86"/>
      <c r="N41" s="86"/>
      <c r="O41" s="86"/>
      <c r="P41" s="27"/>
      <c r="Q41" s="27"/>
      <c r="R41" s="27"/>
      <c r="S41" s="27"/>
      <c r="T41" s="27"/>
      <c r="U41" s="27"/>
      <c r="V41" s="24"/>
      <c r="W41" s="24"/>
      <c r="X41" s="24"/>
      <c r="Y41" s="24"/>
      <c r="Z41" s="24"/>
      <c r="AA41" s="24"/>
      <c r="AB41" s="24"/>
      <c r="AC41" s="24"/>
      <c r="AD41" s="24"/>
      <c r="AE41" s="24"/>
      <c r="AF41" s="24"/>
      <c r="AG41" s="24"/>
      <c r="AH41" s="24"/>
    </row>
    <row r="42" spans="1:34" x14ac:dyDescent="0.2">
      <c r="A42" s="3"/>
      <c r="B42" s="24"/>
      <c r="C42" s="24"/>
      <c r="D42" s="24"/>
      <c r="E42" s="24"/>
      <c r="F42" s="80"/>
      <c r="G42" s="80"/>
      <c r="H42" s="80"/>
      <c r="I42" s="86"/>
      <c r="J42" s="86"/>
      <c r="K42" s="86"/>
      <c r="L42" s="86"/>
      <c r="M42" s="86"/>
      <c r="N42" s="86"/>
      <c r="O42" s="86"/>
      <c r="P42" s="27"/>
      <c r="Q42" s="27"/>
      <c r="R42" s="27"/>
      <c r="S42" s="27"/>
      <c r="T42" s="27"/>
      <c r="U42" s="27"/>
      <c r="V42" s="24"/>
      <c r="W42" s="24"/>
      <c r="X42" s="24"/>
      <c r="Y42" s="24"/>
      <c r="Z42" s="24"/>
      <c r="AA42" s="24"/>
      <c r="AB42" s="24"/>
      <c r="AC42" s="24"/>
      <c r="AD42" s="24"/>
      <c r="AE42" s="24"/>
      <c r="AF42" s="24"/>
      <c r="AG42" s="24"/>
      <c r="AH42" s="24"/>
    </row>
    <row r="43" spans="1:34" x14ac:dyDescent="0.2">
      <c r="A43" s="3"/>
      <c r="B43" s="24"/>
      <c r="C43" s="24"/>
      <c r="D43" s="24"/>
      <c r="E43" s="24"/>
      <c r="F43" s="80"/>
      <c r="G43" s="80"/>
      <c r="H43" s="80"/>
      <c r="I43" s="98"/>
      <c r="J43" s="98"/>
      <c r="K43" s="86"/>
      <c r="L43" s="86"/>
      <c r="M43" s="86"/>
      <c r="N43" s="86"/>
      <c r="O43" s="86"/>
      <c r="P43" s="27"/>
      <c r="Q43" s="27"/>
      <c r="R43" s="27"/>
      <c r="S43" s="27"/>
      <c r="T43" s="27"/>
      <c r="U43" s="27"/>
      <c r="V43" s="24"/>
      <c r="W43" s="24"/>
      <c r="X43" s="24"/>
      <c r="Y43" s="24"/>
      <c r="Z43" s="24"/>
      <c r="AA43" s="24"/>
      <c r="AB43" s="24"/>
      <c r="AC43" s="24"/>
      <c r="AD43" s="24"/>
      <c r="AE43" s="24"/>
      <c r="AF43" s="24"/>
      <c r="AG43" s="24"/>
      <c r="AH43" s="24"/>
    </row>
    <row r="44" spans="1:34" x14ac:dyDescent="0.2">
      <c r="A44" s="3"/>
      <c r="B44" s="24"/>
      <c r="C44" s="24"/>
      <c r="D44" s="24"/>
      <c r="E44" s="24"/>
      <c r="F44" s="91"/>
      <c r="G44" s="91"/>
      <c r="H44" s="91"/>
      <c r="I44" s="98"/>
      <c r="J44" s="98"/>
      <c r="K44" s="86"/>
      <c r="L44" s="86"/>
      <c r="M44" s="86"/>
      <c r="N44" s="86"/>
      <c r="O44" s="86"/>
      <c r="P44" s="27"/>
      <c r="Q44" s="27"/>
      <c r="R44" s="27"/>
      <c r="S44" s="27"/>
      <c r="T44" s="27"/>
      <c r="U44" s="27"/>
      <c r="V44" s="24"/>
      <c r="W44" s="24"/>
      <c r="X44" s="24"/>
      <c r="Y44" s="24"/>
      <c r="Z44" s="24"/>
      <c r="AA44" s="24"/>
      <c r="AB44" s="24"/>
      <c r="AC44" s="24"/>
      <c r="AD44" s="24"/>
      <c r="AE44" s="24"/>
      <c r="AF44" s="24"/>
      <c r="AG44" s="24"/>
      <c r="AH44" s="24"/>
    </row>
    <row r="45" spans="1:34" x14ac:dyDescent="0.2">
      <c r="A45" s="3"/>
      <c r="B45" s="24"/>
      <c r="C45" s="24"/>
      <c r="D45" s="24"/>
      <c r="E45" s="24"/>
      <c r="F45" s="104"/>
      <c r="G45" s="104"/>
      <c r="H45" s="104"/>
      <c r="I45" s="98"/>
      <c r="J45" s="98"/>
      <c r="K45" s="86"/>
      <c r="L45" s="86"/>
      <c r="M45" s="86"/>
      <c r="N45" s="86"/>
      <c r="O45" s="86"/>
      <c r="P45" s="27"/>
      <c r="Q45" s="27"/>
      <c r="R45" s="27"/>
      <c r="S45" s="27"/>
      <c r="T45" s="27"/>
      <c r="U45" s="27"/>
      <c r="V45" s="24"/>
      <c r="W45" s="24"/>
      <c r="X45" s="24"/>
      <c r="Y45" s="24"/>
      <c r="Z45" s="24"/>
      <c r="AA45" s="24"/>
      <c r="AB45" s="24"/>
      <c r="AC45" s="24"/>
      <c r="AD45" s="24"/>
      <c r="AE45" s="24"/>
      <c r="AF45" s="24"/>
      <c r="AG45" s="24"/>
      <c r="AH45" s="24"/>
    </row>
    <row r="46" spans="1:34" ht="12" customHeight="1" x14ac:dyDescent="0.2">
      <c r="A46" s="3"/>
      <c r="B46" s="24"/>
      <c r="C46" s="24"/>
      <c r="D46" s="24"/>
      <c r="E46" s="24"/>
      <c r="F46" s="27"/>
      <c r="G46" s="27"/>
      <c r="H46" s="27"/>
      <c r="I46" s="98"/>
      <c r="J46" s="98"/>
      <c r="K46" s="86"/>
      <c r="L46" s="86"/>
      <c r="M46" s="86"/>
      <c r="N46" s="86"/>
      <c r="O46" s="86"/>
      <c r="P46" s="27"/>
      <c r="Q46" s="27"/>
      <c r="R46" s="27"/>
      <c r="S46" s="27"/>
      <c r="T46" s="27"/>
      <c r="U46" s="27"/>
      <c r="V46" s="24"/>
      <c r="W46" s="24"/>
      <c r="X46" s="24"/>
      <c r="Y46" s="24"/>
      <c r="Z46" s="24"/>
      <c r="AA46" s="24"/>
      <c r="AB46" s="24"/>
      <c r="AC46" s="24"/>
      <c r="AD46" s="24"/>
      <c r="AE46" s="24"/>
      <c r="AF46" s="24"/>
      <c r="AG46" s="24"/>
      <c r="AH46" s="24"/>
    </row>
    <row r="47" spans="1:34" x14ac:dyDescent="0.2">
      <c r="A47" s="3"/>
      <c r="B47" s="24"/>
      <c r="C47" s="24"/>
      <c r="D47" s="24"/>
      <c r="E47" s="27"/>
      <c r="F47" s="86"/>
      <c r="G47" s="86"/>
      <c r="H47" s="86"/>
      <c r="I47" s="86"/>
      <c r="J47" s="86"/>
      <c r="K47" s="86"/>
      <c r="L47" s="86"/>
      <c r="M47" s="86"/>
      <c r="N47" s="86"/>
      <c r="O47" s="86"/>
      <c r="P47" s="27"/>
      <c r="Q47" s="27"/>
      <c r="R47" s="27"/>
      <c r="S47" s="27"/>
      <c r="T47" s="27"/>
      <c r="U47" s="27"/>
      <c r="V47" s="24"/>
      <c r="W47" s="24"/>
      <c r="X47" s="24"/>
      <c r="Y47" s="24"/>
      <c r="Z47" s="24"/>
      <c r="AA47" s="24"/>
      <c r="AB47" s="24"/>
      <c r="AC47" s="24"/>
      <c r="AD47" s="24"/>
      <c r="AE47" s="24"/>
      <c r="AF47" s="24"/>
      <c r="AG47" s="24"/>
      <c r="AH47" s="24"/>
    </row>
    <row r="48" spans="1:34" x14ac:dyDescent="0.2">
      <c r="A48" s="27"/>
      <c r="B48" s="24"/>
      <c r="C48" s="24"/>
      <c r="D48" s="24"/>
      <c r="E48" s="86"/>
      <c r="F48" s="27"/>
      <c r="G48" s="27"/>
      <c r="H48" s="27"/>
      <c r="I48" s="86"/>
      <c r="J48" s="86"/>
      <c r="K48" s="27"/>
      <c r="L48" s="27"/>
      <c r="M48" s="27"/>
      <c r="N48" s="27"/>
      <c r="O48" s="27"/>
      <c r="P48" s="27"/>
      <c r="Q48" s="27"/>
      <c r="R48" s="27"/>
      <c r="S48" s="27"/>
      <c r="T48" s="27"/>
      <c r="U48" s="27"/>
      <c r="V48" s="24"/>
      <c r="W48" s="24"/>
      <c r="X48" s="24"/>
      <c r="Y48" s="24"/>
      <c r="Z48" s="24"/>
      <c r="AA48" s="24"/>
      <c r="AB48" s="24"/>
      <c r="AC48" s="24"/>
      <c r="AD48" s="24"/>
      <c r="AE48" s="24"/>
      <c r="AF48" s="24"/>
      <c r="AG48" s="24"/>
      <c r="AH48" s="24"/>
    </row>
    <row r="49" spans="1:34" x14ac:dyDescent="0.2">
      <c r="A49" s="24"/>
      <c r="B49" s="24"/>
      <c r="C49" s="24"/>
      <c r="D49" s="24"/>
      <c r="E49" s="27"/>
      <c r="F49" s="24"/>
      <c r="G49" s="24"/>
      <c r="H49" s="24"/>
      <c r="I49" s="27"/>
      <c r="J49" s="27"/>
      <c r="K49" s="24"/>
      <c r="L49" s="24"/>
      <c r="M49" s="24"/>
      <c r="N49" s="24"/>
      <c r="O49" s="24"/>
      <c r="P49" s="24"/>
      <c r="Q49" s="24"/>
      <c r="R49" s="24"/>
      <c r="S49" s="24"/>
      <c r="T49" s="24"/>
      <c r="U49" s="24"/>
      <c r="V49" s="24"/>
      <c r="W49" s="24"/>
      <c r="X49" s="24"/>
      <c r="Y49" s="24"/>
      <c r="Z49" s="24"/>
      <c r="AA49" s="24"/>
      <c r="AB49" s="24"/>
      <c r="AC49" s="24"/>
      <c r="AD49" s="24"/>
      <c r="AE49" s="24"/>
      <c r="AF49" s="24"/>
      <c r="AG49" s="24"/>
      <c r="AH49" s="24"/>
    </row>
    <row r="50" spans="1:34"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row>
    <row r="51" spans="1:34"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row>
    <row r="52" spans="1:34"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row>
    <row r="53" spans="1:34"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row>
    <row r="54" spans="1:34"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row>
    <row r="55" spans="1:34"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row>
    <row r="56" spans="1:34"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row>
    <row r="57" spans="1:34"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row>
    <row r="58" spans="1:34"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row r="59" spans="1:34"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row>
    <row r="60" spans="1:34"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1:34"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4"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row>
    <row r="64" spans="1:34"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row>
    <row r="65" spans="1:34"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row>
    <row r="66" spans="1:34"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row>
    <row r="67" spans="1:34"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row>
    <row r="70" spans="1:34"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row>
    <row r="71" spans="1:34"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row>
    <row r="73" spans="1:34"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row>
    <row r="74" spans="1:34"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row>
    <row r="75" spans="1:34"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row>
    <row r="76" spans="1:34"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row>
    <row r="77" spans="1:34"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row>
    <row r="78" spans="1:34"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row>
    <row r="79" spans="1:34"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row>
    <row r="80" spans="1:34"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row>
    <row r="81" spans="1:34"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row>
    <row r="82" spans="1:34"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row>
    <row r="83" spans="1:34"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row>
    <row r="84" spans="1:34"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row>
    <row r="85" spans="1:34"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row>
    <row r="86" spans="1:34"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row>
    <row r="87" spans="1:34"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row>
    <row r="88" spans="1:34"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row>
    <row r="89" spans="1:34" x14ac:dyDescent="0.2">
      <c r="B89" s="24"/>
      <c r="C89" s="24"/>
      <c r="D89" s="24"/>
      <c r="I89" s="24"/>
      <c r="J89" s="24"/>
    </row>
  </sheetData>
  <sheetProtection password="CF1F" sheet="1" objects="1" scenarios="1" selectLockedCells="1"/>
  <mergeCells count="3">
    <mergeCell ref="B11:D11"/>
    <mergeCell ref="E4:F5"/>
    <mergeCell ref="C33:D33"/>
  </mergeCells>
  <phoneticPr fontId="9" type="noConversion"/>
  <conditionalFormatting sqref="E12">
    <cfRule type="expression" dxfId="3" priority="1" stopIfTrue="1">
      <formula>OR($C$12&lt;Vin_fn, $C$12&gt;Vin_fx)</formula>
    </cfRule>
  </conditionalFormatting>
  <conditionalFormatting sqref="E13">
    <cfRule type="cellIs" dxfId="2" priority="2" stopIfTrue="1" operator="equal">
      <formula>"Too many LEDs for Vin!"</formula>
    </cfRule>
  </conditionalFormatting>
  <conditionalFormatting sqref="E14">
    <cfRule type="cellIs" dxfId="1" priority="3" stopIfTrue="1" operator="equal">
      <formula>"Total LED voltage too high!"</formula>
    </cfRule>
  </conditionalFormatting>
  <conditionalFormatting sqref="E16">
    <cfRule type="cellIs" dxfId="0" priority="4" stopIfTrue="1" operator="equal">
      <formula>"Rs too small"</formula>
    </cfRule>
  </conditionalFormatting>
  <dataValidations xWindow="130" yWindow="320" count="13">
    <dataValidation type="decimal" allowBlank="1" showInputMessage="1" showErrorMessage="1" errorTitle="Voltage out of range" sqref="C21">
      <formula1>L10</formula1>
      <formula2>N10</formula2>
    </dataValidation>
    <dataValidation type="decimal" allowBlank="1" showInputMessage="1" showErrorMessage="1" errorTitle="Ambient temperature" error="Temperature out of range" sqref="C19">
      <formula1>Tamb_fn</formula1>
      <formula2>Tamb_fx</formula2>
    </dataValidation>
    <dataValidation type="whole" allowBlank="1" showInputMessage="1" showErrorMessage="1" errorTitle="Invalid Number" error="Invalid number of LEDs " sqref="C13">
      <formula1>N_fn</formula1>
      <formula2>N_fx</formula2>
    </dataValidation>
    <dataValidation type="decimal" operator="greaterThanOrEqual" allowBlank="1" showInputMessage="1" showErrorMessage="1" errorTitle="Parameter error" error="Sense resistor value too low" sqref="C16">
      <formula1>Rs_fn</formula1>
    </dataValidation>
    <dataValidation type="decimal" allowBlank="1" showInputMessage="1" showErrorMessage="1" errorTitle="Inductor Value" error="Inductor size outside of expected range" sqref="C17">
      <formula1>L_fn</formula1>
      <formula2>L_fx</formula2>
    </dataValidation>
    <dataValidation type="decimal" errorStyle="warning" allowBlank="1" showInputMessage="1" showErrorMessage="1" errorTitle="LED Voltage" error="Voltage outside normal range" sqref="C14">
      <formula1>VLED_fn</formula1>
      <formula2>VLED_fx</formula2>
    </dataValidation>
    <dataValidation type="decimal" allowBlank="1" showInputMessage="1" showErrorMessage="1" errorTitle="Diode Voltage" error="Voltage outside expected range" sqref="C15">
      <formula1>VF_fn</formula1>
      <formula2>VF_fx</formula2>
    </dataValidation>
    <dataValidation type="decimal" allowBlank="1" showInputMessage="1" showErrorMessage="1" errorTitle="Coil Resistance" error="Value outside expected range" sqref="C18">
      <formula1>rL_fn</formula1>
      <formula2>rL_fx</formula2>
    </dataValidation>
    <dataValidation type="decimal" allowBlank="1" showInputMessage="1" showErrorMessage="1" errorTitle="Thermal resistance" error="Value outside expected range" sqref="C29">
      <formula1>10</formula1>
      <formula2>250</formula2>
    </dataValidation>
    <dataValidation type="decimal" allowBlank="1" showInputMessage="1" showErrorMessage="1" errorTitle="Supply Voltage Range" error="Outside of input voltage range" sqref="C12">
      <formula1>Vin_fn</formula1>
      <formula2>Vin_fx</formula2>
    </dataValidation>
    <dataValidation type="decimal" allowBlank="1" showInputMessage="1" showErrorMessage="1" errorTitle="L&gt;H delay" error="Value outside expected range" sqref="C24:C28">
      <formula1>10</formula1>
      <formula2>500</formula2>
    </dataValidation>
    <dataValidation type="list" allowBlank="1" showInputMessage="1" showErrorMessage="1" prompt="Select device to be calculated" sqref="B6">
      <formula1>Devices2</formula1>
    </dataValidation>
    <dataValidation type="decimal" allowBlank="1" showInputMessage="1" showErrorMessage="1" error="Voltage out of range" sqref="C20">
      <formula1>Vadj_fn</formula1>
      <formula2>Vadj_fx</formula2>
    </dataValidation>
  </dataValidations>
  <pageMargins left="0.2" right="0.2" top="0.27" bottom="0.25" header="0.17" footer="0.17"/>
  <pageSetup scale="78" orientation="landscape" r:id="rId1"/>
  <headerFooter alignWithMargins="0"/>
  <drawing r:id="rId2"/>
  <legacyDrawing r:id="rId3"/>
  <oleObjects>
    <mc:AlternateContent xmlns:mc="http://schemas.openxmlformats.org/markup-compatibility/2006">
      <mc:Choice Requires="x14">
        <oleObject progId="Visio.Drawing.11" shapeId="1170" r:id="rId4">
          <objectPr defaultSize="0" autoPict="0" r:id="rId5">
            <anchor moveWithCells="1">
              <from>
                <xdr:col>11</xdr:col>
                <xdr:colOff>123825</xdr:colOff>
                <xdr:row>14</xdr:row>
                <xdr:rowOff>123825</xdr:rowOff>
              </from>
              <to>
                <xdr:col>18</xdr:col>
                <xdr:colOff>142875</xdr:colOff>
                <xdr:row>23</xdr:row>
                <xdr:rowOff>85725</xdr:rowOff>
              </to>
            </anchor>
          </objectPr>
        </oleObject>
      </mc:Choice>
      <mc:Fallback>
        <oleObject progId="Visio.Drawing.11" shapeId="117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8"/>
  <sheetViews>
    <sheetView showGridLines="0" showRowColHeaders="0" workbookViewId="0">
      <selection activeCell="K11" sqref="K11"/>
    </sheetView>
  </sheetViews>
  <sheetFormatPr defaultRowHeight="12.75" x14ac:dyDescent="0.2"/>
  <cols>
    <col min="1" max="1" width="30.85546875" style="6" customWidth="1"/>
    <col min="2" max="2" width="15.28515625" customWidth="1"/>
    <col min="3" max="3" width="88.28515625" style="6" customWidth="1"/>
    <col min="4" max="4" width="56.28515625" customWidth="1"/>
  </cols>
  <sheetData>
    <row r="1" spans="1:8" ht="20.25" x14ac:dyDescent="0.3">
      <c r="A1" s="193" t="str">
        <f>Calculator!E3</f>
        <v>PAM2863 calculator  Issue 1.0 November 2015</v>
      </c>
      <c r="B1" s="24"/>
      <c r="C1" s="36"/>
      <c r="D1" s="24"/>
      <c r="E1" s="24"/>
      <c r="F1" s="24"/>
      <c r="G1" s="24"/>
      <c r="H1" s="24"/>
    </row>
    <row r="2" spans="1:8" s="8" customFormat="1" ht="9.75" customHeight="1" x14ac:dyDescent="0.2">
      <c r="A2" s="37"/>
      <c r="B2" s="38"/>
      <c r="C2" s="39"/>
      <c r="D2" s="38"/>
      <c r="E2" s="38"/>
      <c r="F2" s="38"/>
      <c r="G2" s="38"/>
      <c r="H2" s="38"/>
    </row>
    <row r="3" spans="1:8" s="8" customFormat="1" ht="34.5" customHeight="1" x14ac:dyDescent="0.2">
      <c r="A3" s="200" t="str">
        <f ca="1" xml:space="preserve"> CONCATENATE("The ", SelectedDevice!A1, " calculator is a tool for estimating the performance of the ", SelectedDevice!A1, " in various applications.")</f>
        <v>The PAM2863ECR calculator is a tool for estimating the performance of the PAM2863ECR in various applications.</v>
      </c>
      <c r="B3" s="200"/>
      <c r="C3" s="200"/>
      <c r="D3" s="162"/>
      <c r="E3" s="38"/>
      <c r="F3" s="38"/>
      <c r="G3" s="38"/>
      <c r="H3" s="38"/>
    </row>
    <row r="4" spans="1:8" s="8" customFormat="1" ht="29.25" customHeight="1" x14ac:dyDescent="0.2">
      <c r="A4" s="201" t="s">
        <v>200</v>
      </c>
      <c r="B4" s="201"/>
      <c r="C4" s="201"/>
      <c r="D4" s="162"/>
      <c r="E4" s="38"/>
      <c r="F4" s="38"/>
      <c r="G4" s="38"/>
      <c r="H4" s="38"/>
    </row>
    <row r="5" spans="1:8" s="8" customFormat="1" ht="30.75" customHeight="1" x14ac:dyDescent="0.2">
      <c r="A5" s="200" t="s">
        <v>73</v>
      </c>
      <c r="B5" s="200"/>
      <c r="C5" s="200"/>
      <c r="D5" s="162"/>
      <c r="E5" s="38"/>
      <c r="F5" s="38"/>
      <c r="G5" s="38"/>
      <c r="H5" s="38"/>
    </row>
    <row r="6" spans="1:8" ht="21.75" customHeight="1" x14ac:dyDescent="0.2">
      <c r="A6" s="40"/>
      <c r="B6" s="40"/>
      <c r="C6" s="40"/>
      <c r="D6" s="163"/>
      <c r="E6" s="24"/>
      <c r="F6" s="24"/>
      <c r="G6" s="24"/>
      <c r="H6" s="24"/>
    </row>
    <row r="7" spans="1:8" ht="20.25" x14ac:dyDescent="0.3">
      <c r="A7" s="41" t="s">
        <v>54</v>
      </c>
      <c r="B7" s="42"/>
      <c r="C7" s="43"/>
      <c r="D7" s="24"/>
      <c r="E7" s="24"/>
      <c r="F7" s="24"/>
      <c r="G7" s="24"/>
      <c r="H7" s="24"/>
    </row>
    <row r="8" spans="1:8" x14ac:dyDescent="0.2">
      <c r="A8" s="44" t="s">
        <v>54</v>
      </c>
      <c r="B8" s="45" t="s">
        <v>42</v>
      </c>
      <c r="C8" s="46" t="s">
        <v>41</v>
      </c>
      <c r="D8" s="24"/>
      <c r="E8" s="24"/>
      <c r="F8" s="24"/>
      <c r="G8" s="24"/>
      <c r="H8" s="24"/>
    </row>
    <row r="9" spans="1:8" x14ac:dyDescent="0.2">
      <c r="A9" s="10" t="s">
        <v>55</v>
      </c>
      <c r="B9" s="47" t="str">
        <f ca="1">SelectedDevice!N2</f>
        <v>4.5 to 40V</v>
      </c>
      <c r="C9" s="48" t="str">
        <f ca="1">CONCATENATE("Enter a value for Vin. The calculator accepts values between ", SelectedDevice!N2)</f>
        <v>Enter a value for Vin. The calculator accepts values between 4.5 to 40V</v>
      </c>
      <c r="D9" s="24"/>
      <c r="E9" s="24"/>
      <c r="F9" s="24"/>
      <c r="G9" s="24"/>
      <c r="H9" s="24"/>
    </row>
    <row r="10" spans="1:8" ht="36.75" customHeight="1" x14ac:dyDescent="0.2">
      <c r="A10" s="10" t="s">
        <v>8</v>
      </c>
      <c r="B10" s="47" t="str">
        <f ca="1">SelectedDevice!N3</f>
        <v>1 to 8</v>
      </c>
      <c r="C10" s="48" t="str">
        <f ca="1">CONCATENATE("Enter the number of series connected LEDs in the application. The typical value refer to a white LED. The value must be an integer less than ",N_fx,". The calculator issues warnings if the total LED voltage drop (N x VLED) is within 1.2V of Vin.")</f>
        <v>Enter the number of series connected LEDs in the application. The typical value refer to a white LED. The value must be an integer less than 15. The calculator issues warnings if the total LED voltage drop (N x VLED) is within 1.2V of Vin.</v>
      </c>
      <c r="D10" s="24"/>
      <c r="E10" s="24"/>
      <c r="F10" s="24"/>
      <c r="G10" s="24"/>
      <c r="H10" s="24"/>
    </row>
    <row r="11" spans="1:8" ht="24" customHeight="1" x14ac:dyDescent="0.2">
      <c r="A11" s="10" t="s">
        <v>56</v>
      </c>
      <c r="B11" s="47" t="str">
        <f ca="1">SelectedDevice!N4</f>
        <v>3V</v>
      </c>
      <c r="C11" s="48" t="str">
        <f ca="1" xml:space="preserve"> CONCATENATE("Enter a value for the forward voltage of the LED at the required average output current. The calculator issues a warning for values above ", VLED_fx,"V.")</f>
        <v>Enter a value for the forward voltage of the LED at the required average output current. The calculator issues a warning for values above 5V.</v>
      </c>
      <c r="D11" s="24"/>
      <c r="E11" s="24"/>
      <c r="F11" s="24"/>
      <c r="G11" s="24"/>
      <c r="H11" s="24"/>
    </row>
    <row r="12" spans="1:8" ht="24" x14ac:dyDescent="0.2">
      <c r="A12" s="10" t="s">
        <v>2</v>
      </c>
      <c r="B12" s="47" t="str">
        <f ca="1">SelectedDevice!N5</f>
        <v>0.4V</v>
      </c>
      <c r="C12" s="48" t="str">
        <f ca="1">CONCATENATE("Enter the forward voltage of the freewheel diode at the required output current. A schottky diode is assumed, but other diodes with higher forward drops are accepted. The maximum allowed voltage is ",VF_fx,"V")</f>
        <v>Enter the forward voltage of the freewheel diode at the required output current. A schottky diode is assumed, but other diodes with higher forward drops are accepted. The maximum allowed voltage is 1.5V</v>
      </c>
      <c r="D12" s="24"/>
      <c r="E12" s="24"/>
      <c r="F12" s="24"/>
      <c r="G12" s="24"/>
      <c r="H12" s="24"/>
    </row>
    <row r="13" spans="1:8" ht="36" x14ac:dyDescent="0.2">
      <c r="A13" s="10" t="s">
        <v>47</v>
      </c>
      <c r="B13" s="47" t="str">
        <f ca="1">SelectedDevice!N6</f>
        <v>0.05 to 0.5Ω</v>
      </c>
      <c r="C13" s="48" t="str">
        <f ca="1">CONCATENATE("Enter a resistor value to set the nominal average output current according to the expression  Iavg(mA)=",SelectedDevice!C40,"/Rs. A nominal voltage of ",SelectedDevice!E16," on the ADJ pin is assumed. The minimum allowed value of Rs is ",Rs_fn," Ohms. A warning is issued for Rs&gt;10 Ohms.")</f>
        <v>Enter a resistor value to set the nominal average output current according to the expression  Iavg(mA)=100/Rs. A nominal voltage of 1.25 on the ADJ pin is assumed. The minimum allowed value of Rs is 0.05 Ohms. A warning is issued for Rs&gt;10 Ohms.</v>
      </c>
      <c r="D13" s="24"/>
      <c r="E13" s="24"/>
      <c r="F13" s="24"/>
      <c r="G13" s="24"/>
      <c r="H13" s="24"/>
    </row>
    <row r="14" spans="1:8" ht="24" x14ac:dyDescent="0.2">
      <c r="A14" s="10" t="s">
        <v>57</v>
      </c>
      <c r="B14" s="47" t="str">
        <f ca="1">SelectedDevice!N7</f>
        <v>22 to 1000µH</v>
      </c>
      <c r="C14" s="48" t="str">
        <f ca="1">CONCATENATE("Enter the coil inductance at the working current. The calculator accepts values from ", SelectedDevice!N7,". The coil inductance is assumed to be constant within the operating current range.")</f>
        <v>Enter the coil inductance at the working current. The calculator accepts values from 22 to 1000µH. The coil inductance is assumed to be constant within the operating current range.</v>
      </c>
      <c r="D14" s="24"/>
      <c r="E14" s="24"/>
      <c r="F14" s="24"/>
      <c r="G14" s="24"/>
      <c r="H14" s="24"/>
    </row>
    <row r="15" spans="1:8" ht="24.75" customHeight="1" x14ac:dyDescent="0.2">
      <c r="A15" s="10" t="s">
        <v>58</v>
      </c>
      <c r="B15" s="47" t="str">
        <f ca="1">SelectedDevice!N8</f>
        <v>0.1 to 1Ω</v>
      </c>
      <c r="C15" s="48" t="s">
        <v>74</v>
      </c>
      <c r="D15" s="24"/>
      <c r="E15" s="24"/>
      <c r="F15" s="24"/>
      <c r="G15" s="24"/>
      <c r="H15" s="24"/>
    </row>
    <row r="16" spans="1:8" x14ac:dyDescent="0.2">
      <c r="A16" s="49"/>
      <c r="B16" s="50"/>
      <c r="C16" s="49"/>
      <c r="D16" s="24"/>
      <c r="E16" s="24"/>
      <c r="F16" s="24"/>
      <c r="G16" s="24"/>
      <c r="H16" s="24"/>
    </row>
    <row r="17" spans="1:8" s="9" customFormat="1" x14ac:dyDescent="0.2">
      <c r="A17" s="46" t="s">
        <v>72</v>
      </c>
      <c r="B17" s="45" t="s">
        <v>42</v>
      </c>
      <c r="C17" s="46" t="s">
        <v>41</v>
      </c>
      <c r="D17" s="164"/>
      <c r="E17" s="164"/>
      <c r="F17" s="164"/>
      <c r="G17" s="164"/>
      <c r="H17" s="164"/>
    </row>
    <row r="18" spans="1:8" s="9" customFormat="1" x14ac:dyDescent="0.2">
      <c r="A18" s="10" t="s">
        <v>26</v>
      </c>
      <c r="B18" s="47" t="str">
        <f ca="1">CONCATENATE(SelectedDevice!E9, SelectedDevice!H9)</f>
        <v>25°C</v>
      </c>
      <c r="C18" s="48" t="str">
        <f ca="1" xml:space="preserve"> CONCATENATE("Enter the device ambient temperature. The calculator accepts values in the range  ",SelectedDevice!N9 )</f>
        <v>Enter the device ambient temperature. The calculator accepts values in the range  -40 to 85°C</v>
      </c>
      <c r="D18" s="164"/>
      <c r="E18" s="164"/>
      <c r="F18" s="164"/>
      <c r="G18" s="164"/>
      <c r="H18" s="164"/>
    </row>
    <row r="19" spans="1:8" s="9" customFormat="1" ht="24" x14ac:dyDescent="0.2">
      <c r="A19" s="10" t="s">
        <v>27</v>
      </c>
      <c r="B19" s="47" t="str">
        <f ca="1">CONCATENATE(SelectedDevice!E10,"ns")</f>
        <v>45ns</v>
      </c>
      <c r="C19" s="48" t="s">
        <v>209</v>
      </c>
      <c r="D19" s="164"/>
      <c r="E19" s="164"/>
      <c r="F19" s="164"/>
      <c r="G19" s="164"/>
      <c r="H19" s="164"/>
    </row>
    <row r="20" spans="1:8" s="9" customFormat="1" ht="24" x14ac:dyDescent="0.2">
      <c r="A20" s="10" t="s">
        <v>29</v>
      </c>
      <c r="B20" s="47" t="str">
        <f ca="1">CONCATENATE(SelectedDevice!E11,"ns")</f>
        <v>45ns</v>
      </c>
      <c r="C20" s="48" t="s">
        <v>210</v>
      </c>
      <c r="D20" s="164"/>
      <c r="E20" s="164"/>
      <c r="F20" s="164"/>
      <c r="G20" s="164"/>
      <c r="H20" s="164"/>
    </row>
    <row r="21" spans="1:8" s="9" customFormat="1" ht="24" x14ac:dyDescent="0.2">
      <c r="A21" s="10" t="s">
        <v>59</v>
      </c>
      <c r="B21" s="47" t="str">
        <f ca="1">CONCATENATE(SelectedDevice!E12,"ns")</f>
        <v>30ns</v>
      </c>
      <c r="C21" s="48" t="s">
        <v>75</v>
      </c>
      <c r="D21" s="164"/>
      <c r="E21" s="164"/>
      <c r="F21" s="164"/>
      <c r="G21" s="164"/>
      <c r="H21" s="164"/>
    </row>
    <row r="22" spans="1:8" s="9" customFormat="1" ht="24" x14ac:dyDescent="0.2">
      <c r="A22" s="10" t="s">
        <v>60</v>
      </c>
      <c r="B22" s="47" t="str">
        <f ca="1">CONCATENATE(SelectedDevice!E13,"ns")</f>
        <v>35ns</v>
      </c>
      <c r="C22" s="48" t="s">
        <v>44</v>
      </c>
      <c r="D22" s="164"/>
      <c r="E22" s="164"/>
      <c r="F22" s="164"/>
      <c r="G22" s="164"/>
      <c r="H22" s="164"/>
    </row>
    <row r="23" spans="1:8" s="9" customFormat="1" ht="24" x14ac:dyDescent="0.2">
      <c r="A23" s="10" t="s">
        <v>61</v>
      </c>
      <c r="B23" s="47" t="str">
        <f ca="1">SelectedDevice!N14</f>
        <v>0.3 Ω</v>
      </c>
      <c r="C23" s="48" t="str">
        <f ca="1">CONCATENATE("This is the datasheet value of switch resistance. The value of ",SelectedDevice!E14," Ohms is the nominal value at Tamb=25 Deg C.")</f>
        <v>This is the datasheet value of switch resistance. The value of 0.3 Ohms is the nominal value at Tamb=25 Deg C.</v>
      </c>
      <c r="D23" s="164"/>
      <c r="E23" s="164"/>
      <c r="F23" s="164"/>
      <c r="G23" s="164"/>
      <c r="H23" s="164"/>
    </row>
    <row r="24" spans="1:8" s="9" customFormat="1" ht="48" x14ac:dyDescent="0.2">
      <c r="A24" s="10" t="s">
        <v>62</v>
      </c>
      <c r="B24" s="47" t="str">
        <f ca="1">SelectedDevice!N15</f>
        <v>90°C/W</v>
      </c>
      <c r="C24" s="48" t="s">
        <v>50</v>
      </c>
      <c r="D24" s="164"/>
      <c r="E24" s="164"/>
      <c r="F24" s="164"/>
      <c r="G24" s="164"/>
      <c r="H24" s="164"/>
    </row>
    <row r="25" spans="1:8" ht="23.25" customHeight="1" x14ac:dyDescent="0.2">
      <c r="A25" s="10" t="s">
        <v>263</v>
      </c>
      <c r="B25" s="191" t="s">
        <v>264</v>
      </c>
      <c r="C25" s="48" t="str">
        <f ca="1">CONCATENATE("This is the DC voltage on the VSET pin. The calculator will accept alternative voltages in the range from ", SelectedDevice!N16, ". Note: When VSET is decreased below 2.5V the output current will decrease proportionally.")</f>
        <v>This is the DC voltage on the VSET pin. The calculator will accept alternative voltages in the range from 0.3 to 2.5V. Note: When VSET is decreased below 2.5V the output current will decrease proportionally.</v>
      </c>
      <c r="D25" s="24"/>
      <c r="E25" s="24"/>
      <c r="F25" s="24"/>
      <c r="G25" s="24"/>
      <c r="H25" s="24"/>
    </row>
    <row r="26" spans="1:8" x14ac:dyDescent="0.2">
      <c r="A26" s="72"/>
      <c r="B26" s="70"/>
      <c r="C26" s="40"/>
      <c r="D26" s="24"/>
      <c r="E26" s="24"/>
      <c r="F26" s="24"/>
      <c r="G26" s="24"/>
      <c r="H26" s="24"/>
    </row>
    <row r="27" spans="1:8" x14ac:dyDescent="0.2">
      <c r="A27" s="46" t="s">
        <v>265</v>
      </c>
      <c r="B27" s="45" t="s">
        <v>42</v>
      </c>
      <c r="C27" s="46" t="s">
        <v>41</v>
      </c>
      <c r="D27" s="24"/>
      <c r="E27" s="24"/>
      <c r="F27" s="24"/>
      <c r="G27" s="24"/>
      <c r="H27" s="24"/>
    </row>
    <row r="28" spans="1:8" ht="24" x14ac:dyDescent="0.2">
      <c r="A28" s="192" t="s">
        <v>217</v>
      </c>
      <c r="B28" s="47" t="str">
        <f ca="1">SelectedDevice!C41</f>
        <v>B350</v>
      </c>
      <c r="C28" s="71" t="s">
        <v>227</v>
      </c>
      <c r="D28" s="165"/>
      <c r="E28" s="24"/>
      <c r="F28" s="24"/>
      <c r="G28" s="24"/>
      <c r="H28" s="24"/>
    </row>
    <row r="29" spans="1:8" x14ac:dyDescent="0.2">
      <c r="A29" s="72"/>
      <c r="B29" s="70"/>
      <c r="C29" s="40"/>
      <c r="D29" s="165"/>
      <c r="E29" s="24"/>
      <c r="F29" s="24"/>
      <c r="G29" s="24"/>
      <c r="H29" s="24"/>
    </row>
    <row r="30" spans="1:8" x14ac:dyDescent="0.2">
      <c r="A30" s="72"/>
      <c r="B30" s="70"/>
      <c r="C30" s="40"/>
      <c r="D30" s="24"/>
      <c r="E30" s="24"/>
      <c r="F30" s="24"/>
      <c r="G30" s="24"/>
      <c r="H30" s="24"/>
    </row>
    <row r="31" spans="1:8" x14ac:dyDescent="0.2">
      <c r="A31" s="72"/>
      <c r="B31" s="70"/>
      <c r="C31" s="40"/>
      <c r="D31" s="24"/>
      <c r="E31" s="24"/>
      <c r="F31" s="24"/>
      <c r="G31" s="24"/>
      <c r="H31" s="24"/>
    </row>
    <row r="32" spans="1:8" s="7" customFormat="1" x14ac:dyDescent="0.2">
      <c r="A32" s="49"/>
      <c r="B32" s="51"/>
      <c r="C32" s="43"/>
      <c r="D32" s="31"/>
      <c r="E32" s="31"/>
      <c r="F32" s="31"/>
      <c r="G32" s="31"/>
      <c r="H32" s="31"/>
    </row>
    <row r="33" spans="1:8" ht="20.25" x14ac:dyDescent="0.3">
      <c r="A33" s="41" t="s">
        <v>76</v>
      </c>
      <c r="B33" s="51"/>
      <c r="C33" s="49"/>
      <c r="D33" s="163"/>
      <c r="E33" s="24"/>
      <c r="F33" s="24"/>
      <c r="G33" s="24"/>
      <c r="H33" s="24"/>
    </row>
    <row r="34" spans="1:8" x14ac:dyDescent="0.2">
      <c r="A34" s="11" t="s">
        <v>20</v>
      </c>
      <c r="B34" s="44" t="s">
        <v>42</v>
      </c>
      <c r="C34" s="46" t="s">
        <v>41</v>
      </c>
      <c r="D34" s="24"/>
      <c r="E34" s="24"/>
      <c r="F34" s="24"/>
      <c r="G34" s="24"/>
      <c r="H34" s="24"/>
    </row>
    <row r="35" spans="1:8" ht="12.75" customHeight="1" x14ac:dyDescent="0.2">
      <c r="A35" s="10" t="s">
        <v>9</v>
      </c>
      <c r="B35" s="47" t="str">
        <f ca="1">SelectedDevice!N17</f>
        <v>0.2 to 20µs</v>
      </c>
      <c r="C35" s="48" t="s">
        <v>78</v>
      </c>
      <c r="D35" s="24"/>
      <c r="E35" s="24"/>
      <c r="F35" s="24"/>
      <c r="G35" s="24"/>
      <c r="H35" s="24"/>
    </row>
    <row r="36" spans="1:8" x14ac:dyDescent="0.2">
      <c r="A36" s="10" t="s">
        <v>10</v>
      </c>
      <c r="B36" s="47" t="str">
        <f ca="1">SelectedDevice!N18</f>
        <v>0.2 to 20µs</v>
      </c>
      <c r="C36" s="48" t="s">
        <v>79</v>
      </c>
      <c r="D36" s="24"/>
      <c r="E36" s="24"/>
      <c r="F36" s="24"/>
      <c r="G36" s="24"/>
      <c r="H36" s="24"/>
    </row>
    <row r="37" spans="1:8" x14ac:dyDescent="0.2">
      <c r="A37" s="10" t="s">
        <v>63</v>
      </c>
      <c r="B37" s="47" t="str">
        <f ca="1">SelectedDevice!N19</f>
        <v>0.25 to 0.75</v>
      </c>
      <c r="C37" s="48" t="s">
        <v>80</v>
      </c>
      <c r="D37" s="24"/>
      <c r="E37" s="24"/>
      <c r="F37" s="24"/>
      <c r="G37" s="24"/>
      <c r="H37" s="24"/>
    </row>
    <row r="38" spans="1:8" s="7" customFormat="1" x14ac:dyDescent="0.2">
      <c r="A38" s="10" t="s">
        <v>64</v>
      </c>
      <c r="B38" s="47" t="str">
        <f ca="1">SelectedDevice!N20</f>
        <v>100 to 1000kHz</v>
      </c>
      <c r="C38" s="48" t="s">
        <v>81</v>
      </c>
      <c r="D38" s="31"/>
      <c r="E38" s="31"/>
      <c r="F38" s="31"/>
      <c r="G38" s="31"/>
      <c r="H38" s="31"/>
    </row>
    <row r="39" spans="1:8" x14ac:dyDescent="0.2">
      <c r="A39" s="68" t="s">
        <v>225</v>
      </c>
      <c r="B39" s="47" t="str">
        <f ca="1">SelectedDevice!N43</f>
        <v xml:space="preserve">8 </v>
      </c>
      <c r="C39" s="69" t="s">
        <v>238</v>
      </c>
      <c r="D39" s="24"/>
      <c r="E39" s="24"/>
      <c r="F39" s="24"/>
      <c r="G39" s="24"/>
      <c r="H39" s="24"/>
    </row>
    <row r="40" spans="1:8" x14ac:dyDescent="0.2">
      <c r="A40" s="13"/>
      <c r="B40" s="52"/>
      <c r="C40" s="53"/>
      <c r="D40" s="24"/>
      <c r="E40" s="24"/>
      <c r="F40" s="24"/>
      <c r="G40" s="24"/>
      <c r="H40" s="24"/>
    </row>
    <row r="41" spans="1:8" x14ac:dyDescent="0.2">
      <c r="A41" s="12" t="s">
        <v>21</v>
      </c>
      <c r="B41" s="44" t="s">
        <v>42</v>
      </c>
      <c r="C41" s="46" t="s">
        <v>41</v>
      </c>
      <c r="D41" s="24"/>
      <c r="E41" s="24"/>
      <c r="F41" s="24"/>
      <c r="G41" s="24"/>
      <c r="H41" s="24"/>
    </row>
    <row r="42" spans="1:8" x14ac:dyDescent="0.2">
      <c r="A42" s="10" t="s">
        <v>45</v>
      </c>
      <c r="B42" s="47" t="str">
        <f ca="1">SelectedDevice!N21</f>
        <v>120 to 1200mA</v>
      </c>
      <c r="C42" s="48" t="s">
        <v>82</v>
      </c>
      <c r="D42" s="24"/>
      <c r="E42" s="24"/>
      <c r="F42" s="24"/>
      <c r="G42" s="24"/>
      <c r="H42" s="24"/>
    </row>
    <row r="43" spans="1:8" x14ac:dyDescent="0.2">
      <c r="A43" s="10" t="s">
        <v>43</v>
      </c>
      <c r="B43" s="47" t="str">
        <f ca="1">SelectedDevice!N22</f>
        <v>80 to 800mA</v>
      </c>
      <c r="C43" s="48" t="s">
        <v>83</v>
      </c>
      <c r="D43" s="24"/>
      <c r="E43" s="24"/>
      <c r="F43" s="24"/>
      <c r="G43" s="24"/>
      <c r="H43" s="24"/>
    </row>
    <row r="44" spans="1:8" ht="24" x14ac:dyDescent="0.2">
      <c r="A44" s="10" t="s">
        <v>66</v>
      </c>
      <c r="B44" s="47" t="str">
        <f ca="1">SelectedDevice!N23</f>
        <v>40 to 400mA</v>
      </c>
      <c r="C44" s="48" t="s">
        <v>84</v>
      </c>
      <c r="D44" s="24"/>
      <c r="E44" s="24"/>
      <c r="F44" s="24"/>
      <c r="G44" s="24"/>
      <c r="H44" s="24"/>
    </row>
    <row r="45" spans="1:8" ht="24" x14ac:dyDescent="0.2">
      <c r="A45" s="10" t="s">
        <v>46</v>
      </c>
      <c r="B45" s="47" t="str">
        <f ca="1">SelectedDevice!N24</f>
        <v>100 to 2000mA</v>
      </c>
      <c r="C45" s="48" t="s">
        <v>85</v>
      </c>
      <c r="D45" s="24"/>
      <c r="E45" s="24"/>
      <c r="F45" s="24"/>
      <c r="G45" s="24"/>
      <c r="H45" s="24"/>
    </row>
    <row r="46" spans="1:8" x14ac:dyDescent="0.2">
      <c r="A46" s="13"/>
      <c r="B46" s="52"/>
      <c r="C46" s="53"/>
      <c r="D46" s="24"/>
      <c r="E46" s="24"/>
      <c r="F46" s="24"/>
      <c r="G46" s="24"/>
      <c r="H46" s="24"/>
    </row>
    <row r="47" spans="1:8" ht="20.25" customHeight="1" x14ac:dyDescent="0.2">
      <c r="A47" s="12" t="s">
        <v>22</v>
      </c>
      <c r="B47" s="44" t="s">
        <v>42</v>
      </c>
      <c r="C47" s="46" t="s">
        <v>41</v>
      </c>
      <c r="D47" s="24"/>
      <c r="E47" s="24"/>
      <c r="F47" s="24"/>
      <c r="G47" s="24"/>
      <c r="H47" s="24"/>
    </row>
    <row r="48" spans="1:8" x14ac:dyDescent="0.2">
      <c r="A48" s="10" t="s">
        <v>67</v>
      </c>
      <c r="B48" s="47" t="str">
        <f ca="1">SelectedDevice!N25</f>
        <v>3 to 24W</v>
      </c>
      <c r="C48" s="48" t="s">
        <v>86</v>
      </c>
      <c r="D48" s="24"/>
      <c r="E48" s="24"/>
      <c r="F48" s="24"/>
      <c r="G48" s="24"/>
      <c r="H48" s="24"/>
    </row>
    <row r="49" spans="1:8" ht="12.75" customHeight="1" x14ac:dyDescent="0.2">
      <c r="A49" s="10" t="s">
        <v>68</v>
      </c>
      <c r="B49" s="47" t="str">
        <f ca="1">SelectedDevice!N26</f>
        <v>1000µA</v>
      </c>
      <c r="C49" s="48" t="s">
        <v>87</v>
      </c>
      <c r="D49" s="24"/>
      <c r="E49" s="24"/>
      <c r="F49" s="24"/>
      <c r="G49" s="24"/>
      <c r="H49" s="24"/>
    </row>
    <row r="50" spans="1:8" s="7" customFormat="1" ht="24" x14ac:dyDescent="0.2">
      <c r="A50" s="10" t="s">
        <v>12</v>
      </c>
      <c r="B50" s="47"/>
      <c r="C50" s="48" t="s">
        <v>77</v>
      </c>
      <c r="D50" s="31"/>
      <c r="E50" s="31"/>
      <c r="F50" s="31"/>
      <c r="G50" s="31"/>
      <c r="H50" s="31"/>
    </row>
    <row r="51" spans="1:8" ht="24" x14ac:dyDescent="0.2">
      <c r="A51" s="10" t="s">
        <v>14</v>
      </c>
      <c r="B51" s="47"/>
      <c r="C51" s="48" t="s">
        <v>88</v>
      </c>
      <c r="D51" s="24"/>
      <c r="E51" s="24"/>
      <c r="F51" s="24"/>
      <c r="G51" s="24"/>
      <c r="H51" s="24"/>
    </row>
    <row r="52" spans="1:8" ht="24" x14ac:dyDescent="0.2">
      <c r="A52" s="10" t="s">
        <v>15</v>
      </c>
      <c r="B52" s="47" t="str">
        <f ca="1">SelectedDevice!N29</f>
        <v>100 to 1000mW</v>
      </c>
      <c r="C52" s="48" t="s">
        <v>89</v>
      </c>
      <c r="D52" s="24"/>
      <c r="E52" s="24"/>
      <c r="F52" s="24"/>
      <c r="G52" s="24"/>
      <c r="H52" s="24"/>
    </row>
    <row r="53" spans="1:8" ht="24" x14ac:dyDescent="0.2">
      <c r="A53" s="10" t="s">
        <v>16</v>
      </c>
      <c r="B53" s="47"/>
      <c r="C53" s="48" t="s">
        <v>90</v>
      </c>
      <c r="D53" s="24"/>
      <c r="E53" s="24"/>
      <c r="F53" s="24"/>
      <c r="G53" s="24"/>
      <c r="H53" s="24"/>
    </row>
    <row r="54" spans="1:8" x14ac:dyDescent="0.2">
      <c r="A54" s="10" t="s">
        <v>17</v>
      </c>
      <c r="B54" s="47"/>
      <c r="C54" s="48" t="s">
        <v>91</v>
      </c>
      <c r="D54" s="24"/>
      <c r="E54" s="24"/>
      <c r="F54" s="24"/>
      <c r="G54" s="24"/>
      <c r="H54" s="24"/>
    </row>
    <row r="55" spans="1:8" ht="24" x14ac:dyDescent="0.2">
      <c r="A55" s="10" t="s">
        <v>19</v>
      </c>
      <c r="B55" s="47"/>
      <c r="C55" s="48" t="s">
        <v>92</v>
      </c>
      <c r="D55" s="24"/>
      <c r="E55" s="24"/>
      <c r="F55" s="24"/>
      <c r="G55" s="24"/>
      <c r="H55" s="24"/>
    </row>
    <row r="56" spans="1:8" x14ac:dyDescent="0.2">
      <c r="A56" s="10" t="s">
        <v>69</v>
      </c>
      <c r="B56" s="47" t="str">
        <f ca="1">SelectedDevice!N33</f>
        <v>80 to 95%</v>
      </c>
      <c r="C56" s="48" t="s">
        <v>93</v>
      </c>
      <c r="D56" s="24"/>
      <c r="E56" s="24"/>
      <c r="F56" s="24"/>
      <c r="G56" s="24"/>
      <c r="H56" s="24"/>
    </row>
    <row r="57" spans="1:8" x14ac:dyDescent="0.2">
      <c r="A57" s="10" t="s">
        <v>70</v>
      </c>
      <c r="B57" s="47"/>
      <c r="C57" s="48" t="s">
        <v>94</v>
      </c>
      <c r="D57" s="24"/>
      <c r="E57" s="24"/>
      <c r="F57" s="24"/>
      <c r="G57" s="24"/>
      <c r="H57" s="24"/>
    </row>
    <row r="58" spans="1:8" x14ac:dyDescent="0.2">
      <c r="A58" s="13"/>
      <c r="B58" s="52"/>
      <c r="C58" s="53"/>
      <c r="D58" s="24"/>
      <c r="E58" s="24"/>
      <c r="F58" s="24"/>
      <c r="G58" s="24"/>
      <c r="H58" s="24"/>
    </row>
    <row r="59" spans="1:8" x14ac:dyDescent="0.2">
      <c r="A59" s="12" t="s">
        <v>51</v>
      </c>
      <c r="B59" s="44" t="s">
        <v>42</v>
      </c>
      <c r="C59" s="46" t="s">
        <v>41</v>
      </c>
      <c r="D59" s="24"/>
      <c r="E59" s="24"/>
      <c r="F59" s="24"/>
      <c r="G59" s="24"/>
      <c r="H59" s="24"/>
    </row>
    <row r="60" spans="1:8" ht="24" x14ac:dyDescent="0.2">
      <c r="A60" s="10" t="s">
        <v>48</v>
      </c>
      <c r="B60" s="54"/>
      <c r="C60" s="55" t="s">
        <v>211</v>
      </c>
      <c r="D60" s="24"/>
      <c r="E60" s="24"/>
      <c r="F60" s="24"/>
      <c r="G60" s="24"/>
      <c r="H60" s="24"/>
    </row>
    <row r="61" spans="1:8" ht="24" x14ac:dyDescent="0.2">
      <c r="A61" s="10" t="s">
        <v>71</v>
      </c>
      <c r="B61" s="54"/>
      <c r="C61" s="55" t="s">
        <v>49</v>
      </c>
      <c r="D61" s="24"/>
      <c r="E61" s="24"/>
      <c r="F61" s="24"/>
      <c r="G61" s="24"/>
      <c r="H61" s="24"/>
    </row>
    <row r="62" spans="1:8" x14ac:dyDescent="0.2">
      <c r="A62" s="166"/>
      <c r="B62" s="24"/>
      <c r="C62" s="166"/>
      <c r="D62" s="24"/>
      <c r="E62" s="24"/>
      <c r="F62" s="24"/>
      <c r="G62" s="24"/>
      <c r="H62" s="24"/>
    </row>
    <row r="63" spans="1:8" x14ac:dyDescent="0.2">
      <c r="A63" s="166"/>
      <c r="B63" s="24"/>
      <c r="C63" s="166"/>
      <c r="D63" s="24"/>
      <c r="E63" s="24"/>
      <c r="F63" s="24"/>
      <c r="G63" s="24"/>
      <c r="H63" s="24"/>
    </row>
    <row r="64" spans="1:8" x14ac:dyDescent="0.2">
      <c r="A64" s="166"/>
      <c r="B64" s="24"/>
      <c r="C64" s="166"/>
      <c r="D64" s="24"/>
      <c r="E64" s="24"/>
      <c r="F64" s="24"/>
      <c r="G64" s="24"/>
      <c r="H64" s="24"/>
    </row>
    <row r="65" spans="1:8" x14ac:dyDescent="0.2">
      <c r="A65" s="167"/>
      <c r="B65" s="24"/>
      <c r="C65" s="166"/>
      <c r="D65" s="24"/>
      <c r="E65" s="24"/>
      <c r="F65" s="24"/>
      <c r="G65" s="24"/>
      <c r="H65" s="24"/>
    </row>
    <row r="66" spans="1:8" x14ac:dyDescent="0.2">
      <c r="A66" s="166"/>
      <c r="B66" s="24"/>
      <c r="C66" s="166"/>
      <c r="D66" s="24"/>
      <c r="E66" s="24"/>
      <c r="F66" s="24"/>
      <c r="G66" s="24"/>
      <c r="H66" s="24"/>
    </row>
    <row r="67" spans="1:8" x14ac:dyDescent="0.2">
      <c r="A67" s="166"/>
      <c r="B67" s="24"/>
      <c r="C67" s="166"/>
      <c r="D67" s="24"/>
      <c r="E67" s="24"/>
      <c r="F67" s="24"/>
      <c r="G67" s="24"/>
      <c r="H67" s="24"/>
    </row>
    <row r="68" spans="1:8" x14ac:dyDescent="0.2">
      <c r="D68" s="24"/>
      <c r="E68" s="24"/>
      <c r="F68" s="24"/>
      <c r="G68" s="24"/>
      <c r="H68" s="24"/>
    </row>
  </sheetData>
  <sheetProtection password="CF1F" sheet="1" objects="1" scenarios="1" selectLockedCells="1"/>
  <mergeCells count="3">
    <mergeCell ref="A3:C3"/>
    <mergeCell ref="A4:C4"/>
    <mergeCell ref="A5:C5"/>
  </mergeCells>
  <phoneticPr fontId="9" type="noConversion"/>
  <pageMargins left="0.2" right="0.24" top="0.27" bottom="0.24" header="0.18" footer="0.16"/>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3"/>
  <sheetViews>
    <sheetView workbookViewId="0"/>
  </sheetViews>
  <sheetFormatPr defaultRowHeight="12.75" x14ac:dyDescent="0.2"/>
  <cols>
    <col min="1" max="1" width="25.85546875" bestFit="1" customWidth="1"/>
    <col min="14" max="14" width="14.28515625" bestFit="1" customWidth="1"/>
  </cols>
  <sheetData>
    <row r="1" spans="1:14" x14ac:dyDescent="0.2">
      <c r="A1" t="str">
        <f ca="1">INDIRECT(ADDRESS(ROW(),COLUMN(),4,,Calculator!$B$6))</f>
        <v>PAM2863ECR</v>
      </c>
      <c r="B1">
        <f ca="1">INDIRECT(ADDRESS(ROW(),COLUMN(),4,,Calculator!$B$6))</f>
        <v>0</v>
      </c>
      <c r="C1" t="str">
        <f ca="1">INDIRECT(ADDRESS(ROW(),COLUMN(),4,,Calculator!$B$6))</f>
        <v>FailMin</v>
      </c>
      <c r="D1" t="str">
        <f ca="1">INDIRECT(ADDRESS(ROW(),COLUMN(),4,,Calculator!$B$6))</f>
        <v>RecMin</v>
      </c>
      <c r="E1" t="str">
        <f ca="1">INDIRECT(ADDRESS(ROW(),COLUMN(),4,,Calculator!$B$6))</f>
        <v>Typ</v>
      </c>
      <c r="F1" t="str">
        <f ca="1">INDIRECT(ADDRESS(ROW(),COLUMN(),4,,Calculator!$B$6))</f>
        <v>RecMax</v>
      </c>
      <c r="G1" t="str">
        <f ca="1">INDIRECT(ADDRESS(ROW(),COLUMN(),4,,Calculator!$B$6))</f>
        <v>FailMax</v>
      </c>
      <c r="H1" t="str">
        <f ca="1">INDIRECT(ADDRESS(ROW(),COLUMN(),4,,Calculator!$B$6))</f>
        <v>Units</v>
      </c>
      <c r="I1">
        <f ca="1">INDIRECT(ADDRESS(ROW(),COLUMN(),4,,Calculator!$B$6))</f>
        <v>0</v>
      </c>
      <c r="J1">
        <f ca="1">INDIRECT(ADDRESS(ROW(),COLUMN(),4,,Calculator!$B$6))</f>
        <v>0</v>
      </c>
      <c r="K1">
        <f ca="1">INDIRECT(ADDRESS(ROW(),COLUMN(),4,,Calculator!$B$6))</f>
        <v>0</v>
      </c>
      <c r="L1">
        <f ca="1">INDIRECT(ADDRESS(ROW(),COLUMN(),4,,Calculator!$B$6))</f>
        <v>0</v>
      </c>
      <c r="M1">
        <f ca="1">INDIRECT(ADDRESS(ROW(),COLUMN(),4,,Calculator!$B$6))</f>
        <v>0</v>
      </c>
      <c r="N1" t="str">
        <f ca="1">INDIRECT(ADDRESS(ROW(),COLUMN(),4,,Calculator!$B$6))</f>
        <v>Typical spec</v>
      </c>
    </row>
    <row r="2" spans="1:14" x14ac:dyDescent="0.2">
      <c r="A2" t="str">
        <f ca="1">INDIRECT(ADDRESS(ROW(),COLUMN(),4,,Calculator!$B$6))</f>
        <v>Supply Voltage</v>
      </c>
      <c r="B2" t="str">
        <f ca="1">INDIRECT(ADDRESS(ROW(),COLUMN(),4,,Calculator!$B$6))</f>
        <v>(Vin)</v>
      </c>
      <c r="C2">
        <f ca="1">INDIRECT(ADDRESS(ROW(),COLUMN(),4,,Calculator!$B$6))</f>
        <v>4.5</v>
      </c>
      <c r="D2">
        <f ca="1">INDIRECT(ADDRESS(ROW(),COLUMN(),4,,Calculator!$B$6))</f>
        <v>4.5</v>
      </c>
      <c r="E2">
        <f ca="1">INDIRECT(ADDRESS(ROW(),COLUMN(),4,,Calculator!$B$6))</f>
        <v>12</v>
      </c>
      <c r="F2">
        <f ca="1">INDIRECT(ADDRESS(ROW(),COLUMN(),4,,Calculator!$B$6))</f>
        <v>40</v>
      </c>
      <c r="G2">
        <f ca="1">INDIRECT(ADDRESS(ROW(),COLUMN(),4,,Calculator!$B$6))</f>
        <v>40</v>
      </c>
      <c r="H2" t="str">
        <f ca="1">INDIRECT(ADDRESS(ROW(),COLUMN(),4,,Calculator!$B$6))</f>
        <v>V</v>
      </c>
      <c r="I2" t="b">
        <f ca="1">INDIRECT(ADDRESS(ROW(),COLUMN(),4,,Calculator!$B$6))</f>
        <v>1</v>
      </c>
      <c r="J2" t="b">
        <f ca="1">INDIRECT(ADDRESS(ROW(),COLUMN(),4,,Calculator!$B$6))</f>
        <v>1</v>
      </c>
      <c r="K2" t="b">
        <f ca="1">INDIRECT(ADDRESS(ROW(),COLUMN(),4,,Calculator!$B$6))</f>
        <v>1</v>
      </c>
      <c r="L2" t="b">
        <f ca="1">INDIRECT(ADDRESS(ROW(),COLUMN(),4,,Calculator!$B$6))</f>
        <v>1</v>
      </c>
      <c r="M2" t="b">
        <f ca="1">INDIRECT(ADDRESS(ROW(),COLUMN(),4,,Calculator!$B$6))</f>
        <v>1</v>
      </c>
      <c r="N2" t="str">
        <f ca="1">INDIRECT(ADDRESS(ROW(),COLUMN(),4,,Calculator!$B$6))</f>
        <v>4.5 to 40V</v>
      </c>
    </row>
    <row r="3" spans="1:14" x14ac:dyDescent="0.2">
      <c r="A3" t="str">
        <f ca="1">INDIRECT(ADDRESS(ROW(),COLUMN(),4,,Calculator!$B$6))</f>
        <v>No of LEDs</v>
      </c>
      <c r="B3" t="str">
        <f ca="1">INDIRECT(ADDRESS(ROW(),COLUMN(),4,,Calculator!$B$6))</f>
        <v>(N)</v>
      </c>
      <c r="C3">
        <f ca="1">INDIRECT(ADDRESS(ROW(),COLUMN(),4,,Calculator!$B$6))</f>
        <v>1</v>
      </c>
      <c r="D3">
        <f ca="1">INDIRECT(ADDRESS(ROW(),COLUMN(),4,,Calculator!$B$6))</f>
        <v>1</v>
      </c>
      <c r="E3">
        <f ca="1">INDIRECT(ADDRESS(ROW(),COLUMN(),4,,Calculator!$B$6))</f>
        <v>1</v>
      </c>
      <c r="F3">
        <f ca="1">INDIRECT(ADDRESS(ROW(),COLUMN(),4,,Calculator!$B$6))</f>
        <v>8</v>
      </c>
      <c r="G3">
        <f ca="1">INDIRECT(ADDRESS(ROW(),COLUMN(),4,,Calculator!$B$6))</f>
        <v>15</v>
      </c>
      <c r="H3">
        <f ca="1">INDIRECT(ADDRESS(ROW(),COLUMN(),4,,Calculator!$B$6))</f>
        <v>0</v>
      </c>
      <c r="I3" t="b">
        <f ca="1">INDIRECT(ADDRESS(ROW(),COLUMN(),4,,Calculator!$B$6))</f>
        <v>1</v>
      </c>
      <c r="J3" t="b">
        <f ca="1">INDIRECT(ADDRESS(ROW(),COLUMN(),4,,Calculator!$B$6))</f>
        <v>1</v>
      </c>
      <c r="K3" t="b">
        <f ca="1">INDIRECT(ADDRESS(ROW(),COLUMN(),4,,Calculator!$B$6))</f>
        <v>1</v>
      </c>
      <c r="L3" t="b">
        <f ca="1">INDIRECT(ADDRESS(ROW(),COLUMN(),4,,Calculator!$B$6))</f>
        <v>1</v>
      </c>
      <c r="M3" t="b">
        <f ca="1">INDIRECT(ADDRESS(ROW(),COLUMN(),4,,Calculator!$B$6))</f>
        <v>1</v>
      </c>
      <c r="N3" t="str">
        <f ca="1">INDIRECT(ADDRESS(ROW(),COLUMN(),4,,Calculator!$B$6))</f>
        <v>1 to 8</v>
      </c>
    </row>
    <row r="4" spans="1:14" x14ac:dyDescent="0.2">
      <c r="A4" t="str">
        <f ca="1">INDIRECT(ADDRESS(ROW(),COLUMN(),4,,Calculator!$B$6))</f>
        <v>LED Forward Voltage</v>
      </c>
      <c r="B4" t="str">
        <f ca="1">INDIRECT(ADDRESS(ROW(),COLUMN(),4,,Calculator!$B$6))</f>
        <v>(VLED)</v>
      </c>
      <c r="C4">
        <f ca="1">INDIRECT(ADDRESS(ROW(),COLUMN(),4,,Calculator!$B$6))</f>
        <v>2</v>
      </c>
      <c r="D4">
        <f ca="1">INDIRECT(ADDRESS(ROW(),COLUMN(),4,,Calculator!$B$6))</f>
        <v>0</v>
      </c>
      <c r="E4">
        <f ca="1">INDIRECT(ADDRESS(ROW(),COLUMN(),4,,Calculator!$B$6))</f>
        <v>3</v>
      </c>
      <c r="F4">
        <f ca="1">INDIRECT(ADDRESS(ROW(),COLUMN(),4,,Calculator!$B$6))</f>
        <v>0</v>
      </c>
      <c r="G4">
        <f ca="1">INDIRECT(ADDRESS(ROW(),COLUMN(),4,,Calculator!$B$6))</f>
        <v>5</v>
      </c>
      <c r="H4" t="str">
        <f ca="1">INDIRECT(ADDRESS(ROW(),COLUMN(),4,,Calculator!$B$6))</f>
        <v>V</v>
      </c>
      <c r="I4" t="b">
        <f ca="1">INDIRECT(ADDRESS(ROW(),COLUMN(),4,,Calculator!$B$6))</f>
        <v>1</v>
      </c>
      <c r="J4" t="b">
        <f ca="1">INDIRECT(ADDRESS(ROW(),COLUMN(),4,,Calculator!$B$6))</f>
        <v>0</v>
      </c>
      <c r="K4" t="b">
        <f ca="1">INDIRECT(ADDRESS(ROW(),COLUMN(),4,,Calculator!$B$6))</f>
        <v>1</v>
      </c>
      <c r="L4" t="b">
        <f ca="1">INDIRECT(ADDRESS(ROW(),COLUMN(),4,,Calculator!$B$6))</f>
        <v>0</v>
      </c>
      <c r="M4" t="b">
        <f ca="1">INDIRECT(ADDRESS(ROW(),COLUMN(),4,,Calculator!$B$6))</f>
        <v>1</v>
      </c>
      <c r="N4" t="str">
        <f ca="1">INDIRECT(ADDRESS(ROW(),COLUMN(),4,,Calculator!$B$6))</f>
        <v>3V</v>
      </c>
    </row>
    <row r="5" spans="1:14" x14ac:dyDescent="0.2">
      <c r="A5" t="str">
        <f ca="1">INDIRECT(ADDRESS(ROW(),COLUMN(),4,,Calculator!$B$6))</f>
        <v>Free-wheel Diode Voltage</v>
      </c>
      <c r="B5" t="str">
        <f ca="1">INDIRECT(ADDRESS(ROW(),COLUMN(),4,,Calculator!$B$6))</f>
        <v>(VF)</v>
      </c>
      <c r="C5">
        <f ca="1">INDIRECT(ADDRESS(ROW(),COLUMN(),4,,Calculator!$B$6))</f>
        <v>0</v>
      </c>
      <c r="D5">
        <f ca="1">INDIRECT(ADDRESS(ROW(),COLUMN(),4,,Calculator!$B$6))</f>
        <v>0</v>
      </c>
      <c r="E5">
        <f ca="1">INDIRECT(ADDRESS(ROW(),COLUMN(),4,,Calculator!$B$6))</f>
        <v>0.4</v>
      </c>
      <c r="F5">
        <f ca="1">INDIRECT(ADDRESS(ROW(),COLUMN(),4,,Calculator!$B$6))</f>
        <v>0</v>
      </c>
      <c r="G5">
        <f ca="1">INDIRECT(ADDRESS(ROW(),COLUMN(),4,,Calculator!$B$6))</f>
        <v>1.5</v>
      </c>
      <c r="H5" t="str">
        <f ca="1">INDIRECT(ADDRESS(ROW(),COLUMN(),4,,Calculator!$B$6))</f>
        <v>V</v>
      </c>
      <c r="I5" t="b">
        <f ca="1">INDIRECT(ADDRESS(ROW(),COLUMN(),4,,Calculator!$B$6))</f>
        <v>1</v>
      </c>
      <c r="J5" t="b">
        <f ca="1">INDIRECT(ADDRESS(ROW(),COLUMN(),4,,Calculator!$B$6))</f>
        <v>0</v>
      </c>
      <c r="K5" t="b">
        <f ca="1">INDIRECT(ADDRESS(ROW(),COLUMN(),4,,Calculator!$B$6))</f>
        <v>1</v>
      </c>
      <c r="L5" t="b">
        <f ca="1">INDIRECT(ADDRESS(ROW(),COLUMN(),4,,Calculator!$B$6))</f>
        <v>0</v>
      </c>
      <c r="M5" t="b">
        <f ca="1">INDIRECT(ADDRESS(ROW(),COLUMN(),4,,Calculator!$B$6))</f>
        <v>1</v>
      </c>
      <c r="N5" t="str">
        <f ca="1">INDIRECT(ADDRESS(ROW(),COLUMN(),4,,Calculator!$B$6))</f>
        <v>0.4V</v>
      </c>
    </row>
    <row r="6" spans="1:14" x14ac:dyDescent="0.2">
      <c r="A6" t="str">
        <f ca="1">INDIRECT(ADDRESS(ROW(),COLUMN(),4,,Calculator!$B$6))</f>
        <v>Current Sense Resistor</v>
      </c>
      <c r="B6" t="str">
        <f ca="1">INDIRECT(ADDRESS(ROW(),COLUMN(),4,,Calculator!$B$6))</f>
        <v>(Rs)</v>
      </c>
      <c r="C6">
        <f ca="1">INDIRECT(ADDRESS(ROW(),COLUMN(),4,,Calculator!$B$6))</f>
        <v>0.05</v>
      </c>
      <c r="D6">
        <f ca="1">INDIRECT(ADDRESS(ROW(),COLUMN(),4,,Calculator!$B$6))</f>
        <v>0.05</v>
      </c>
      <c r="E6">
        <f ca="1">INDIRECT(ADDRESS(ROW(),COLUMN(),4,,Calculator!$B$6))</f>
        <v>0.15</v>
      </c>
      <c r="F6">
        <f ca="1">INDIRECT(ADDRESS(ROW(),COLUMN(),4,,Calculator!$B$6))</f>
        <v>0.5</v>
      </c>
      <c r="G6">
        <f ca="1">INDIRECT(ADDRESS(ROW(),COLUMN(),4,,Calculator!$B$6))</f>
        <v>10</v>
      </c>
      <c r="H6" t="str">
        <f ca="1">INDIRECT(ADDRESS(ROW(),COLUMN(),4,,Calculator!$B$6))</f>
        <v>Ω</v>
      </c>
      <c r="I6" t="b">
        <f ca="1">INDIRECT(ADDRESS(ROW(),COLUMN(),4,,Calculator!$B$6))</f>
        <v>1</v>
      </c>
      <c r="J6" t="b">
        <f ca="1">INDIRECT(ADDRESS(ROW(),COLUMN(),4,,Calculator!$B$6))</f>
        <v>1</v>
      </c>
      <c r="K6" t="b">
        <f ca="1">INDIRECT(ADDRESS(ROW(),COLUMN(),4,,Calculator!$B$6))</f>
        <v>1</v>
      </c>
      <c r="L6" t="b">
        <f ca="1">INDIRECT(ADDRESS(ROW(),COLUMN(),4,,Calculator!$B$6))</f>
        <v>1</v>
      </c>
      <c r="M6" t="b">
        <f ca="1">INDIRECT(ADDRESS(ROW(),COLUMN(),4,,Calculator!$B$6))</f>
        <v>1</v>
      </c>
      <c r="N6" t="str">
        <f ca="1">INDIRECT(ADDRESS(ROW(),COLUMN(),4,,Calculator!$B$6))</f>
        <v>0.05 to 0.5Ω</v>
      </c>
    </row>
    <row r="7" spans="1:14" x14ac:dyDescent="0.2">
      <c r="A7" t="str">
        <f ca="1">INDIRECT(ADDRESS(ROW(),COLUMN(),4,,Calculator!$B$6))</f>
        <v>Coil Inductance</v>
      </c>
      <c r="B7" t="str">
        <f ca="1">INDIRECT(ADDRESS(ROW(),COLUMN(),4,,Calculator!$B$6))</f>
        <v>(L)</v>
      </c>
      <c r="C7">
        <f ca="1">INDIRECT(ADDRESS(ROW(),COLUMN(),4,,Calculator!$B$6))</f>
        <v>9</v>
      </c>
      <c r="D7">
        <f ca="1">INDIRECT(ADDRESS(ROW(),COLUMN(),4,,Calculator!$B$6))</f>
        <v>22</v>
      </c>
      <c r="E7">
        <f ca="1">INDIRECT(ADDRESS(ROW(),COLUMN(),4,,Calculator!$B$6))</f>
        <v>33</v>
      </c>
      <c r="F7">
        <f ca="1">INDIRECT(ADDRESS(ROW(),COLUMN(),4,,Calculator!$B$6))</f>
        <v>1000</v>
      </c>
      <c r="G7">
        <f ca="1">INDIRECT(ADDRESS(ROW(),COLUMN(),4,,Calculator!$B$6))</f>
        <v>1100</v>
      </c>
      <c r="H7" t="str">
        <f ca="1">INDIRECT(ADDRESS(ROW(),COLUMN(),4,,Calculator!$B$6))</f>
        <v>µH</v>
      </c>
      <c r="I7" t="b">
        <f ca="1">INDIRECT(ADDRESS(ROW(),COLUMN(),4,,Calculator!$B$6))</f>
        <v>1</v>
      </c>
      <c r="J7" t="b">
        <f ca="1">INDIRECT(ADDRESS(ROW(),COLUMN(),4,,Calculator!$B$6))</f>
        <v>1</v>
      </c>
      <c r="K7" t="b">
        <f ca="1">INDIRECT(ADDRESS(ROW(),COLUMN(),4,,Calculator!$B$6))</f>
        <v>1</v>
      </c>
      <c r="L7" t="b">
        <f ca="1">INDIRECT(ADDRESS(ROW(),COLUMN(),4,,Calculator!$B$6))</f>
        <v>1</v>
      </c>
      <c r="M7" t="b">
        <f ca="1">INDIRECT(ADDRESS(ROW(),COLUMN(),4,,Calculator!$B$6))</f>
        <v>1</v>
      </c>
      <c r="N7" t="str">
        <f ca="1">INDIRECT(ADDRESS(ROW(),COLUMN(),4,,Calculator!$B$6))</f>
        <v>22 to 1000µH</v>
      </c>
    </row>
    <row r="8" spans="1:14" x14ac:dyDescent="0.2">
      <c r="A8" t="str">
        <f ca="1">INDIRECT(ADDRESS(ROW(),COLUMN(),4,,Calculator!$B$6))</f>
        <v>Coil Resistance</v>
      </c>
      <c r="B8" t="str">
        <f ca="1">INDIRECT(ADDRESS(ROW(),COLUMN(),4,,Calculator!$B$6))</f>
        <v>(rL)</v>
      </c>
      <c r="C8">
        <f ca="1">INDIRECT(ADDRESS(ROW(),COLUMN(),4,,Calculator!$B$6))</f>
        <v>0</v>
      </c>
      <c r="D8">
        <f ca="1">INDIRECT(ADDRESS(ROW(),COLUMN(),4,,Calculator!$B$6))</f>
        <v>0.1</v>
      </c>
      <c r="E8">
        <f ca="1">INDIRECT(ADDRESS(ROW(),COLUMN(),4,,Calculator!$B$6))</f>
        <v>0.25</v>
      </c>
      <c r="F8">
        <f ca="1">INDIRECT(ADDRESS(ROW(),COLUMN(),4,,Calculator!$B$6))</f>
        <v>1</v>
      </c>
      <c r="G8">
        <f ca="1">INDIRECT(ADDRESS(ROW(),COLUMN(),4,,Calculator!$B$6))</f>
        <v>3</v>
      </c>
      <c r="H8" t="str">
        <f ca="1">INDIRECT(ADDRESS(ROW(),COLUMN(),4,,Calculator!$B$6))</f>
        <v>Ω</v>
      </c>
      <c r="I8" t="b">
        <f ca="1">INDIRECT(ADDRESS(ROW(),COLUMN(),4,,Calculator!$B$6))</f>
        <v>1</v>
      </c>
      <c r="J8" t="b">
        <f ca="1">INDIRECT(ADDRESS(ROW(),COLUMN(),4,,Calculator!$B$6))</f>
        <v>1</v>
      </c>
      <c r="K8" t="b">
        <f ca="1">INDIRECT(ADDRESS(ROW(),COLUMN(),4,,Calculator!$B$6))</f>
        <v>1</v>
      </c>
      <c r="L8" t="b">
        <f ca="1">INDIRECT(ADDRESS(ROW(),COLUMN(),4,,Calculator!$B$6))</f>
        <v>1</v>
      </c>
      <c r="M8" t="b">
        <f ca="1">INDIRECT(ADDRESS(ROW(),COLUMN(),4,,Calculator!$B$6))</f>
        <v>1</v>
      </c>
      <c r="N8" t="str">
        <f ca="1">INDIRECT(ADDRESS(ROW(),COLUMN(),4,,Calculator!$B$6))</f>
        <v>0.1 to 1Ω</v>
      </c>
    </row>
    <row r="9" spans="1:14" x14ac:dyDescent="0.2">
      <c r="A9" t="str">
        <f ca="1">INDIRECT(ADDRESS(ROW(),COLUMN(),4,,Calculator!$B$6))</f>
        <v>Ambient Temperature</v>
      </c>
      <c r="B9" t="str">
        <f ca="1">INDIRECT(ADDRESS(ROW(),COLUMN(),4,,Calculator!$B$6))</f>
        <v>(Tamb)</v>
      </c>
      <c r="C9">
        <f ca="1">INDIRECT(ADDRESS(ROW(),COLUMN(),4,,Calculator!$B$6))</f>
        <v>-40</v>
      </c>
      <c r="D9">
        <f ca="1">INDIRECT(ADDRESS(ROW(),COLUMN(),4,,Calculator!$B$6))</f>
        <v>-40</v>
      </c>
      <c r="E9">
        <f ca="1">INDIRECT(ADDRESS(ROW(),COLUMN(),4,,Calculator!$B$6))</f>
        <v>25</v>
      </c>
      <c r="F9">
        <f ca="1">INDIRECT(ADDRESS(ROW(),COLUMN(),4,,Calculator!$B$6))</f>
        <v>85</v>
      </c>
      <c r="G9">
        <f ca="1">INDIRECT(ADDRESS(ROW(),COLUMN(),4,,Calculator!$B$6))</f>
        <v>85</v>
      </c>
      <c r="H9" t="str">
        <f ca="1">INDIRECT(ADDRESS(ROW(),COLUMN(),4,,Calculator!$B$6))</f>
        <v>°C</v>
      </c>
      <c r="I9" t="b">
        <f ca="1">INDIRECT(ADDRESS(ROW(),COLUMN(),4,,Calculator!$B$6))</f>
        <v>1</v>
      </c>
      <c r="J9" t="b">
        <f ca="1">INDIRECT(ADDRESS(ROW(),COLUMN(),4,,Calculator!$B$6))</f>
        <v>1</v>
      </c>
      <c r="K9" t="b">
        <f ca="1">INDIRECT(ADDRESS(ROW(),COLUMN(),4,,Calculator!$B$6))</f>
        <v>1</v>
      </c>
      <c r="L9" t="b">
        <f ca="1">INDIRECT(ADDRESS(ROW(),COLUMN(),4,,Calculator!$B$6))</f>
        <v>1</v>
      </c>
      <c r="M9" t="b">
        <f ca="1">INDIRECT(ADDRESS(ROW(),COLUMN(),4,,Calculator!$B$6))</f>
        <v>1</v>
      </c>
      <c r="N9" t="str">
        <f ca="1">INDIRECT(ADDRESS(ROW(),COLUMN(),4,,Calculator!$B$6))</f>
        <v>-40 to 85°C</v>
      </c>
    </row>
    <row r="10" spans="1:14" x14ac:dyDescent="0.2">
      <c r="A10" t="str">
        <f ca="1">INDIRECT(ADDRESS(ROW(),COLUMN(),4,,Calculator!$B$6))</f>
        <v>Comparator L&gt;H prop delay</v>
      </c>
      <c r="B10" t="str">
        <f ca="1">INDIRECT(ADDRESS(ROW(),COLUMN(),4,,Calculator!$B$6))</f>
        <v>(TpdH)</v>
      </c>
      <c r="C10">
        <f ca="1">INDIRECT(ADDRESS(ROW(),COLUMN(),4,,Calculator!$B$6))</f>
        <v>0</v>
      </c>
      <c r="D10">
        <f ca="1">INDIRECT(ADDRESS(ROW(),COLUMN(),4,,Calculator!$B$6))</f>
        <v>0</v>
      </c>
      <c r="E10">
        <f ca="1">INDIRECT(ADDRESS(ROW(),COLUMN(),4,,Calculator!$B$6))</f>
        <v>45</v>
      </c>
      <c r="F10">
        <f ca="1">INDIRECT(ADDRESS(ROW(),COLUMN(),4,,Calculator!$B$6))</f>
        <v>0</v>
      </c>
      <c r="G10">
        <f ca="1">INDIRECT(ADDRESS(ROW(),COLUMN(),4,,Calculator!$B$6))</f>
        <v>0</v>
      </c>
      <c r="H10" t="str">
        <f ca="1">INDIRECT(ADDRESS(ROW(),COLUMN(),4,,Calculator!$B$6))</f>
        <v>ns</v>
      </c>
      <c r="I10" t="b">
        <f ca="1">INDIRECT(ADDRESS(ROW(),COLUMN(),4,,Calculator!$B$6))</f>
        <v>0</v>
      </c>
      <c r="J10" t="b">
        <f ca="1">INDIRECT(ADDRESS(ROW(),COLUMN(),4,,Calculator!$B$6))</f>
        <v>0</v>
      </c>
      <c r="K10" t="b">
        <f ca="1">INDIRECT(ADDRESS(ROW(),COLUMN(),4,,Calculator!$B$6))</f>
        <v>1</v>
      </c>
      <c r="L10" t="b">
        <f ca="1">INDIRECT(ADDRESS(ROW(),COLUMN(),4,,Calculator!$B$6))</f>
        <v>0</v>
      </c>
      <c r="M10" t="b">
        <f ca="1">INDIRECT(ADDRESS(ROW(),COLUMN(),4,,Calculator!$B$6))</f>
        <v>0</v>
      </c>
      <c r="N10" t="str">
        <f ca="1">INDIRECT(ADDRESS(ROW(),COLUMN(),4,,Calculator!$B$6))</f>
        <v>45ns</v>
      </c>
    </row>
    <row r="11" spans="1:14" x14ac:dyDescent="0.2">
      <c r="A11" t="str">
        <f ca="1">INDIRECT(ADDRESS(ROW(),COLUMN(),4,,Calculator!$B$6))</f>
        <v>Comparator H&gt;L prop delay</v>
      </c>
      <c r="B11" t="str">
        <f ca="1">INDIRECT(ADDRESS(ROW(),COLUMN(),4,,Calculator!$B$6))</f>
        <v>(TpdL)</v>
      </c>
      <c r="C11">
        <f ca="1">INDIRECT(ADDRESS(ROW(),COLUMN(),4,,Calculator!$B$6))</f>
        <v>0</v>
      </c>
      <c r="D11">
        <f ca="1">INDIRECT(ADDRESS(ROW(),COLUMN(),4,,Calculator!$B$6))</f>
        <v>0</v>
      </c>
      <c r="E11">
        <f ca="1">INDIRECT(ADDRESS(ROW(),COLUMN(),4,,Calculator!$B$6))</f>
        <v>45</v>
      </c>
      <c r="F11">
        <f ca="1">INDIRECT(ADDRESS(ROW(),COLUMN(),4,,Calculator!$B$6))</f>
        <v>0</v>
      </c>
      <c r="G11">
        <f ca="1">INDIRECT(ADDRESS(ROW(),COLUMN(),4,,Calculator!$B$6))</f>
        <v>0</v>
      </c>
      <c r="H11" t="str">
        <f ca="1">INDIRECT(ADDRESS(ROW(),COLUMN(),4,,Calculator!$B$6))</f>
        <v>ns</v>
      </c>
      <c r="I11" t="b">
        <f ca="1">INDIRECT(ADDRESS(ROW(),COLUMN(),4,,Calculator!$B$6))</f>
        <v>0</v>
      </c>
      <c r="J11" t="b">
        <f ca="1">INDIRECT(ADDRESS(ROW(),COLUMN(),4,,Calculator!$B$6))</f>
        <v>0</v>
      </c>
      <c r="K11" t="b">
        <f ca="1">INDIRECT(ADDRESS(ROW(),COLUMN(),4,,Calculator!$B$6))</f>
        <v>1</v>
      </c>
      <c r="L11" t="b">
        <f ca="1">INDIRECT(ADDRESS(ROW(),COLUMN(),4,,Calculator!$B$6))</f>
        <v>0</v>
      </c>
      <c r="M11" t="b">
        <f ca="1">INDIRECT(ADDRESS(ROW(),COLUMN(),4,,Calculator!$B$6))</f>
        <v>0</v>
      </c>
      <c r="N11" t="str">
        <f ca="1">INDIRECT(ADDRESS(ROW(),COLUMN(),4,,Calculator!$B$6))</f>
        <v>45ns</v>
      </c>
    </row>
    <row r="12" spans="1:14" x14ac:dyDescent="0.2">
      <c r="A12" t="str">
        <f ca="1">INDIRECT(ADDRESS(ROW(),COLUMN(),4,,Calculator!$B$6))</f>
        <v>LX voltage risetime</v>
      </c>
      <c r="B12" t="str">
        <f ca="1">INDIRECT(ADDRESS(ROW(),COLUMN(),4,,Calculator!$B$6))</f>
        <v>(Tr)</v>
      </c>
      <c r="C12">
        <f ca="1">INDIRECT(ADDRESS(ROW(),COLUMN(),4,,Calculator!$B$6))</f>
        <v>0</v>
      </c>
      <c r="D12">
        <f ca="1">INDIRECT(ADDRESS(ROW(),COLUMN(),4,,Calculator!$B$6))</f>
        <v>0</v>
      </c>
      <c r="E12">
        <f ca="1">INDIRECT(ADDRESS(ROW(),COLUMN(),4,,Calculator!$B$6))</f>
        <v>30</v>
      </c>
      <c r="F12">
        <f ca="1">INDIRECT(ADDRESS(ROW(),COLUMN(),4,,Calculator!$B$6))</f>
        <v>0</v>
      </c>
      <c r="G12">
        <f ca="1">INDIRECT(ADDRESS(ROW(),COLUMN(),4,,Calculator!$B$6))</f>
        <v>0</v>
      </c>
      <c r="H12" t="str">
        <f ca="1">INDIRECT(ADDRESS(ROW(),COLUMN(),4,,Calculator!$B$6))</f>
        <v>ns</v>
      </c>
      <c r="I12" t="b">
        <f ca="1">INDIRECT(ADDRESS(ROW(),COLUMN(),4,,Calculator!$B$6))</f>
        <v>0</v>
      </c>
      <c r="J12" t="b">
        <f ca="1">INDIRECT(ADDRESS(ROW(),COLUMN(),4,,Calculator!$B$6))</f>
        <v>0</v>
      </c>
      <c r="K12" t="b">
        <f ca="1">INDIRECT(ADDRESS(ROW(),COLUMN(),4,,Calculator!$B$6))</f>
        <v>1</v>
      </c>
      <c r="L12" t="b">
        <f ca="1">INDIRECT(ADDRESS(ROW(),COLUMN(),4,,Calculator!$B$6))</f>
        <v>0</v>
      </c>
      <c r="M12" t="b">
        <f ca="1">INDIRECT(ADDRESS(ROW(),COLUMN(),4,,Calculator!$B$6))</f>
        <v>0</v>
      </c>
      <c r="N12" t="str">
        <f ca="1">INDIRECT(ADDRESS(ROW(),COLUMN(),4,,Calculator!$B$6))</f>
        <v>30ns</v>
      </c>
    </row>
    <row r="13" spans="1:14" x14ac:dyDescent="0.2">
      <c r="A13" t="str">
        <f ca="1">INDIRECT(ADDRESS(ROW(),COLUMN(),4,,Calculator!$B$6))</f>
        <v>LX voltage falltime</v>
      </c>
      <c r="B13" t="str">
        <f ca="1">INDIRECT(ADDRESS(ROW(),COLUMN(),4,,Calculator!$B$6))</f>
        <v>(Tf)</v>
      </c>
      <c r="C13">
        <f ca="1">INDIRECT(ADDRESS(ROW(),COLUMN(),4,,Calculator!$B$6))</f>
        <v>0</v>
      </c>
      <c r="D13">
        <f ca="1">INDIRECT(ADDRESS(ROW(),COLUMN(),4,,Calculator!$B$6))</f>
        <v>0</v>
      </c>
      <c r="E13">
        <f ca="1">INDIRECT(ADDRESS(ROW(),COLUMN(),4,,Calculator!$B$6))</f>
        <v>35</v>
      </c>
      <c r="F13">
        <f ca="1">INDIRECT(ADDRESS(ROW(),COLUMN(),4,,Calculator!$B$6))</f>
        <v>0</v>
      </c>
      <c r="G13">
        <f ca="1">INDIRECT(ADDRESS(ROW(),COLUMN(),4,,Calculator!$B$6))</f>
        <v>0</v>
      </c>
      <c r="H13" t="str">
        <f ca="1">INDIRECT(ADDRESS(ROW(),COLUMN(),4,,Calculator!$B$6))</f>
        <v>ns</v>
      </c>
      <c r="I13" t="b">
        <f ca="1">INDIRECT(ADDRESS(ROW(),COLUMN(),4,,Calculator!$B$6))</f>
        <v>0</v>
      </c>
      <c r="J13" t="b">
        <f ca="1">INDIRECT(ADDRESS(ROW(),COLUMN(),4,,Calculator!$B$6))</f>
        <v>0</v>
      </c>
      <c r="K13" t="b">
        <f ca="1">INDIRECT(ADDRESS(ROW(),COLUMN(),4,,Calculator!$B$6))</f>
        <v>1</v>
      </c>
      <c r="L13" t="b">
        <f ca="1">INDIRECT(ADDRESS(ROW(),COLUMN(),4,,Calculator!$B$6))</f>
        <v>0</v>
      </c>
      <c r="M13" t="b">
        <f ca="1">INDIRECT(ADDRESS(ROW(),COLUMN(),4,,Calculator!$B$6))</f>
        <v>0</v>
      </c>
      <c r="N13" t="str">
        <f ca="1">INDIRECT(ADDRESS(ROW(),COLUMN(),4,,Calculator!$B$6))</f>
        <v>35ns</v>
      </c>
    </row>
    <row r="14" spans="1:14" x14ac:dyDescent="0.2">
      <c r="A14" t="str">
        <f ca="1">INDIRECT(ADDRESS(ROW(),COLUMN(),4,,Calculator!$B$6))</f>
        <v>LX switch resistance at Tamb</v>
      </c>
      <c r="B14">
        <f ca="1">INDIRECT(ADDRESS(ROW(),COLUMN(),4,,Calculator!$B$6))</f>
        <v>0</v>
      </c>
      <c r="C14">
        <f ca="1">INDIRECT(ADDRESS(ROW(),COLUMN(),4,,Calculator!$B$6))</f>
        <v>0</v>
      </c>
      <c r="D14">
        <f ca="1">INDIRECT(ADDRESS(ROW(),COLUMN(),4,,Calculator!$B$6))</f>
        <v>0</v>
      </c>
      <c r="E14">
        <f ca="1">INDIRECT(ADDRESS(ROW(),COLUMN(),4,,Calculator!$B$6))</f>
        <v>0.3</v>
      </c>
      <c r="F14">
        <f ca="1">INDIRECT(ADDRESS(ROW(),COLUMN(),4,,Calculator!$B$6))</f>
        <v>0</v>
      </c>
      <c r="G14">
        <f ca="1">INDIRECT(ADDRESS(ROW(),COLUMN(),4,,Calculator!$B$6))</f>
        <v>0</v>
      </c>
      <c r="H14" t="str">
        <f ca="1">INDIRECT(ADDRESS(ROW(),COLUMN(),4,,Calculator!$B$6))</f>
        <v xml:space="preserve"> Ω</v>
      </c>
      <c r="I14" t="b">
        <f ca="1">INDIRECT(ADDRESS(ROW(),COLUMN(),4,,Calculator!$B$6))</f>
        <v>0</v>
      </c>
      <c r="J14" t="b">
        <f ca="1">INDIRECT(ADDRESS(ROW(),COLUMN(),4,,Calculator!$B$6))</f>
        <v>0</v>
      </c>
      <c r="K14" t="b">
        <f ca="1">INDIRECT(ADDRESS(ROW(),COLUMN(),4,,Calculator!$B$6))</f>
        <v>1</v>
      </c>
      <c r="L14" t="b">
        <f ca="1">INDIRECT(ADDRESS(ROW(),COLUMN(),4,,Calculator!$B$6))</f>
        <v>0</v>
      </c>
      <c r="M14" t="b">
        <f ca="1">INDIRECT(ADDRESS(ROW(),COLUMN(),4,,Calculator!$B$6))</f>
        <v>0</v>
      </c>
      <c r="N14" t="str">
        <f ca="1">INDIRECT(ADDRESS(ROW(),COLUMN(),4,,Calculator!$B$6))</f>
        <v>0.3 Ω</v>
      </c>
    </row>
    <row r="15" spans="1:14" x14ac:dyDescent="0.2">
      <c r="A15" t="str">
        <f ca="1">INDIRECT(ADDRESS(ROW(),COLUMN(),4,,Calculator!$B$6))</f>
        <v>Package thermal resistance</v>
      </c>
      <c r="B15" t="str">
        <f ca="1">INDIRECT(ADDRESS(ROW(),COLUMN(),4,,Calculator!$B$6))</f>
        <v>(Ø jA)</v>
      </c>
      <c r="C15">
        <f ca="1">INDIRECT(ADDRESS(ROW(),COLUMN(),4,,Calculator!$B$6))</f>
        <v>0</v>
      </c>
      <c r="D15">
        <f ca="1">INDIRECT(ADDRESS(ROW(),COLUMN(),4,,Calculator!$B$6))</f>
        <v>0</v>
      </c>
      <c r="E15">
        <f ca="1">INDIRECT(ADDRESS(ROW(),COLUMN(),4,,Calculator!$B$6))</f>
        <v>90</v>
      </c>
      <c r="F15">
        <f ca="1">INDIRECT(ADDRESS(ROW(),COLUMN(),4,,Calculator!$B$6))</f>
        <v>0</v>
      </c>
      <c r="G15">
        <f ca="1">INDIRECT(ADDRESS(ROW(),COLUMN(),4,,Calculator!$B$6))</f>
        <v>0</v>
      </c>
      <c r="H15" t="str">
        <f ca="1">INDIRECT(ADDRESS(ROW(),COLUMN(),4,,Calculator!$B$6))</f>
        <v>°C/W</v>
      </c>
      <c r="I15" t="b">
        <f ca="1">INDIRECT(ADDRESS(ROW(),COLUMN(),4,,Calculator!$B$6))</f>
        <v>0</v>
      </c>
      <c r="J15" t="b">
        <f ca="1">INDIRECT(ADDRESS(ROW(),COLUMN(),4,,Calculator!$B$6))</f>
        <v>0</v>
      </c>
      <c r="K15" t="b">
        <f ca="1">INDIRECT(ADDRESS(ROW(),COLUMN(),4,,Calculator!$B$6))</f>
        <v>1</v>
      </c>
      <c r="L15" t="b">
        <f ca="1">INDIRECT(ADDRESS(ROW(),COLUMN(),4,,Calculator!$B$6))</f>
        <v>0</v>
      </c>
      <c r="M15" t="b">
        <f ca="1">INDIRECT(ADDRESS(ROW(),COLUMN(),4,,Calculator!$B$6))</f>
        <v>0</v>
      </c>
      <c r="N15" t="str">
        <f ca="1">INDIRECT(ADDRESS(ROW(),COLUMN(),4,,Calculator!$B$6))</f>
        <v>90°C/W</v>
      </c>
    </row>
    <row r="16" spans="1:14" x14ac:dyDescent="0.2">
      <c r="A16" t="str">
        <f ca="1">INDIRECT(ADDRESS(ROW(),COLUMN(),4,,Calculator!$B$6))</f>
        <v>VSET pin voltage</v>
      </c>
      <c r="B16" t="str">
        <f ca="1">INDIRECT(ADDRESS(ROW(),COLUMN(),4,,Calculator!$B$6))</f>
        <v>(Vadj)</v>
      </c>
      <c r="C16">
        <f ca="1">INDIRECT(ADDRESS(ROW(),COLUMN(),4,,Calculator!$B$6))</f>
        <v>0.3</v>
      </c>
      <c r="D16">
        <f ca="1">INDIRECT(ADDRESS(ROW(),COLUMN(),4,,Calculator!$B$6))</f>
        <v>0.3</v>
      </c>
      <c r="E16">
        <f ca="1">INDIRECT(ADDRESS(ROW(),COLUMN(),4,,Calculator!$B$6))</f>
        <v>1.25</v>
      </c>
      <c r="F16">
        <f ca="1">INDIRECT(ADDRESS(ROW(),COLUMN(),4,,Calculator!$B$6))</f>
        <v>2.5</v>
      </c>
      <c r="G16">
        <f ca="1">INDIRECT(ADDRESS(ROW(),COLUMN(),4,,Calculator!$B$6))</f>
        <v>2.6</v>
      </c>
      <c r="H16" t="str">
        <f ca="1">INDIRECT(ADDRESS(ROW(),COLUMN(),4,,Calculator!$B$6))</f>
        <v>V</v>
      </c>
      <c r="I16" t="b">
        <f ca="1">INDIRECT(ADDRESS(ROW(),COLUMN(),4,,Calculator!$B$6))</f>
        <v>1</v>
      </c>
      <c r="J16" t="b">
        <f ca="1">INDIRECT(ADDRESS(ROW(),COLUMN(),4,,Calculator!$B$6))</f>
        <v>1</v>
      </c>
      <c r="K16" t="b">
        <f ca="1">INDIRECT(ADDRESS(ROW(),COLUMN(),4,,Calculator!$B$6))</f>
        <v>1</v>
      </c>
      <c r="L16" t="b">
        <f ca="1">INDIRECT(ADDRESS(ROW(),COLUMN(),4,,Calculator!$B$6))</f>
        <v>1</v>
      </c>
      <c r="M16" t="b">
        <f ca="1">INDIRECT(ADDRESS(ROW(),COLUMN(),4,,Calculator!$B$6))</f>
        <v>1</v>
      </c>
      <c r="N16" t="str">
        <f ca="1">INDIRECT(ADDRESS(ROW(),COLUMN(),4,,Calculator!$B$6))</f>
        <v>0.3 to 2.5V</v>
      </c>
    </row>
    <row r="17" spans="1:15" x14ac:dyDescent="0.2">
      <c r="A17" t="str">
        <f ca="1">INDIRECT(ADDRESS(ROW(),COLUMN(),4,,Calculator!$B$6))</f>
        <v>Turn on time</v>
      </c>
      <c r="B17" t="str">
        <f ca="1">INDIRECT(ADDRESS(ROW(),COLUMN(),4,,Calculator!$B$6))</f>
        <v>(Ton)</v>
      </c>
      <c r="C17">
        <f ca="1">INDIRECT(ADDRESS(ROW(),COLUMN(),4,,Calculator!$B$6))</f>
        <v>0</v>
      </c>
      <c r="D17">
        <f ca="1">INDIRECT(ADDRESS(ROW(),COLUMN(),4,,Calculator!$B$6))</f>
        <v>0.2</v>
      </c>
      <c r="E17">
        <f ca="1">INDIRECT(ADDRESS(ROW(),COLUMN(),4,,Calculator!$B$6))</f>
        <v>0</v>
      </c>
      <c r="F17">
        <f ca="1">INDIRECT(ADDRESS(ROW(),COLUMN(),4,,Calculator!$B$6))</f>
        <v>20</v>
      </c>
      <c r="G17">
        <f ca="1">INDIRECT(ADDRESS(ROW(),COLUMN(),4,,Calculator!$B$6))</f>
        <v>0</v>
      </c>
      <c r="H17" t="str">
        <f ca="1">INDIRECT(ADDRESS(ROW(),COLUMN(),4,,Calculator!$B$6))</f>
        <v>µs</v>
      </c>
      <c r="I17" t="b">
        <f ca="1">INDIRECT(ADDRESS(ROW(),COLUMN(),4,,Calculator!$B$6))</f>
        <v>0</v>
      </c>
      <c r="J17" t="b">
        <f ca="1">INDIRECT(ADDRESS(ROW(),COLUMN(),4,,Calculator!$B$6))</f>
        <v>1</v>
      </c>
      <c r="K17" t="b">
        <f ca="1">INDIRECT(ADDRESS(ROW(),COLUMN(),4,,Calculator!$B$6))</f>
        <v>0</v>
      </c>
      <c r="L17" t="b">
        <f ca="1">INDIRECT(ADDRESS(ROW(),COLUMN(),4,,Calculator!$B$6))</f>
        <v>1</v>
      </c>
      <c r="M17" t="b">
        <f ca="1">INDIRECT(ADDRESS(ROW(),COLUMN(),4,,Calculator!$B$6))</f>
        <v>0</v>
      </c>
      <c r="N17" t="str">
        <f ca="1">INDIRECT(ADDRESS(ROW(),COLUMN(),4,,Calculator!$B$6))</f>
        <v>0.2 to 20µs</v>
      </c>
    </row>
    <row r="18" spans="1:15" x14ac:dyDescent="0.2">
      <c r="A18" t="str">
        <f ca="1">INDIRECT(ADDRESS(ROW(),COLUMN(),4,,Calculator!$B$6))</f>
        <v>Turn off time</v>
      </c>
      <c r="B18" t="str">
        <f ca="1">INDIRECT(ADDRESS(ROW(),COLUMN(),4,,Calculator!$B$6))</f>
        <v>(Toff)</v>
      </c>
      <c r="C18">
        <f ca="1">INDIRECT(ADDRESS(ROW(),COLUMN(),4,,Calculator!$B$6))</f>
        <v>0</v>
      </c>
      <c r="D18">
        <f ca="1">INDIRECT(ADDRESS(ROW(),COLUMN(),4,,Calculator!$B$6))</f>
        <v>0.2</v>
      </c>
      <c r="E18">
        <f ca="1">INDIRECT(ADDRESS(ROW(),COLUMN(),4,,Calculator!$B$6))</f>
        <v>0</v>
      </c>
      <c r="F18">
        <f ca="1">INDIRECT(ADDRESS(ROW(),COLUMN(),4,,Calculator!$B$6))</f>
        <v>20</v>
      </c>
      <c r="G18">
        <f ca="1">INDIRECT(ADDRESS(ROW(),COLUMN(),4,,Calculator!$B$6))</f>
        <v>0</v>
      </c>
      <c r="H18" t="str">
        <f ca="1">INDIRECT(ADDRESS(ROW(),COLUMN(),4,,Calculator!$B$6))</f>
        <v>µs</v>
      </c>
      <c r="I18" t="b">
        <f ca="1">INDIRECT(ADDRESS(ROW(),COLUMN(),4,,Calculator!$B$6))</f>
        <v>0</v>
      </c>
      <c r="J18" t="b">
        <f ca="1">INDIRECT(ADDRESS(ROW(),COLUMN(),4,,Calculator!$B$6))</f>
        <v>1</v>
      </c>
      <c r="K18" t="b">
        <f ca="1">INDIRECT(ADDRESS(ROW(),COLUMN(),4,,Calculator!$B$6))</f>
        <v>0</v>
      </c>
      <c r="L18" t="b">
        <f ca="1">INDIRECT(ADDRESS(ROW(),COLUMN(),4,,Calculator!$B$6))</f>
        <v>1</v>
      </c>
      <c r="M18" t="b">
        <f ca="1">INDIRECT(ADDRESS(ROW(),COLUMN(),4,,Calculator!$B$6))</f>
        <v>0</v>
      </c>
      <c r="N18" t="str">
        <f ca="1">INDIRECT(ADDRESS(ROW(),COLUMN(),4,,Calculator!$B$6))</f>
        <v>0.2 to 20µs</v>
      </c>
    </row>
    <row r="19" spans="1:15" x14ac:dyDescent="0.2">
      <c r="A19" t="str">
        <f ca="1">INDIRECT(ADDRESS(ROW(),COLUMN(),4,,Calculator!$B$6))</f>
        <v>Duty cycle</v>
      </c>
      <c r="B19" t="str">
        <f ca="1">INDIRECT(ADDRESS(ROW(),COLUMN(),4,,Calculator!$B$6))</f>
        <v>(D)</v>
      </c>
      <c r="C19">
        <f ca="1">INDIRECT(ADDRESS(ROW(),COLUMN(),4,,Calculator!$B$6))</f>
        <v>0.2</v>
      </c>
      <c r="D19">
        <f ca="1">INDIRECT(ADDRESS(ROW(),COLUMN(),4,,Calculator!$B$6))</f>
        <v>0.25</v>
      </c>
      <c r="E19">
        <f ca="1">INDIRECT(ADDRESS(ROW(),COLUMN(),4,,Calculator!$B$6))</f>
        <v>0</v>
      </c>
      <c r="F19">
        <f ca="1">INDIRECT(ADDRESS(ROW(),COLUMN(),4,,Calculator!$B$6))</f>
        <v>0.75</v>
      </c>
      <c r="G19">
        <f ca="1">INDIRECT(ADDRESS(ROW(),COLUMN(),4,,Calculator!$B$6))</f>
        <v>0.8</v>
      </c>
      <c r="H19">
        <f ca="1">INDIRECT(ADDRESS(ROW(),COLUMN(),4,,Calculator!$B$6))</f>
        <v>0</v>
      </c>
      <c r="I19" t="b">
        <f ca="1">INDIRECT(ADDRESS(ROW(),COLUMN(),4,,Calculator!$B$6))</f>
        <v>1</v>
      </c>
      <c r="J19" t="b">
        <f ca="1">INDIRECT(ADDRESS(ROW(),COLUMN(),4,,Calculator!$B$6))</f>
        <v>1</v>
      </c>
      <c r="K19" t="b">
        <f ca="1">INDIRECT(ADDRESS(ROW(),COLUMN(),4,,Calculator!$B$6))</f>
        <v>0</v>
      </c>
      <c r="L19" t="b">
        <f ca="1">INDIRECT(ADDRESS(ROW(),COLUMN(),4,,Calculator!$B$6))</f>
        <v>1</v>
      </c>
      <c r="M19" t="b">
        <f ca="1">INDIRECT(ADDRESS(ROW(),COLUMN(),4,,Calculator!$B$6))</f>
        <v>1</v>
      </c>
      <c r="N19" t="str">
        <f ca="1">INDIRECT(ADDRESS(ROW(),COLUMN(),4,,Calculator!$B$6))</f>
        <v>0.25 to 0.75</v>
      </c>
    </row>
    <row r="20" spans="1:15" x14ac:dyDescent="0.2">
      <c r="A20" t="str">
        <f ca="1">INDIRECT(ADDRESS(ROW(),COLUMN(),4,,Calculator!$B$6))</f>
        <v>Switching frequency</v>
      </c>
      <c r="B20" t="str">
        <f ca="1">INDIRECT(ADDRESS(ROW(),COLUMN(),4,,Calculator!$B$6))</f>
        <v>(f)</v>
      </c>
      <c r="C20">
        <f ca="1">INDIRECT(ADDRESS(ROW(),COLUMN(),4,,Calculator!$B$6))</f>
        <v>0</v>
      </c>
      <c r="D20">
        <f ca="1">INDIRECT(ADDRESS(ROW(),COLUMN(),4,,Calculator!$B$6))</f>
        <v>100</v>
      </c>
      <c r="E20">
        <f ca="1">INDIRECT(ADDRESS(ROW(),COLUMN(),4,,Calculator!$B$6))</f>
        <v>0</v>
      </c>
      <c r="F20">
        <f ca="1">INDIRECT(ADDRESS(ROW(),COLUMN(),4,,Calculator!$B$6))</f>
        <v>1000</v>
      </c>
      <c r="G20">
        <f ca="1">INDIRECT(ADDRESS(ROW(),COLUMN(),4,,Calculator!$B$6))</f>
        <v>1000</v>
      </c>
      <c r="H20" t="str">
        <f ca="1">INDIRECT(ADDRESS(ROW(),COLUMN(),4,,Calculator!$B$6))</f>
        <v>kHz</v>
      </c>
      <c r="I20" t="b">
        <f ca="1">INDIRECT(ADDRESS(ROW(),COLUMN(),4,,Calculator!$B$6))</f>
        <v>0</v>
      </c>
      <c r="J20" t="b">
        <f ca="1">INDIRECT(ADDRESS(ROW(),COLUMN(),4,,Calculator!$B$6))</f>
        <v>1</v>
      </c>
      <c r="K20" t="b">
        <f ca="1">INDIRECT(ADDRESS(ROW(),COLUMN(),4,,Calculator!$B$6))</f>
        <v>0</v>
      </c>
      <c r="L20" t="b">
        <f ca="1">INDIRECT(ADDRESS(ROW(),COLUMN(),4,,Calculator!$B$6))</f>
        <v>1</v>
      </c>
      <c r="M20" t="b">
        <f ca="1">INDIRECT(ADDRESS(ROW(),COLUMN(),4,,Calculator!$B$6))</f>
        <v>1</v>
      </c>
      <c r="N20" t="str">
        <f ca="1">INDIRECT(ADDRESS(ROW(),COLUMN(),4,,Calculator!$B$6))</f>
        <v>100 to 1000kHz</v>
      </c>
    </row>
    <row r="21" spans="1:15" x14ac:dyDescent="0.2">
      <c r="A21" t="str">
        <f ca="1">INDIRECT(ADDRESS(ROW(),COLUMN(),4,,Calculator!$B$6))</f>
        <v>Maximum LED current</v>
      </c>
      <c r="B21">
        <f ca="1">INDIRECT(ADDRESS(ROW(),COLUMN(),4,,Calculator!$B$6))</f>
        <v>0</v>
      </c>
      <c r="C21">
        <f ca="1">INDIRECT(ADDRESS(ROW(),COLUMN(),4,,Calculator!$B$6))</f>
        <v>0</v>
      </c>
      <c r="D21">
        <f ca="1">INDIRECT(ADDRESS(ROW(),COLUMN(),4,,Calculator!$B$6))</f>
        <v>120</v>
      </c>
      <c r="E21">
        <f ca="1">INDIRECT(ADDRESS(ROW(),COLUMN(),4,,Calculator!$B$6))</f>
        <v>0</v>
      </c>
      <c r="F21">
        <f ca="1">INDIRECT(ADDRESS(ROW(),COLUMN(),4,,Calculator!$B$6))</f>
        <v>1200</v>
      </c>
      <c r="G21">
        <f ca="1">INDIRECT(ADDRESS(ROW(),COLUMN(),4,,Calculator!$B$6))</f>
        <v>0</v>
      </c>
      <c r="H21" t="str">
        <f ca="1">INDIRECT(ADDRESS(ROW(),COLUMN(),4,,Calculator!$B$6))</f>
        <v>mA</v>
      </c>
      <c r="I21" t="b">
        <f ca="1">INDIRECT(ADDRESS(ROW(),COLUMN(),4,,Calculator!$B$6))</f>
        <v>0</v>
      </c>
      <c r="J21" t="b">
        <f ca="1">INDIRECT(ADDRESS(ROW(),COLUMN(),4,,Calculator!$B$6))</f>
        <v>1</v>
      </c>
      <c r="K21" t="b">
        <f ca="1">INDIRECT(ADDRESS(ROW(),COLUMN(),4,,Calculator!$B$6))</f>
        <v>0</v>
      </c>
      <c r="L21" t="b">
        <f ca="1">INDIRECT(ADDRESS(ROW(),COLUMN(),4,,Calculator!$B$6))</f>
        <v>1</v>
      </c>
      <c r="M21" t="b">
        <f ca="1">INDIRECT(ADDRESS(ROW(),COLUMN(),4,,Calculator!$B$6))</f>
        <v>0</v>
      </c>
      <c r="N21" t="str">
        <f ca="1">INDIRECT(ADDRESS(ROW(),COLUMN(),4,,Calculator!$B$6))</f>
        <v>120 to 1200mA</v>
      </c>
    </row>
    <row r="22" spans="1:15" x14ac:dyDescent="0.2">
      <c r="A22" t="str">
        <f ca="1">INDIRECT(ADDRESS(ROW(),COLUMN(),4,,Calculator!$B$6))</f>
        <v>Minimum LED current</v>
      </c>
      <c r="B22">
        <f ca="1">INDIRECT(ADDRESS(ROW(),COLUMN(),4,,Calculator!$B$6))</f>
        <v>0</v>
      </c>
      <c r="C22">
        <f ca="1">INDIRECT(ADDRESS(ROW(),COLUMN(),4,,Calculator!$B$6))</f>
        <v>0</v>
      </c>
      <c r="D22">
        <v>24</v>
      </c>
      <c r="E22">
        <f ca="1">INDIRECT(ADDRESS(ROW(),COLUMN(),4,,Calculator!$B$6))</f>
        <v>0</v>
      </c>
      <c r="F22">
        <v>240</v>
      </c>
      <c r="G22">
        <f ca="1">INDIRECT(ADDRESS(ROW(),COLUMN(),4,,Calculator!$B$6))</f>
        <v>0</v>
      </c>
      <c r="H22" t="str">
        <f ca="1">INDIRECT(ADDRESS(ROW(),COLUMN(),4,,Calculator!$B$6))</f>
        <v>mA</v>
      </c>
      <c r="I22" t="b">
        <f ca="1">INDIRECT(ADDRESS(ROW(),COLUMN(),4,,Calculator!$B$6))</f>
        <v>0</v>
      </c>
      <c r="J22" t="b">
        <f ca="1">INDIRECT(ADDRESS(ROW(),COLUMN(),4,,Calculator!$B$6))</f>
        <v>1</v>
      </c>
      <c r="K22" t="b">
        <f ca="1">INDIRECT(ADDRESS(ROW(),COLUMN(),4,,Calculator!$B$6))</f>
        <v>0</v>
      </c>
      <c r="L22" t="b">
        <f ca="1">INDIRECT(ADDRESS(ROW(),COLUMN(),4,,Calculator!$B$6))</f>
        <v>1</v>
      </c>
      <c r="M22" t="b">
        <f ca="1">INDIRECT(ADDRESS(ROW(),COLUMN(),4,,Calculator!$B$6))</f>
        <v>0</v>
      </c>
      <c r="N22" t="str">
        <f ca="1">INDIRECT(ADDRESS(ROW(),COLUMN(),4,,Calculator!$B$6))</f>
        <v>80 to 800mA</v>
      </c>
    </row>
    <row r="23" spans="1:15" x14ac:dyDescent="0.2">
      <c r="A23" t="str">
        <f ca="1">INDIRECT(ADDRESS(ROW(),COLUMN(),4,,Calculator!$B$6))</f>
        <v>Peak-peak LED ripple current</v>
      </c>
      <c r="B23">
        <f ca="1">INDIRECT(ADDRESS(ROW(),COLUMN(),4,,Calculator!$B$6))</f>
        <v>0</v>
      </c>
      <c r="C23">
        <f ca="1">INDIRECT(ADDRESS(ROW(),COLUMN(),4,,Calculator!$B$6))</f>
        <v>0</v>
      </c>
      <c r="D23">
        <f ca="1">INDIRECT(ADDRESS(ROW(),COLUMN(),4,,Calculator!$B$6))</f>
        <v>40</v>
      </c>
      <c r="E23">
        <f ca="1">INDIRECT(ADDRESS(ROW(),COLUMN(),4,,Calculator!$B$6))</f>
        <v>0</v>
      </c>
      <c r="F23">
        <f ca="1">INDIRECT(ADDRESS(ROW(),COLUMN(),4,,Calculator!$B$6))</f>
        <v>400</v>
      </c>
      <c r="G23">
        <f ca="1">INDIRECT(ADDRESS(ROW(),COLUMN(),4,,Calculator!$B$6))</f>
        <v>0</v>
      </c>
      <c r="H23" t="str">
        <f ca="1">INDIRECT(ADDRESS(ROW(),COLUMN(),4,,Calculator!$B$6))</f>
        <v>mA</v>
      </c>
      <c r="I23" t="b">
        <f ca="1">INDIRECT(ADDRESS(ROW(),COLUMN(),4,,Calculator!$B$6))</f>
        <v>0</v>
      </c>
      <c r="J23" t="b">
        <f ca="1">INDIRECT(ADDRESS(ROW(),COLUMN(),4,,Calculator!$B$6))</f>
        <v>1</v>
      </c>
      <c r="K23" t="b">
        <f ca="1">INDIRECT(ADDRESS(ROW(),COLUMN(),4,,Calculator!$B$6))</f>
        <v>0</v>
      </c>
      <c r="L23" t="b">
        <f ca="1">INDIRECT(ADDRESS(ROW(),COLUMN(),4,,Calculator!$B$6))</f>
        <v>1</v>
      </c>
      <c r="M23" t="b">
        <f ca="1">INDIRECT(ADDRESS(ROW(),COLUMN(),4,,Calculator!$B$6))</f>
        <v>0</v>
      </c>
      <c r="N23" t="str">
        <f ca="1">INDIRECT(ADDRESS(ROW(),COLUMN(),4,,Calculator!$B$6))</f>
        <v>40 to 400mA</v>
      </c>
    </row>
    <row r="24" spans="1:15" x14ac:dyDescent="0.2">
      <c r="A24" t="str">
        <f ca="1">INDIRECT(ADDRESS(ROW(),COLUMN(),4,,Calculator!$B$6))</f>
        <v>Average LED current</v>
      </c>
      <c r="B24" t="str">
        <f ca="1">INDIRECT(ADDRESS(ROW(),COLUMN(),4,,Calculator!$B$6))</f>
        <v>(Iavg)</v>
      </c>
      <c r="C24">
        <f ca="1">INDIRECT(ADDRESS(ROW(),COLUMN(),4,,Calculator!$B$6))</f>
        <v>0</v>
      </c>
      <c r="D24">
        <f ca="1">INDIRECT(ADDRESS(ROW(),COLUMN(),4,,Calculator!$B$6))</f>
        <v>100</v>
      </c>
      <c r="E24">
        <f ca="1">INDIRECT(ADDRESS(ROW(),COLUMN(),4,,Calculator!$B$6))</f>
        <v>0</v>
      </c>
      <c r="F24">
        <f ca="1">INDIRECT(ADDRESS(ROW(),COLUMN(),4,,Calculator!$B$6))</f>
        <v>2000</v>
      </c>
      <c r="G24">
        <f ca="1">INDIRECT(ADDRESS(ROW(),COLUMN(),4,,Calculator!$B$6))</f>
        <v>2500</v>
      </c>
      <c r="H24" t="str">
        <f ca="1">INDIRECT(ADDRESS(ROW(),COLUMN(),4,,Calculator!$B$6))</f>
        <v>mA</v>
      </c>
      <c r="I24" t="b">
        <f ca="1">INDIRECT(ADDRESS(ROW(),COLUMN(),4,,Calculator!$B$6))</f>
        <v>0</v>
      </c>
      <c r="J24" t="b">
        <f ca="1">INDIRECT(ADDRESS(ROW(),COLUMN(),4,,Calculator!$B$6))</f>
        <v>1</v>
      </c>
      <c r="K24" t="b">
        <f ca="1">INDIRECT(ADDRESS(ROW(),COLUMN(),4,,Calculator!$B$6))</f>
        <v>0</v>
      </c>
      <c r="L24" t="b">
        <f ca="1">INDIRECT(ADDRESS(ROW(),COLUMN(),4,,Calculator!$B$6))</f>
        <v>1</v>
      </c>
      <c r="M24" t="b">
        <f ca="1">INDIRECT(ADDRESS(ROW(),COLUMN(),4,,Calculator!$B$6))</f>
        <v>1</v>
      </c>
      <c r="N24" t="str">
        <f ca="1">INDIRECT(ADDRESS(ROW(),COLUMN(),4,,Calculator!$B$6))</f>
        <v>100 to 2000mA</v>
      </c>
    </row>
    <row r="25" spans="1:15" x14ac:dyDescent="0.2">
      <c r="A25" t="str">
        <f ca="1">INDIRECT(ADDRESS(ROW(),COLUMN(),4,,Calculator!$B$6))</f>
        <v>Output power</v>
      </c>
      <c r="B25">
        <f ca="1">INDIRECT(ADDRESS(ROW(),COLUMN(),4,,Calculator!$B$6))</f>
        <v>0</v>
      </c>
      <c r="C25">
        <f ca="1">INDIRECT(ADDRESS(ROW(),COLUMN(),4,,Calculator!$B$6))</f>
        <v>0</v>
      </c>
      <c r="D25">
        <f ca="1">INDIRECT(ADDRESS(ROW(),COLUMN(),4,,Calculator!$B$6))</f>
        <v>3</v>
      </c>
      <c r="E25">
        <f ca="1">INDIRECT(ADDRESS(ROW(),COLUMN(),4,,Calculator!$B$6))</f>
        <v>0</v>
      </c>
      <c r="F25">
        <f ca="1">INDIRECT(ADDRESS(ROW(),COLUMN(),4,,Calculator!$B$6))</f>
        <v>24</v>
      </c>
      <c r="G25">
        <f ca="1">INDIRECT(ADDRESS(ROW(),COLUMN(),4,,Calculator!$B$6))</f>
        <v>0</v>
      </c>
      <c r="H25" t="str">
        <f ca="1">INDIRECT(ADDRESS(ROW(),COLUMN(),4,,Calculator!$B$6))</f>
        <v>W</v>
      </c>
      <c r="I25" t="b">
        <f ca="1">INDIRECT(ADDRESS(ROW(),COLUMN(),4,,Calculator!$B$6))</f>
        <v>0</v>
      </c>
      <c r="J25" t="b">
        <f ca="1">INDIRECT(ADDRESS(ROW(),COLUMN(),4,,Calculator!$B$6))</f>
        <v>1</v>
      </c>
      <c r="K25" t="b">
        <f ca="1">INDIRECT(ADDRESS(ROW(),COLUMN(),4,,Calculator!$B$6))</f>
        <v>0</v>
      </c>
      <c r="L25" t="b">
        <f ca="1">INDIRECT(ADDRESS(ROW(),COLUMN(),4,,Calculator!$B$6))</f>
        <v>1</v>
      </c>
      <c r="M25" t="b">
        <f ca="1">INDIRECT(ADDRESS(ROW(),COLUMN(),4,,Calculator!$B$6))</f>
        <v>0</v>
      </c>
      <c r="N25" t="str">
        <f ca="1">INDIRECT(ADDRESS(ROW(),COLUMN(),4,,Calculator!$B$6))</f>
        <v>3 to 24W</v>
      </c>
      <c r="O25" s="7"/>
    </row>
    <row r="26" spans="1:15" x14ac:dyDescent="0.2">
      <c r="A26" t="str">
        <f ca="1">INDIRECT(ADDRESS(ROW(),COLUMN(),4,,Calculator!$B$6))</f>
        <v>Chip supply current</v>
      </c>
      <c r="B26">
        <f ca="1">INDIRECT(ADDRESS(ROW(),COLUMN(),4,,Calculator!$B$6))</f>
        <v>0</v>
      </c>
      <c r="C26">
        <f ca="1">INDIRECT(ADDRESS(ROW(),COLUMN(),4,,Calculator!$B$6))</f>
        <v>0</v>
      </c>
      <c r="D26">
        <f ca="1">INDIRECT(ADDRESS(ROW(),COLUMN(),4,,Calculator!$B$6))</f>
        <v>0</v>
      </c>
      <c r="E26">
        <f ca="1">INDIRECT(ADDRESS(ROW(),COLUMN(),4,,Calculator!$B$6))</f>
        <v>1000</v>
      </c>
      <c r="F26">
        <f ca="1">INDIRECT(ADDRESS(ROW(),COLUMN(),4,,Calculator!$B$6))</f>
        <v>0</v>
      </c>
      <c r="G26">
        <f ca="1">INDIRECT(ADDRESS(ROW(),COLUMN(),4,,Calculator!$B$6))</f>
        <v>0</v>
      </c>
      <c r="H26" t="str">
        <f ca="1">INDIRECT(ADDRESS(ROW(),COLUMN(),4,,Calculator!$B$6))</f>
        <v>µA</v>
      </c>
      <c r="I26" t="b">
        <f ca="1">INDIRECT(ADDRESS(ROW(),COLUMN(),4,,Calculator!$B$6))</f>
        <v>0</v>
      </c>
      <c r="J26" t="b">
        <f ca="1">INDIRECT(ADDRESS(ROW(),COLUMN(),4,,Calculator!$B$6))</f>
        <v>0</v>
      </c>
      <c r="K26" t="b">
        <f ca="1">INDIRECT(ADDRESS(ROW(),COLUMN(),4,,Calculator!$B$6))</f>
        <v>1</v>
      </c>
      <c r="L26" t="b">
        <f ca="1">INDIRECT(ADDRESS(ROW(),COLUMN(),4,,Calculator!$B$6))</f>
        <v>0</v>
      </c>
      <c r="M26" t="b">
        <f ca="1">INDIRECT(ADDRESS(ROW(),COLUMN(),4,,Calculator!$B$6))</f>
        <v>0</v>
      </c>
      <c r="N26" t="str">
        <f ca="1">INDIRECT(ADDRESS(ROW(),COLUMN(),4,,Calculator!$B$6))</f>
        <v>1000µA</v>
      </c>
    </row>
    <row r="27" spans="1:15" x14ac:dyDescent="0.2">
      <c r="A27" t="str">
        <f ca="1">INDIRECT(ADDRESS(ROW(),COLUMN(),4,,Calculator!$B$6))</f>
        <v>Power loss in switch</v>
      </c>
      <c r="B27">
        <f ca="1">INDIRECT(ADDRESS(ROW(),COLUMN(),4,,Calculator!$B$6))</f>
        <v>0</v>
      </c>
      <c r="C27">
        <f ca="1">INDIRECT(ADDRESS(ROW(),COLUMN(),4,,Calculator!$B$6))</f>
        <v>0</v>
      </c>
      <c r="D27">
        <f ca="1">INDIRECT(ADDRESS(ROW(),COLUMN(),4,,Calculator!$B$6))</f>
        <v>0</v>
      </c>
      <c r="E27">
        <f ca="1">INDIRECT(ADDRESS(ROW(),COLUMN(),4,,Calculator!$B$6))</f>
        <v>0</v>
      </c>
      <c r="F27">
        <f ca="1">INDIRECT(ADDRESS(ROW(),COLUMN(),4,,Calculator!$B$6))</f>
        <v>0</v>
      </c>
      <c r="G27">
        <f ca="1">INDIRECT(ADDRESS(ROW(),COLUMN(),4,,Calculator!$B$6))</f>
        <v>0</v>
      </c>
      <c r="H27" t="str">
        <f ca="1">INDIRECT(ADDRESS(ROW(),COLUMN(),4,,Calculator!$B$6))</f>
        <v>mW</v>
      </c>
      <c r="I27" t="b">
        <f ca="1">INDIRECT(ADDRESS(ROW(),COLUMN(),4,,Calculator!$B$6))</f>
        <v>0</v>
      </c>
      <c r="J27" t="b">
        <f ca="1">INDIRECT(ADDRESS(ROW(),COLUMN(),4,,Calculator!$B$6))</f>
        <v>0</v>
      </c>
      <c r="K27" t="b">
        <f ca="1">INDIRECT(ADDRESS(ROW(),COLUMN(),4,,Calculator!$B$6))</f>
        <v>0</v>
      </c>
      <c r="L27" t="b">
        <f ca="1">INDIRECT(ADDRESS(ROW(),COLUMN(),4,,Calculator!$B$6))</f>
        <v>0</v>
      </c>
      <c r="M27" t="b">
        <f ca="1">INDIRECT(ADDRESS(ROW(),COLUMN(),4,,Calculator!$B$6))</f>
        <v>0</v>
      </c>
      <c r="N27" t="str">
        <f ca="1">INDIRECT(ADDRESS(ROW(),COLUMN(),4,,Calculator!$B$6))</f>
        <v/>
      </c>
    </row>
    <row r="28" spans="1:15" x14ac:dyDescent="0.2">
      <c r="A28" t="str">
        <f ca="1">INDIRECT(ADDRESS(ROW(),COLUMN(),4,,Calculator!$B$6))</f>
        <v>Switching power losses</v>
      </c>
      <c r="B28">
        <f ca="1">INDIRECT(ADDRESS(ROW(),COLUMN(),4,,Calculator!$B$6))</f>
        <v>0</v>
      </c>
      <c r="C28">
        <f ca="1">INDIRECT(ADDRESS(ROW(),COLUMN(),4,,Calculator!$B$6))</f>
        <v>0</v>
      </c>
      <c r="D28">
        <f ca="1">INDIRECT(ADDRESS(ROW(),COLUMN(),4,,Calculator!$B$6))</f>
        <v>0</v>
      </c>
      <c r="E28">
        <f ca="1">INDIRECT(ADDRESS(ROW(),COLUMN(),4,,Calculator!$B$6))</f>
        <v>0</v>
      </c>
      <c r="F28">
        <f ca="1">INDIRECT(ADDRESS(ROW(),COLUMN(),4,,Calculator!$B$6))</f>
        <v>0</v>
      </c>
      <c r="G28">
        <f ca="1">INDIRECT(ADDRESS(ROW(),COLUMN(),4,,Calculator!$B$6))</f>
        <v>0</v>
      </c>
      <c r="H28" t="str">
        <f ca="1">INDIRECT(ADDRESS(ROW(),COLUMN(),4,,Calculator!$B$6))</f>
        <v>mW</v>
      </c>
      <c r="I28" t="b">
        <f ca="1">INDIRECT(ADDRESS(ROW(),COLUMN(),4,,Calculator!$B$6))</f>
        <v>0</v>
      </c>
      <c r="J28" t="b">
        <f ca="1">INDIRECT(ADDRESS(ROW(),COLUMN(),4,,Calculator!$B$6))</f>
        <v>0</v>
      </c>
      <c r="K28" t="b">
        <f ca="1">INDIRECT(ADDRESS(ROW(),COLUMN(),4,,Calculator!$B$6))</f>
        <v>0</v>
      </c>
      <c r="L28" t="b">
        <f ca="1">INDIRECT(ADDRESS(ROW(),COLUMN(),4,,Calculator!$B$6))</f>
        <v>0</v>
      </c>
      <c r="M28" t="b">
        <f ca="1">INDIRECT(ADDRESS(ROW(),COLUMN(),4,,Calculator!$B$6))</f>
        <v>0</v>
      </c>
      <c r="N28" t="str">
        <f ca="1">INDIRECT(ADDRESS(ROW(),COLUMN(),4,,Calculator!$B$6))</f>
        <v/>
      </c>
    </row>
    <row r="29" spans="1:15" x14ac:dyDescent="0.2">
      <c r="A29" t="str">
        <f ca="1">INDIRECT(ADDRESS(ROW(),COLUMN(),4,,Calculator!$B$6))</f>
        <v>Chip power dissipation</v>
      </c>
      <c r="B29">
        <f ca="1">INDIRECT(ADDRESS(ROW(),COLUMN(),4,,Calculator!$B$6))</f>
        <v>0</v>
      </c>
      <c r="C29">
        <f ca="1">INDIRECT(ADDRESS(ROW(),COLUMN(),4,,Calculator!$B$6))</f>
        <v>0</v>
      </c>
      <c r="D29">
        <f ca="1">INDIRECT(ADDRESS(ROW(),COLUMN(),4,,Calculator!$B$6))</f>
        <v>100</v>
      </c>
      <c r="E29">
        <f ca="1">INDIRECT(ADDRESS(ROW(),COLUMN(),4,,Calculator!$B$6))</f>
        <v>0</v>
      </c>
      <c r="F29">
        <f ca="1">INDIRECT(ADDRESS(ROW(),COLUMN(),4,,Calculator!$B$6))</f>
        <v>1000</v>
      </c>
      <c r="G29">
        <f ca="1">INDIRECT(ADDRESS(ROW(),COLUMN(),4,,Calculator!$B$6))</f>
        <v>0</v>
      </c>
      <c r="H29" t="str">
        <f ca="1">INDIRECT(ADDRESS(ROW(),COLUMN(),4,,Calculator!$B$6))</f>
        <v>mW</v>
      </c>
      <c r="I29" t="b">
        <f ca="1">INDIRECT(ADDRESS(ROW(),COLUMN(),4,,Calculator!$B$6))</f>
        <v>0</v>
      </c>
      <c r="J29" t="b">
        <f ca="1">INDIRECT(ADDRESS(ROW(),COLUMN(),4,,Calculator!$B$6))</f>
        <v>1</v>
      </c>
      <c r="K29" t="b">
        <f ca="1">INDIRECT(ADDRESS(ROW(),COLUMN(),4,,Calculator!$B$6))</f>
        <v>0</v>
      </c>
      <c r="L29" t="b">
        <f ca="1">INDIRECT(ADDRESS(ROW(),COLUMN(),4,,Calculator!$B$6))</f>
        <v>1</v>
      </c>
      <c r="M29" t="b">
        <f ca="1">INDIRECT(ADDRESS(ROW(),COLUMN(),4,,Calculator!$B$6))</f>
        <v>0</v>
      </c>
      <c r="N29" t="str">
        <f ca="1">INDIRECT(ADDRESS(ROW(),COLUMN(),4,,Calculator!$B$6))</f>
        <v>100 to 1000mW</v>
      </c>
    </row>
    <row r="30" spans="1:15" x14ac:dyDescent="0.2">
      <c r="A30" t="str">
        <f ca="1">INDIRECT(ADDRESS(ROW(),COLUMN(),4,,Calculator!$B$6))</f>
        <v>Power loss in diode</v>
      </c>
      <c r="B30">
        <f ca="1">INDIRECT(ADDRESS(ROW(),COLUMN(),4,,Calculator!$B$6))</f>
        <v>0</v>
      </c>
      <c r="C30">
        <f ca="1">INDIRECT(ADDRESS(ROW(),COLUMN(),4,,Calculator!$B$6))</f>
        <v>0</v>
      </c>
      <c r="D30">
        <f ca="1">INDIRECT(ADDRESS(ROW(),COLUMN(),4,,Calculator!$B$6))</f>
        <v>0</v>
      </c>
      <c r="E30">
        <f ca="1">INDIRECT(ADDRESS(ROW(),COLUMN(),4,,Calculator!$B$6))</f>
        <v>0</v>
      </c>
      <c r="F30">
        <f ca="1">INDIRECT(ADDRESS(ROW(),COLUMN(),4,,Calculator!$B$6))</f>
        <v>0</v>
      </c>
      <c r="G30">
        <f ca="1">INDIRECT(ADDRESS(ROW(),COLUMN(),4,,Calculator!$B$6))</f>
        <v>0</v>
      </c>
      <c r="H30" t="str">
        <f ca="1">INDIRECT(ADDRESS(ROW(),COLUMN(),4,,Calculator!$B$6))</f>
        <v>mW</v>
      </c>
      <c r="I30" t="b">
        <f ca="1">INDIRECT(ADDRESS(ROW(),COLUMN(),4,,Calculator!$B$6))</f>
        <v>0</v>
      </c>
      <c r="J30" t="b">
        <f ca="1">INDIRECT(ADDRESS(ROW(),COLUMN(),4,,Calculator!$B$6))</f>
        <v>0</v>
      </c>
      <c r="K30" t="b">
        <f ca="1">INDIRECT(ADDRESS(ROW(),COLUMN(),4,,Calculator!$B$6))</f>
        <v>0</v>
      </c>
      <c r="L30" t="b">
        <f ca="1">INDIRECT(ADDRESS(ROW(),COLUMN(),4,,Calculator!$B$6))</f>
        <v>0</v>
      </c>
      <c r="M30" t="b">
        <f ca="1">INDIRECT(ADDRESS(ROW(),COLUMN(),4,,Calculator!$B$6))</f>
        <v>0</v>
      </c>
      <c r="N30" t="str">
        <f ca="1">INDIRECT(ADDRESS(ROW(),COLUMN(),4,,Calculator!$B$6))</f>
        <v/>
      </c>
    </row>
    <row r="31" spans="1:15" x14ac:dyDescent="0.2">
      <c r="A31" t="str">
        <f ca="1">INDIRECT(ADDRESS(ROW(),COLUMN(),4,,Calculator!$B$6))</f>
        <v>Power loss in sense resistor</v>
      </c>
      <c r="B31">
        <f ca="1">INDIRECT(ADDRESS(ROW(),COLUMN(),4,,Calculator!$B$6))</f>
        <v>0</v>
      </c>
      <c r="C31">
        <f ca="1">INDIRECT(ADDRESS(ROW(),COLUMN(),4,,Calculator!$B$6))</f>
        <v>0</v>
      </c>
      <c r="D31">
        <f ca="1">INDIRECT(ADDRESS(ROW(),COLUMN(),4,,Calculator!$B$6))</f>
        <v>0</v>
      </c>
      <c r="E31">
        <f ca="1">INDIRECT(ADDRESS(ROW(),COLUMN(),4,,Calculator!$B$6))</f>
        <v>0</v>
      </c>
      <c r="F31">
        <f ca="1">INDIRECT(ADDRESS(ROW(),COLUMN(),4,,Calculator!$B$6))</f>
        <v>0</v>
      </c>
      <c r="G31">
        <f ca="1">INDIRECT(ADDRESS(ROW(),COLUMN(),4,,Calculator!$B$6))</f>
        <v>0</v>
      </c>
      <c r="H31" t="str">
        <f ca="1">INDIRECT(ADDRESS(ROW(),COLUMN(),4,,Calculator!$B$6))</f>
        <v>mW</v>
      </c>
      <c r="I31" t="b">
        <f ca="1">INDIRECT(ADDRESS(ROW(),COLUMN(),4,,Calculator!$B$6))</f>
        <v>0</v>
      </c>
      <c r="J31" t="b">
        <f ca="1">INDIRECT(ADDRESS(ROW(),COLUMN(),4,,Calculator!$B$6))</f>
        <v>0</v>
      </c>
      <c r="K31" t="b">
        <f ca="1">INDIRECT(ADDRESS(ROW(),COLUMN(),4,,Calculator!$B$6))</f>
        <v>0</v>
      </c>
      <c r="L31" t="b">
        <f ca="1">INDIRECT(ADDRESS(ROW(),COLUMN(),4,,Calculator!$B$6))</f>
        <v>0</v>
      </c>
      <c r="M31" t="b">
        <f ca="1">INDIRECT(ADDRESS(ROW(),COLUMN(),4,,Calculator!$B$6))</f>
        <v>0</v>
      </c>
      <c r="N31" t="str">
        <f ca="1">INDIRECT(ADDRESS(ROW(),COLUMN(),4,,Calculator!$B$6))</f>
        <v/>
      </c>
    </row>
    <row r="32" spans="1:15" x14ac:dyDescent="0.2">
      <c r="A32" t="str">
        <f ca="1">INDIRECT(ADDRESS(ROW(),COLUMN(),4,,Calculator!$B$6))</f>
        <v>Power loss in coil</v>
      </c>
      <c r="B32">
        <f ca="1">INDIRECT(ADDRESS(ROW(),COLUMN(),4,,Calculator!$B$6))</f>
        <v>0</v>
      </c>
      <c r="C32">
        <f ca="1">INDIRECT(ADDRESS(ROW(),COLUMN(),4,,Calculator!$B$6))</f>
        <v>0</v>
      </c>
      <c r="D32">
        <f ca="1">INDIRECT(ADDRESS(ROW(),COLUMN(),4,,Calculator!$B$6))</f>
        <v>0</v>
      </c>
      <c r="E32">
        <f ca="1">INDIRECT(ADDRESS(ROW(),COLUMN(),4,,Calculator!$B$6))</f>
        <v>0</v>
      </c>
      <c r="F32">
        <f ca="1">INDIRECT(ADDRESS(ROW(),COLUMN(),4,,Calculator!$B$6))</f>
        <v>0</v>
      </c>
      <c r="G32">
        <f ca="1">INDIRECT(ADDRESS(ROW(),COLUMN(),4,,Calculator!$B$6))</f>
        <v>0</v>
      </c>
      <c r="H32" t="str">
        <f ca="1">INDIRECT(ADDRESS(ROW(),COLUMN(),4,,Calculator!$B$6))</f>
        <v>mW</v>
      </c>
      <c r="I32" t="b">
        <f ca="1">INDIRECT(ADDRESS(ROW(),COLUMN(),4,,Calculator!$B$6))</f>
        <v>0</v>
      </c>
      <c r="J32" t="b">
        <f ca="1">INDIRECT(ADDRESS(ROW(),COLUMN(),4,,Calculator!$B$6))</f>
        <v>0</v>
      </c>
      <c r="K32" t="b">
        <f ca="1">INDIRECT(ADDRESS(ROW(),COLUMN(),4,,Calculator!$B$6))</f>
        <v>0</v>
      </c>
      <c r="L32" t="b">
        <f ca="1">INDIRECT(ADDRESS(ROW(),COLUMN(),4,,Calculator!$B$6))</f>
        <v>0</v>
      </c>
      <c r="M32" t="b">
        <f ca="1">INDIRECT(ADDRESS(ROW(),COLUMN(),4,,Calculator!$B$6))</f>
        <v>0</v>
      </c>
      <c r="N32" t="str">
        <f ca="1">INDIRECT(ADDRESS(ROW(),COLUMN(),4,,Calculator!$B$6))</f>
        <v/>
      </c>
    </row>
    <row r="33" spans="1:14" x14ac:dyDescent="0.2">
      <c r="A33" t="str">
        <f ca="1">INDIRECT(ADDRESS(ROW(),COLUMN(),4,,Calculator!$B$6))</f>
        <v>Theoretical efficiency</v>
      </c>
      <c r="B33">
        <f ca="1">INDIRECT(ADDRESS(ROW(),COLUMN(),4,,Calculator!$B$6))</f>
        <v>0</v>
      </c>
      <c r="C33">
        <f ca="1">INDIRECT(ADDRESS(ROW(),COLUMN(),4,,Calculator!$B$6))</f>
        <v>0</v>
      </c>
      <c r="D33">
        <f ca="1">INDIRECT(ADDRESS(ROW(),COLUMN(),4,,Calculator!$B$6))</f>
        <v>80</v>
      </c>
      <c r="E33">
        <f ca="1">INDIRECT(ADDRESS(ROW(),COLUMN(),4,,Calculator!$B$6))</f>
        <v>0</v>
      </c>
      <c r="F33">
        <f ca="1">INDIRECT(ADDRESS(ROW(),COLUMN(),4,,Calculator!$B$6))</f>
        <v>95</v>
      </c>
      <c r="G33">
        <f ca="1">INDIRECT(ADDRESS(ROW(),COLUMN(),4,,Calculator!$B$6))</f>
        <v>0</v>
      </c>
      <c r="H33" t="str">
        <f ca="1">INDIRECT(ADDRESS(ROW(),COLUMN(),4,,Calculator!$B$6))</f>
        <v>%</v>
      </c>
      <c r="I33" t="b">
        <f ca="1">INDIRECT(ADDRESS(ROW(),COLUMN(),4,,Calculator!$B$6))</f>
        <v>0</v>
      </c>
      <c r="J33" t="b">
        <f ca="1">INDIRECT(ADDRESS(ROW(),COLUMN(),4,,Calculator!$B$6))</f>
        <v>1</v>
      </c>
      <c r="K33" t="b">
        <f ca="1">INDIRECT(ADDRESS(ROW(),COLUMN(),4,,Calculator!$B$6))</f>
        <v>0</v>
      </c>
      <c r="L33" t="b">
        <f ca="1">INDIRECT(ADDRESS(ROW(),COLUMN(),4,,Calculator!$B$6))</f>
        <v>1</v>
      </c>
      <c r="M33" t="b">
        <f ca="1">INDIRECT(ADDRESS(ROW(),COLUMN(),4,,Calculator!$B$6))</f>
        <v>0</v>
      </c>
      <c r="N33" t="str">
        <f ca="1">INDIRECT(ADDRESS(ROW(),COLUMN(),4,,Calculator!$B$6))</f>
        <v>80 to 95%</v>
      </c>
    </row>
    <row r="34" spans="1:14" x14ac:dyDescent="0.2">
      <c r="A34" t="str">
        <f ca="1">INDIRECT(ADDRESS(ROW(),COLUMN(),4,,Calculator!$B$6))</f>
        <v>Input current</v>
      </c>
      <c r="B34">
        <f ca="1">INDIRECT(ADDRESS(ROW(),COLUMN(),4,,Calculator!$B$6))</f>
        <v>0</v>
      </c>
      <c r="C34">
        <f ca="1">INDIRECT(ADDRESS(ROW(),COLUMN(),4,,Calculator!$B$6))</f>
        <v>0</v>
      </c>
      <c r="D34">
        <f ca="1">INDIRECT(ADDRESS(ROW(),COLUMN(),4,,Calculator!$B$6))</f>
        <v>0</v>
      </c>
      <c r="E34">
        <f ca="1">INDIRECT(ADDRESS(ROW(),COLUMN(),4,,Calculator!$B$6))</f>
        <v>0</v>
      </c>
      <c r="F34">
        <f ca="1">INDIRECT(ADDRESS(ROW(),COLUMN(),4,,Calculator!$B$6))</f>
        <v>0</v>
      </c>
      <c r="G34">
        <f ca="1">INDIRECT(ADDRESS(ROW(),COLUMN(),4,,Calculator!$B$6))</f>
        <v>0</v>
      </c>
      <c r="H34" t="str">
        <f ca="1">INDIRECT(ADDRESS(ROW(),COLUMN(),4,,Calculator!$B$6))</f>
        <v>mA</v>
      </c>
      <c r="I34" t="b">
        <f ca="1">INDIRECT(ADDRESS(ROW(),COLUMN(),4,,Calculator!$B$6))</f>
        <v>0</v>
      </c>
      <c r="J34" t="b">
        <f ca="1">INDIRECT(ADDRESS(ROW(),COLUMN(),4,,Calculator!$B$6))</f>
        <v>0</v>
      </c>
      <c r="K34" t="b">
        <f ca="1">INDIRECT(ADDRESS(ROW(),COLUMN(),4,,Calculator!$B$6))</f>
        <v>0</v>
      </c>
      <c r="L34" t="b">
        <f ca="1">INDIRECT(ADDRESS(ROW(),COLUMN(),4,,Calculator!$B$6))</f>
        <v>0</v>
      </c>
      <c r="M34" t="b">
        <f ca="1">INDIRECT(ADDRESS(ROW(),COLUMN(),4,,Calculator!$B$6))</f>
        <v>0</v>
      </c>
      <c r="N34" t="str">
        <f ca="1">INDIRECT(ADDRESS(ROW(),COLUMN(),4,,Calculator!$B$6))</f>
        <v/>
      </c>
    </row>
    <row r="35" spans="1:14" x14ac:dyDescent="0.2">
      <c r="A35" t="str">
        <f ca="1">INDIRECT(ADDRESS(ROW(),COLUMN(),4,,Calculator!$B$6))</f>
        <v>Switch resistance at Tj</v>
      </c>
      <c r="B35">
        <f ca="1">INDIRECT(ADDRESS(ROW(),COLUMN(),4,,Calculator!$B$6))</f>
        <v>0</v>
      </c>
      <c r="C35">
        <f ca="1">INDIRECT(ADDRESS(ROW(),COLUMN(),4,,Calculator!$B$6))</f>
        <v>0</v>
      </c>
      <c r="D35">
        <f ca="1">INDIRECT(ADDRESS(ROW(),COLUMN(),4,,Calculator!$B$6))</f>
        <v>0</v>
      </c>
      <c r="E35">
        <f ca="1">INDIRECT(ADDRESS(ROW(),COLUMN(),4,,Calculator!$B$6))</f>
        <v>0</v>
      </c>
      <c r="F35">
        <f ca="1">INDIRECT(ADDRESS(ROW(),COLUMN(),4,,Calculator!$B$6))</f>
        <v>0</v>
      </c>
      <c r="G35">
        <f ca="1">INDIRECT(ADDRESS(ROW(),COLUMN(),4,,Calculator!$B$6))</f>
        <v>0</v>
      </c>
      <c r="H35" t="str">
        <f ca="1">INDIRECT(ADDRESS(ROW(),COLUMN(),4,,Calculator!$B$6))</f>
        <v>Ω</v>
      </c>
      <c r="I35" t="b">
        <f ca="1">INDIRECT(ADDRESS(ROW(),COLUMN(),4,,Calculator!$B$6))</f>
        <v>0</v>
      </c>
      <c r="J35" t="b">
        <f ca="1">INDIRECT(ADDRESS(ROW(),COLUMN(),4,,Calculator!$B$6))</f>
        <v>0</v>
      </c>
      <c r="K35" t="b">
        <f ca="1">INDIRECT(ADDRESS(ROW(),COLUMN(),4,,Calculator!$B$6))</f>
        <v>0</v>
      </c>
      <c r="L35" t="b">
        <f ca="1">INDIRECT(ADDRESS(ROW(),COLUMN(),4,,Calculator!$B$6))</f>
        <v>0</v>
      </c>
      <c r="M35" t="b">
        <f ca="1">INDIRECT(ADDRESS(ROW(),COLUMN(),4,,Calculator!$B$6))</f>
        <v>0</v>
      </c>
      <c r="N35" t="str">
        <f ca="1">INDIRECT(ADDRESS(ROW(),COLUMN(),4,,Calculator!$B$6))</f>
        <v/>
      </c>
    </row>
    <row r="36" spans="1:14" x14ac:dyDescent="0.2">
      <c r="A36" t="str">
        <f ca="1">INDIRECT(ADDRESS(ROW(),COLUMN(),4,,Calculator!$B$6))</f>
        <v>Estimated die temperature</v>
      </c>
      <c r="B36" t="str">
        <f ca="1">INDIRECT(ADDRESS(ROW(),COLUMN(),4,,Calculator!$B$6))</f>
        <v>(Tj)</v>
      </c>
      <c r="C36">
        <f ca="1">INDIRECT(ADDRESS(ROW(),COLUMN(),4,,Calculator!$B$6))</f>
        <v>0</v>
      </c>
      <c r="D36">
        <f ca="1">INDIRECT(ADDRESS(ROW(),COLUMN(),4,,Calculator!$B$6))</f>
        <v>0</v>
      </c>
      <c r="E36">
        <f ca="1">INDIRECT(ADDRESS(ROW(),COLUMN(),4,,Calculator!$B$6))</f>
        <v>0</v>
      </c>
      <c r="F36">
        <f ca="1">INDIRECT(ADDRESS(ROW(),COLUMN(),4,,Calculator!$B$6))</f>
        <v>150</v>
      </c>
      <c r="G36">
        <f ca="1">INDIRECT(ADDRESS(ROW(),COLUMN(),4,,Calculator!$B$6))</f>
        <v>0</v>
      </c>
      <c r="H36" t="str">
        <f ca="1">INDIRECT(ADDRESS(ROW(),COLUMN(),4,,Calculator!$B$6))</f>
        <v>°C</v>
      </c>
      <c r="I36" t="b">
        <f ca="1">INDIRECT(ADDRESS(ROW(),COLUMN(),4,,Calculator!$B$6))</f>
        <v>0</v>
      </c>
      <c r="J36" t="b">
        <f ca="1">INDIRECT(ADDRESS(ROW(),COLUMN(),4,,Calculator!$B$6))</f>
        <v>0</v>
      </c>
      <c r="K36" t="b">
        <f ca="1">INDIRECT(ADDRESS(ROW(),COLUMN(),4,,Calculator!$B$6))</f>
        <v>0</v>
      </c>
      <c r="L36" t="b">
        <f ca="1">INDIRECT(ADDRESS(ROW(),COLUMN(),4,,Calculator!$B$6))</f>
        <v>1</v>
      </c>
      <c r="M36" t="b">
        <f ca="1">INDIRECT(ADDRESS(ROW(),COLUMN(),4,,Calculator!$B$6))</f>
        <v>0</v>
      </c>
      <c r="N36" t="str">
        <f ca="1">INDIRECT(ADDRESS(ROW(),COLUMN(),4,,Calculator!$B$6))</f>
        <v>less than 150°C</v>
      </c>
    </row>
    <row r="37" spans="1:14" x14ac:dyDescent="0.2">
      <c r="A37" t="str">
        <f ca="1">INDIRECT(ADDRESS(ROW(),COLUMN(),4,,Calculator!$B$6))</f>
        <v>Supply decoupling capacitor</v>
      </c>
      <c r="B37">
        <f ca="1">INDIRECT(ADDRESS(ROW(),COLUMN(),4,,Calculator!$B$6))</f>
        <v>0</v>
      </c>
      <c r="C37">
        <f ca="1">INDIRECT(ADDRESS(ROW(),COLUMN(),4,,Calculator!$B$6))</f>
        <v>0</v>
      </c>
      <c r="D37">
        <f ca="1">INDIRECT(ADDRESS(ROW(),COLUMN(),4,,Calculator!$B$6))</f>
        <v>0</v>
      </c>
      <c r="E37">
        <f ca="1">INDIRECT(ADDRESS(ROW(),COLUMN(),4,,Calculator!$B$6))</f>
        <v>4.7</v>
      </c>
      <c r="F37">
        <f ca="1">INDIRECT(ADDRESS(ROW(),COLUMN(),4,,Calculator!$B$6))</f>
        <v>0</v>
      </c>
      <c r="G37">
        <f ca="1">INDIRECT(ADDRESS(ROW(),COLUMN(),4,,Calculator!$B$6))</f>
        <v>0</v>
      </c>
      <c r="H37" t="str">
        <f ca="1">INDIRECT(ADDRESS(ROW(),COLUMN(),4,,Calculator!$B$6))</f>
        <v>µF</v>
      </c>
      <c r="I37" t="b">
        <f ca="1">INDIRECT(ADDRESS(ROW(),COLUMN(),4,,Calculator!$B$6))</f>
        <v>0</v>
      </c>
      <c r="J37" t="b">
        <f ca="1">INDIRECT(ADDRESS(ROW(),COLUMN(),4,,Calculator!$B$6))</f>
        <v>0</v>
      </c>
      <c r="K37" t="b">
        <f ca="1">INDIRECT(ADDRESS(ROW(),COLUMN(),4,,Calculator!$B$6))</f>
        <v>1</v>
      </c>
      <c r="L37" t="b">
        <f ca="1">INDIRECT(ADDRESS(ROW(),COLUMN(),4,,Calculator!$B$6))</f>
        <v>0</v>
      </c>
      <c r="M37" t="b">
        <f ca="1">INDIRECT(ADDRESS(ROW(),COLUMN(),4,,Calculator!$B$6))</f>
        <v>0</v>
      </c>
      <c r="N37" t="str">
        <f ca="1">INDIRECT(ADDRESS(ROW(),COLUMN(),4,,Calculator!$B$6))</f>
        <v>4.7µF</v>
      </c>
    </row>
    <row r="38" spans="1:14" x14ac:dyDescent="0.2">
      <c r="A38" t="str">
        <f ca="1">INDIRECT(ADDRESS(ROW(),COLUMN(),4,,Calculator!$B$6))</f>
        <v>Radj</v>
      </c>
      <c r="B38" t="str">
        <f ca="1">INDIRECT(ADDRESS(ROW(),COLUMN(),4,,Calculator!$B$6))</f>
        <v>(Radj)</v>
      </c>
      <c r="C38" s="24">
        <f ca="1">INDIRECT(ADDRESS(ROW(),COLUMN(),4,,Calculator!$B$6))</f>
        <v>0</v>
      </c>
      <c r="D38">
        <f ca="1">INDIRECT(ADDRESS(ROW(),COLUMN(),4,,Calculator!$B$6))</f>
        <v>0</v>
      </c>
      <c r="E38">
        <f ca="1">INDIRECT(ADDRESS(ROW(),COLUMN(),4,,Calculator!$B$6))</f>
        <v>200</v>
      </c>
      <c r="F38">
        <f ca="1">INDIRECT(ADDRESS(ROW(),COLUMN(),4,,Calculator!$B$6))</f>
        <v>0</v>
      </c>
      <c r="G38">
        <f ca="1">INDIRECT(ADDRESS(ROW(),COLUMN(),4,,Calculator!$B$6))</f>
        <v>0</v>
      </c>
      <c r="H38" t="str">
        <f ca="1">INDIRECT(ADDRESS(ROW(),COLUMN(),4,,Calculator!$B$6))</f>
        <v>kΩ</v>
      </c>
      <c r="I38" t="b">
        <f ca="1">INDIRECT(ADDRESS(ROW(),COLUMN(),4,,Calculator!$B$6))</f>
        <v>0</v>
      </c>
      <c r="J38" t="b">
        <f ca="1">INDIRECT(ADDRESS(ROW(),COLUMN(),4,,Calculator!$B$6))</f>
        <v>0</v>
      </c>
      <c r="K38" t="b">
        <f ca="1">INDIRECT(ADDRESS(ROW(),COLUMN(),4,,Calculator!$B$6))</f>
        <v>1</v>
      </c>
      <c r="L38" t="b">
        <f ca="1">INDIRECT(ADDRESS(ROW(),COLUMN(),4,,Calculator!$B$6))</f>
        <v>0</v>
      </c>
      <c r="M38" t="b">
        <f ca="1">INDIRECT(ADDRESS(ROW(),COLUMN(),4,,Calculator!$B$6))</f>
        <v>0</v>
      </c>
      <c r="N38" t="str">
        <f ca="1">INDIRECT(ADDRESS(ROW(),COLUMN(),4,,Calculator!$B$6))</f>
        <v>200kΩ</v>
      </c>
    </row>
    <row r="39" spans="1:14" x14ac:dyDescent="0.2">
      <c r="A39" t="s">
        <v>212</v>
      </c>
      <c r="B39" s="24">
        <f ca="1">INDIRECT(ADDRESS(ROW(),COLUMN(),4,,Calculator!$B$6))</f>
        <v>0</v>
      </c>
      <c r="C39" s="24" t="str">
        <f ca="1">INDIRECT(ADDRESS(ROW(),COLUMN(),4,,Calculator!$B$6))</f>
        <v>2A / 40V  --  SOP-8 (EP) Package</v>
      </c>
      <c r="D39" s="24"/>
      <c r="N39">
        <f ca="1">INDIRECT(ADDRESS(ROW(),COLUMN(),4,,Calculator!$B$6))</f>
        <v>0</v>
      </c>
    </row>
    <row r="40" spans="1:14" x14ac:dyDescent="0.2">
      <c r="A40" t="s">
        <v>216</v>
      </c>
      <c r="B40" s="24"/>
      <c r="C40" s="24">
        <f ca="1">INDIRECT(ADDRESS(ROW(),COLUMN(),4,,Calculator!$B$6))</f>
        <v>100</v>
      </c>
      <c r="D40" s="24"/>
      <c r="N40">
        <f ca="1">INDIRECT(ADDRESS(ROW(),COLUMN(),4,,Calculator!$B$6))</f>
        <v>0</v>
      </c>
    </row>
    <row r="41" spans="1:14" x14ac:dyDescent="0.2">
      <c r="A41" t="s">
        <v>217</v>
      </c>
      <c r="B41" s="24"/>
      <c r="C41" s="24" t="str">
        <f ca="1">INDIRECT(ADDRESS(ROW(),COLUMN(),4,,Calculator!$B$6))</f>
        <v>B350</v>
      </c>
      <c r="D41" s="24"/>
      <c r="N41">
        <f ca="1">INDIRECT(ADDRESS(ROW(),COLUMN(),4,,Calculator!$B$6))</f>
        <v>0</v>
      </c>
    </row>
    <row r="42" spans="1:14" x14ac:dyDescent="0.2">
      <c r="A42" t="s">
        <v>218</v>
      </c>
      <c r="B42" s="24"/>
      <c r="C42" s="24" t="str">
        <f ca="1">INDIRECT(ADDRESS(ROW(),COLUMN(),4,,Calculator!$B$6))</f>
        <v>SBR2A40P1</v>
      </c>
      <c r="D42" s="24"/>
      <c r="N42">
        <f ca="1">INDIRECT(ADDRESS(ROW(),COLUMN(),4,,Calculator!$B$6))</f>
        <v>0</v>
      </c>
    </row>
    <row r="43" spans="1:14" x14ac:dyDescent="0.2">
      <c r="A43" t="s">
        <v>222</v>
      </c>
      <c r="B43" s="24"/>
      <c r="C43" s="24">
        <f ca="1">INDIRECT(ADDRESS(ROW(),COLUMN(),4,,Calculator!$B$6))</f>
        <v>8</v>
      </c>
      <c r="D43" s="24"/>
      <c r="N43" t="str">
        <f ca="1">INDIRECT(ADDRESS(ROW(),COLUMN(),4,,Calculator!$B$6))</f>
        <v xml:space="preserve">8 </v>
      </c>
    </row>
  </sheetData>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opLeftCell="A9" workbookViewId="0">
      <selection activeCell="G41" sqref="G41"/>
    </sheetView>
  </sheetViews>
  <sheetFormatPr defaultRowHeight="12.75" x14ac:dyDescent="0.2"/>
  <cols>
    <col min="1" max="1" width="30.42578125" bestFit="1" customWidth="1"/>
    <col min="2" max="2" width="7" bestFit="1" customWidth="1"/>
    <col min="14" max="14" width="16.140625" bestFit="1" customWidth="1"/>
    <col min="15" max="15" width="20.140625" customWidth="1"/>
    <col min="20" max="20" width="4" customWidth="1"/>
  </cols>
  <sheetData>
    <row r="1" spans="1:22" x14ac:dyDescent="0.2">
      <c r="A1" s="190" t="s">
        <v>258</v>
      </c>
      <c r="C1" t="s">
        <v>98</v>
      </c>
      <c r="D1" t="s">
        <v>99</v>
      </c>
      <c r="E1" t="s">
        <v>100</v>
      </c>
      <c r="F1" t="s">
        <v>101</v>
      </c>
      <c r="G1" t="s">
        <v>102</v>
      </c>
      <c r="H1" t="s">
        <v>103</v>
      </c>
      <c r="N1" t="s">
        <v>145</v>
      </c>
      <c r="P1" s="23" t="s">
        <v>41</v>
      </c>
    </row>
    <row r="2" spans="1:22" x14ac:dyDescent="0.2">
      <c r="A2" t="s">
        <v>97</v>
      </c>
      <c r="B2" t="s">
        <v>113</v>
      </c>
      <c r="C2" s="189">
        <v>4.5</v>
      </c>
      <c r="D2" s="189">
        <v>4.5</v>
      </c>
      <c r="E2">
        <v>12</v>
      </c>
      <c r="F2" s="175">
        <v>40</v>
      </c>
      <c r="G2" s="175">
        <v>40</v>
      </c>
      <c r="H2" t="s">
        <v>0</v>
      </c>
      <c r="I2" t="b">
        <f>NOT(C2="")</f>
        <v>1</v>
      </c>
      <c r="J2" t="b">
        <f>NOT(D2="")</f>
        <v>1</v>
      </c>
      <c r="K2" t="b">
        <f t="shared" ref="K2:M17" si="0">NOT(E2="")</f>
        <v>1</v>
      </c>
      <c r="L2" t="b">
        <f t="shared" si="0"/>
        <v>1</v>
      </c>
      <c r="M2" t="b">
        <f t="shared" si="0"/>
        <v>1</v>
      </c>
      <c r="N2" t="str">
        <f>IF(AND(J2,L2),CONCATENATE(D2," to ",F2,H2),IF(J2,CONCATENATE("greater than ",D2,H2),IF(L2,CONCATENATE("less than ",F2,H2),IF(K2,CONCATENATE(E2,H2),""))))</f>
        <v>4.5 to 40V</v>
      </c>
      <c r="P2" s="172" t="s">
        <v>259</v>
      </c>
    </row>
    <row r="3" spans="1:22" x14ac:dyDescent="0.2">
      <c r="A3" t="s">
        <v>104</v>
      </c>
      <c r="B3" t="s">
        <v>114</v>
      </c>
      <c r="C3">
        <v>1</v>
      </c>
      <c r="D3">
        <v>1</v>
      </c>
      <c r="E3">
        <v>1</v>
      </c>
      <c r="F3">
        <v>8</v>
      </c>
      <c r="G3">
        <v>15</v>
      </c>
      <c r="I3" t="b">
        <f t="shared" ref="I3:M36" si="1">NOT(C3="")</f>
        <v>1</v>
      </c>
      <c r="J3" t="b">
        <f t="shared" si="1"/>
        <v>1</v>
      </c>
      <c r="K3" t="b">
        <f t="shared" si="0"/>
        <v>1</v>
      </c>
      <c r="L3" t="b">
        <f t="shared" si="0"/>
        <v>1</v>
      </c>
      <c r="M3" t="b">
        <f t="shared" si="0"/>
        <v>1</v>
      </c>
      <c r="N3" t="str">
        <f t="shared" ref="N3:N36" si="2">IF(AND(J3,L3),CONCATENATE(D3," to ",F3,H3),IF(J3,CONCATENATE("greater than ",D3,H3),IF(L3,CONCATENATE("less than ",F3,H3),IF(K3,CONCATENATE(E3,H3),""))))</f>
        <v>1 to 8</v>
      </c>
      <c r="P3" s="172" t="s">
        <v>231</v>
      </c>
    </row>
    <row r="4" spans="1:22" x14ac:dyDescent="0.2">
      <c r="A4" t="s">
        <v>105</v>
      </c>
      <c r="B4" t="s">
        <v>115</v>
      </c>
      <c r="C4">
        <v>2</v>
      </c>
      <c r="E4" s="175">
        <v>3</v>
      </c>
      <c r="G4">
        <v>5</v>
      </c>
      <c r="H4" t="s">
        <v>0</v>
      </c>
      <c r="I4" t="b">
        <f t="shared" si="1"/>
        <v>1</v>
      </c>
      <c r="J4" t="b">
        <f t="shared" si="1"/>
        <v>0</v>
      </c>
      <c r="K4" t="b">
        <f t="shared" si="0"/>
        <v>1</v>
      </c>
      <c r="L4" t="b">
        <f t="shared" si="0"/>
        <v>0</v>
      </c>
      <c r="M4" t="b">
        <f t="shared" si="0"/>
        <v>1</v>
      </c>
      <c r="N4" t="str">
        <f t="shared" si="2"/>
        <v>3V</v>
      </c>
      <c r="O4" s="176" t="s">
        <v>252</v>
      </c>
      <c r="P4" s="188" t="s">
        <v>234</v>
      </c>
      <c r="Q4" s="189"/>
      <c r="R4" s="189"/>
      <c r="S4" s="189"/>
      <c r="T4" s="189"/>
    </row>
    <row r="5" spans="1:22" x14ac:dyDescent="0.2">
      <c r="A5" t="s">
        <v>106</v>
      </c>
      <c r="B5" t="s">
        <v>116</v>
      </c>
      <c r="C5">
        <v>0</v>
      </c>
      <c r="E5" s="175">
        <v>0.4</v>
      </c>
      <c r="G5">
        <v>1.5</v>
      </c>
      <c r="H5" t="s">
        <v>0</v>
      </c>
      <c r="I5" t="b">
        <f t="shared" si="1"/>
        <v>1</v>
      </c>
      <c r="J5" t="b">
        <f t="shared" si="1"/>
        <v>0</v>
      </c>
      <c r="K5" t="b">
        <f t="shared" si="0"/>
        <v>1</v>
      </c>
      <c r="L5" t="b">
        <f t="shared" si="0"/>
        <v>0</v>
      </c>
      <c r="M5" t="b">
        <f t="shared" si="0"/>
        <v>1</v>
      </c>
      <c r="N5" t="str">
        <f t="shared" si="2"/>
        <v>0.4V</v>
      </c>
      <c r="O5" s="176" t="s">
        <v>251</v>
      </c>
      <c r="P5" s="23" t="s">
        <v>257</v>
      </c>
      <c r="R5" s="7"/>
      <c r="S5" s="7"/>
      <c r="T5" s="7"/>
    </row>
    <row r="6" spans="1:22" x14ac:dyDescent="0.2">
      <c r="A6" t="s">
        <v>107</v>
      </c>
      <c r="B6" t="s">
        <v>117</v>
      </c>
      <c r="C6" s="189">
        <v>0.05</v>
      </c>
      <c r="D6" s="189">
        <v>0.05</v>
      </c>
      <c r="E6">
        <v>0.15</v>
      </c>
      <c r="F6">
        <v>0.5</v>
      </c>
      <c r="G6">
        <v>10</v>
      </c>
      <c r="H6" t="s">
        <v>108</v>
      </c>
      <c r="I6" t="b">
        <f t="shared" si="1"/>
        <v>1</v>
      </c>
      <c r="J6" t="b">
        <f t="shared" si="1"/>
        <v>1</v>
      </c>
      <c r="K6" t="b">
        <f t="shared" si="0"/>
        <v>1</v>
      </c>
      <c r="L6" t="b">
        <f t="shared" si="0"/>
        <v>1</v>
      </c>
      <c r="M6" t="b">
        <f t="shared" si="0"/>
        <v>1</v>
      </c>
      <c r="N6" t="str">
        <f t="shared" si="2"/>
        <v>0.05 to 0.5Ω</v>
      </c>
      <c r="P6" s="172" t="s">
        <v>256</v>
      </c>
    </row>
    <row r="7" spans="1:22" x14ac:dyDescent="0.2">
      <c r="A7" t="s">
        <v>109</v>
      </c>
      <c r="B7" t="s">
        <v>118</v>
      </c>
      <c r="C7">
        <v>9</v>
      </c>
      <c r="D7">
        <v>22</v>
      </c>
      <c r="E7">
        <v>33</v>
      </c>
      <c r="F7">
        <v>1000</v>
      </c>
      <c r="G7">
        <v>1100</v>
      </c>
      <c r="H7" t="s">
        <v>36</v>
      </c>
      <c r="I7" t="b">
        <f t="shared" si="1"/>
        <v>1</v>
      </c>
      <c r="J7" t="b">
        <f t="shared" si="1"/>
        <v>1</v>
      </c>
      <c r="K7" t="b">
        <f t="shared" si="0"/>
        <v>1</v>
      </c>
      <c r="L7" t="b">
        <f t="shared" si="0"/>
        <v>1</v>
      </c>
      <c r="M7" t="b">
        <f t="shared" si="0"/>
        <v>1</v>
      </c>
      <c r="N7" t="str">
        <f t="shared" si="2"/>
        <v>22 to 1000µH</v>
      </c>
      <c r="P7" s="172" t="s">
        <v>231</v>
      </c>
    </row>
    <row r="8" spans="1:22" x14ac:dyDescent="0.2">
      <c r="A8" t="s">
        <v>110</v>
      </c>
      <c r="B8" t="s">
        <v>119</v>
      </c>
      <c r="C8">
        <v>0</v>
      </c>
      <c r="D8">
        <v>0.1</v>
      </c>
      <c r="E8">
        <v>0.25</v>
      </c>
      <c r="F8">
        <v>1</v>
      </c>
      <c r="G8">
        <v>3</v>
      </c>
      <c r="H8" t="s">
        <v>108</v>
      </c>
      <c r="I8" t="b">
        <f t="shared" si="1"/>
        <v>1</v>
      </c>
      <c r="J8" t="b">
        <f t="shared" si="1"/>
        <v>1</v>
      </c>
      <c r="K8" t="b">
        <f t="shared" si="0"/>
        <v>1</v>
      </c>
      <c r="L8" t="b">
        <f t="shared" si="0"/>
        <v>1</v>
      </c>
      <c r="M8" t="b">
        <f t="shared" si="0"/>
        <v>1</v>
      </c>
      <c r="N8" t="str">
        <f t="shared" si="2"/>
        <v>0.1 to 1Ω</v>
      </c>
      <c r="P8" s="176" t="s">
        <v>234</v>
      </c>
      <c r="Q8" s="175"/>
      <c r="R8" s="175"/>
      <c r="S8" s="175"/>
      <c r="T8" s="175"/>
    </row>
    <row r="9" spans="1:22" x14ac:dyDescent="0.2">
      <c r="A9" t="s">
        <v>111</v>
      </c>
      <c r="B9" t="s">
        <v>120</v>
      </c>
      <c r="C9">
        <v>-40</v>
      </c>
      <c r="D9">
        <v>-40</v>
      </c>
      <c r="E9">
        <v>25</v>
      </c>
      <c r="F9" s="175">
        <v>85</v>
      </c>
      <c r="G9" s="175">
        <v>85</v>
      </c>
      <c r="H9" t="s">
        <v>112</v>
      </c>
      <c r="I9" t="b">
        <f t="shared" si="1"/>
        <v>1</v>
      </c>
      <c r="J9" t="b">
        <f t="shared" si="1"/>
        <v>1</v>
      </c>
      <c r="K9" t="b">
        <f t="shared" si="0"/>
        <v>1</v>
      </c>
      <c r="L9" t="b">
        <f t="shared" si="0"/>
        <v>1</v>
      </c>
      <c r="M9" t="b">
        <f t="shared" si="0"/>
        <v>1</v>
      </c>
      <c r="N9" t="str">
        <f t="shared" si="2"/>
        <v>-40 to 85°C</v>
      </c>
      <c r="P9" s="23" t="s">
        <v>230</v>
      </c>
      <c r="R9" s="7"/>
      <c r="S9" s="7"/>
      <c r="T9" s="7"/>
    </row>
    <row r="10" spans="1:22" x14ac:dyDescent="0.2">
      <c r="A10" t="s">
        <v>131</v>
      </c>
      <c r="B10" t="s">
        <v>121</v>
      </c>
      <c r="E10" s="188">
        <v>45</v>
      </c>
      <c r="H10" t="s">
        <v>28</v>
      </c>
      <c r="I10" t="b">
        <f t="shared" si="1"/>
        <v>0</v>
      </c>
      <c r="J10" t="b">
        <f t="shared" si="1"/>
        <v>0</v>
      </c>
      <c r="K10" t="b">
        <f t="shared" si="0"/>
        <v>1</v>
      </c>
      <c r="L10" t="b">
        <f t="shared" si="0"/>
        <v>0</v>
      </c>
      <c r="M10" t="b">
        <f t="shared" si="0"/>
        <v>0</v>
      </c>
      <c r="N10" t="str">
        <f t="shared" si="2"/>
        <v>45ns</v>
      </c>
      <c r="O10" s="202" t="s">
        <v>266</v>
      </c>
      <c r="P10" s="189"/>
      <c r="Q10" s="189"/>
      <c r="R10" s="189"/>
      <c r="S10" s="189"/>
      <c r="T10" s="189"/>
      <c r="U10" s="189"/>
      <c r="V10" s="189"/>
    </row>
    <row r="11" spans="1:22" x14ac:dyDescent="0.2">
      <c r="A11" t="s">
        <v>130</v>
      </c>
      <c r="B11" t="s">
        <v>122</v>
      </c>
      <c r="E11" s="188">
        <v>45</v>
      </c>
      <c r="H11" t="s">
        <v>28</v>
      </c>
      <c r="I11" t="b">
        <f t="shared" si="1"/>
        <v>0</v>
      </c>
      <c r="J11" t="b">
        <f t="shared" si="1"/>
        <v>0</v>
      </c>
      <c r="K11" t="b">
        <f t="shared" si="0"/>
        <v>1</v>
      </c>
      <c r="L11" t="b">
        <f t="shared" si="0"/>
        <v>0</v>
      </c>
      <c r="M11" t="b">
        <f t="shared" si="0"/>
        <v>0</v>
      </c>
      <c r="N11" t="str">
        <f t="shared" si="2"/>
        <v>45ns</v>
      </c>
      <c r="O11" s="177" t="s">
        <v>232</v>
      </c>
      <c r="P11" s="175"/>
      <c r="Q11" s="175"/>
      <c r="R11" s="175"/>
      <c r="S11" s="7"/>
      <c r="T11" s="7"/>
      <c r="U11" s="7"/>
      <c r="V11" s="7"/>
    </row>
    <row r="12" spans="1:22" x14ac:dyDescent="0.2">
      <c r="A12" t="s">
        <v>129</v>
      </c>
      <c r="B12" t="s">
        <v>123</v>
      </c>
      <c r="E12" s="175">
        <v>30</v>
      </c>
      <c r="H12" t="s">
        <v>28</v>
      </c>
      <c r="I12" t="b">
        <f t="shared" si="1"/>
        <v>0</v>
      </c>
      <c r="J12" t="b">
        <f t="shared" si="1"/>
        <v>0</v>
      </c>
      <c r="K12" t="b">
        <f t="shared" si="0"/>
        <v>1</v>
      </c>
      <c r="L12" t="b">
        <f t="shared" si="0"/>
        <v>0</v>
      </c>
      <c r="M12" t="b">
        <f t="shared" si="0"/>
        <v>0</v>
      </c>
      <c r="N12" t="str">
        <f t="shared" si="2"/>
        <v>30ns</v>
      </c>
      <c r="O12" s="176" t="s">
        <v>233</v>
      </c>
      <c r="P12" s="175"/>
      <c r="Q12" s="175"/>
      <c r="R12" s="175"/>
      <c r="S12" s="7"/>
    </row>
    <row r="13" spans="1:22" x14ac:dyDescent="0.2">
      <c r="A13" t="s">
        <v>128</v>
      </c>
      <c r="B13" t="s">
        <v>124</v>
      </c>
      <c r="E13" s="175">
        <v>35</v>
      </c>
      <c r="H13" t="s">
        <v>28</v>
      </c>
      <c r="I13" t="b">
        <f t="shared" si="1"/>
        <v>0</v>
      </c>
      <c r="J13" t="b">
        <f t="shared" si="1"/>
        <v>0</v>
      </c>
      <c r="K13" t="b">
        <f t="shared" si="0"/>
        <v>1</v>
      </c>
      <c r="L13" t="b">
        <f t="shared" si="0"/>
        <v>0</v>
      </c>
      <c r="M13" t="b">
        <f t="shared" si="0"/>
        <v>0</v>
      </c>
      <c r="N13" t="str">
        <f t="shared" si="2"/>
        <v>35ns</v>
      </c>
      <c r="O13" s="176" t="s">
        <v>233</v>
      </c>
      <c r="P13" s="175"/>
      <c r="Q13" s="175"/>
      <c r="R13" s="175"/>
      <c r="S13" s="7"/>
    </row>
    <row r="14" spans="1:22" x14ac:dyDescent="0.2">
      <c r="A14" t="s">
        <v>61</v>
      </c>
      <c r="E14" s="175">
        <v>0.3</v>
      </c>
      <c r="H14" t="s">
        <v>199</v>
      </c>
      <c r="I14" t="b">
        <f t="shared" si="1"/>
        <v>0</v>
      </c>
      <c r="J14" t="b">
        <f t="shared" si="1"/>
        <v>0</v>
      </c>
      <c r="K14" t="b">
        <f t="shared" si="0"/>
        <v>1</v>
      </c>
      <c r="L14" t="b">
        <f t="shared" si="0"/>
        <v>0</v>
      </c>
      <c r="M14" t="b">
        <f t="shared" si="0"/>
        <v>0</v>
      </c>
      <c r="N14" t="str">
        <f t="shared" si="2"/>
        <v>0.3 Ω</v>
      </c>
    </row>
    <row r="15" spans="1:22" x14ac:dyDescent="0.2">
      <c r="A15" t="s">
        <v>126</v>
      </c>
      <c r="B15" t="s">
        <v>125</v>
      </c>
      <c r="E15" s="189">
        <v>90</v>
      </c>
      <c r="H15" t="s">
        <v>132</v>
      </c>
      <c r="I15" t="b">
        <f t="shared" si="1"/>
        <v>0</v>
      </c>
      <c r="J15" t="b">
        <f t="shared" si="1"/>
        <v>0</v>
      </c>
      <c r="K15" t="b">
        <f t="shared" si="0"/>
        <v>1</v>
      </c>
      <c r="L15" t="b">
        <f t="shared" si="0"/>
        <v>0</v>
      </c>
      <c r="M15" t="b">
        <f t="shared" si="0"/>
        <v>0</v>
      </c>
      <c r="N15" t="str">
        <f t="shared" si="2"/>
        <v>90°C/W</v>
      </c>
    </row>
    <row r="16" spans="1:22" x14ac:dyDescent="0.2">
      <c r="A16" s="172" t="s">
        <v>228</v>
      </c>
      <c r="B16" t="s">
        <v>127</v>
      </c>
      <c r="C16" s="175">
        <v>0.3</v>
      </c>
      <c r="D16">
        <v>0.3</v>
      </c>
      <c r="E16">
        <v>1.25</v>
      </c>
      <c r="F16">
        <v>2.5</v>
      </c>
      <c r="G16">
        <v>2.6</v>
      </c>
      <c r="H16" t="s">
        <v>0</v>
      </c>
      <c r="I16" t="b">
        <f t="shared" si="1"/>
        <v>1</v>
      </c>
      <c r="J16" t="b">
        <f t="shared" si="1"/>
        <v>1</v>
      </c>
      <c r="K16" t="b">
        <f t="shared" si="0"/>
        <v>1</v>
      </c>
      <c r="L16" t="b">
        <f t="shared" si="0"/>
        <v>1</v>
      </c>
      <c r="M16" t="b">
        <f t="shared" si="0"/>
        <v>1</v>
      </c>
      <c r="N16" t="str">
        <f t="shared" si="2"/>
        <v>0.3 to 2.5V</v>
      </c>
      <c r="O16" s="180" t="s">
        <v>248</v>
      </c>
      <c r="P16" s="175"/>
      <c r="Q16" s="175"/>
      <c r="R16" s="175"/>
      <c r="S16" s="7"/>
    </row>
    <row r="17" spans="1:15" x14ac:dyDescent="0.2">
      <c r="A17" t="s">
        <v>133</v>
      </c>
      <c r="B17" t="s">
        <v>134</v>
      </c>
      <c r="D17">
        <v>0.2</v>
      </c>
      <c r="F17">
        <v>20</v>
      </c>
      <c r="H17" t="s">
        <v>35</v>
      </c>
      <c r="I17" t="b">
        <f t="shared" si="1"/>
        <v>0</v>
      </c>
      <c r="J17" t="b">
        <f t="shared" si="1"/>
        <v>1</v>
      </c>
      <c r="K17" t="b">
        <f t="shared" si="0"/>
        <v>0</v>
      </c>
      <c r="L17" t="b">
        <f t="shared" si="0"/>
        <v>1</v>
      </c>
      <c r="M17" t="b">
        <f t="shared" si="0"/>
        <v>0</v>
      </c>
      <c r="N17" t="str">
        <f t="shared" si="2"/>
        <v>0.2 to 20µs</v>
      </c>
    </row>
    <row r="18" spans="1:15" x14ac:dyDescent="0.2">
      <c r="A18" t="s">
        <v>135</v>
      </c>
      <c r="B18" t="s">
        <v>136</v>
      </c>
      <c r="D18">
        <v>0.2</v>
      </c>
      <c r="F18">
        <v>20</v>
      </c>
      <c r="H18" t="s">
        <v>35</v>
      </c>
      <c r="I18" t="b">
        <f t="shared" si="1"/>
        <v>0</v>
      </c>
      <c r="J18" t="b">
        <f t="shared" si="1"/>
        <v>1</v>
      </c>
      <c r="K18" t="b">
        <f t="shared" si="1"/>
        <v>0</v>
      </c>
      <c r="L18" t="b">
        <f t="shared" si="1"/>
        <v>1</v>
      </c>
      <c r="M18" t="b">
        <f t="shared" si="1"/>
        <v>0</v>
      </c>
      <c r="N18" t="str">
        <f t="shared" si="2"/>
        <v>0.2 to 20µs</v>
      </c>
    </row>
    <row r="19" spans="1:15" x14ac:dyDescent="0.2">
      <c r="A19" t="s">
        <v>137</v>
      </c>
      <c r="B19" t="s">
        <v>138</v>
      </c>
      <c r="C19" s="175">
        <v>0.2</v>
      </c>
      <c r="D19" s="175">
        <v>0.25</v>
      </c>
      <c r="E19" s="175"/>
      <c r="F19" s="175">
        <v>0.75</v>
      </c>
      <c r="G19" s="175">
        <v>0.8</v>
      </c>
      <c r="I19" t="b">
        <f t="shared" si="1"/>
        <v>1</v>
      </c>
      <c r="J19" t="b">
        <f t="shared" si="1"/>
        <v>1</v>
      </c>
      <c r="K19" t="b">
        <f t="shared" si="1"/>
        <v>0</v>
      </c>
      <c r="L19" t="b">
        <f t="shared" si="1"/>
        <v>1</v>
      </c>
      <c r="M19" t="b">
        <f t="shared" si="1"/>
        <v>1</v>
      </c>
      <c r="N19" t="str">
        <f t="shared" si="2"/>
        <v>0.25 to 0.75</v>
      </c>
    </row>
    <row r="20" spans="1:15" x14ac:dyDescent="0.2">
      <c r="A20" t="s">
        <v>139</v>
      </c>
      <c r="B20" t="s">
        <v>140</v>
      </c>
      <c r="D20">
        <v>100</v>
      </c>
      <c r="F20" s="175">
        <v>1000</v>
      </c>
      <c r="G20" s="175">
        <v>1000</v>
      </c>
      <c r="H20" t="s">
        <v>3</v>
      </c>
      <c r="I20" t="b">
        <f t="shared" si="1"/>
        <v>0</v>
      </c>
      <c r="J20" t="b">
        <f t="shared" si="1"/>
        <v>1</v>
      </c>
      <c r="K20" t="b">
        <f t="shared" si="1"/>
        <v>0</v>
      </c>
      <c r="L20" t="b">
        <f t="shared" si="1"/>
        <v>1</v>
      </c>
      <c r="M20" t="b">
        <f t="shared" si="1"/>
        <v>1</v>
      </c>
      <c r="N20" t="str">
        <f t="shared" si="2"/>
        <v>100 to 1000kHz</v>
      </c>
    </row>
    <row r="21" spans="1:15" x14ac:dyDescent="0.2">
      <c r="A21" t="s">
        <v>45</v>
      </c>
      <c r="D21">
        <v>120</v>
      </c>
      <c r="F21">
        <v>1200</v>
      </c>
      <c r="H21" t="s">
        <v>4</v>
      </c>
      <c r="I21" t="b">
        <f t="shared" si="1"/>
        <v>0</v>
      </c>
      <c r="J21" t="b">
        <f t="shared" si="1"/>
        <v>1</v>
      </c>
      <c r="K21" t="b">
        <f t="shared" si="1"/>
        <v>0</v>
      </c>
      <c r="L21" t="b">
        <f t="shared" si="1"/>
        <v>1</v>
      </c>
      <c r="M21" t="b">
        <f t="shared" si="1"/>
        <v>0</v>
      </c>
      <c r="N21" t="str">
        <f t="shared" si="2"/>
        <v>120 to 1200mA</v>
      </c>
    </row>
    <row r="22" spans="1:15" x14ac:dyDescent="0.2">
      <c r="A22" t="s">
        <v>43</v>
      </c>
      <c r="D22">
        <v>80</v>
      </c>
      <c r="F22">
        <v>800</v>
      </c>
      <c r="H22" t="s">
        <v>4</v>
      </c>
      <c r="I22" t="b">
        <f t="shared" si="1"/>
        <v>0</v>
      </c>
      <c r="J22" t="b">
        <f t="shared" si="1"/>
        <v>1</v>
      </c>
      <c r="K22" t="b">
        <f t="shared" si="1"/>
        <v>0</v>
      </c>
      <c r="L22" t="b">
        <f t="shared" si="1"/>
        <v>1</v>
      </c>
      <c r="M22" t="b">
        <f t="shared" si="1"/>
        <v>0</v>
      </c>
      <c r="N22" t="str">
        <f t="shared" si="2"/>
        <v>80 to 800mA</v>
      </c>
    </row>
    <row r="23" spans="1:15" x14ac:dyDescent="0.2">
      <c r="A23" t="s">
        <v>66</v>
      </c>
      <c r="D23">
        <v>40</v>
      </c>
      <c r="F23">
        <v>400</v>
      </c>
      <c r="H23" t="s">
        <v>4</v>
      </c>
      <c r="I23" t="b">
        <f t="shared" si="1"/>
        <v>0</v>
      </c>
      <c r="J23" t="b">
        <f t="shared" si="1"/>
        <v>1</v>
      </c>
      <c r="K23" t="b">
        <f t="shared" si="1"/>
        <v>0</v>
      </c>
      <c r="L23" t="b">
        <f t="shared" si="1"/>
        <v>1</v>
      </c>
      <c r="M23" t="b">
        <f t="shared" si="1"/>
        <v>0</v>
      </c>
      <c r="N23" t="str">
        <f t="shared" si="2"/>
        <v>40 to 400mA</v>
      </c>
    </row>
    <row r="24" spans="1:15" x14ac:dyDescent="0.2">
      <c r="A24" t="s">
        <v>141</v>
      </c>
      <c r="B24" t="s">
        <v>142</v>
      </c>
      <c r="D24">
        <v>100</v>
      </c>
      <c r="F24" s="189">
        <v>2000</v>
      </c>
      <c r="G24" s="189">
        <v>2500</v>
      </c>
      <c r="H24" t="s">
        <v>4</v>
      </c>
      <c r="I24" t="b">
        <f t="shared" si="1"/>
        <v>0</v>
      </c>
      <c r="J24" t="b">
        <f t="shared" si="1"/>
        <v>1</v>
      </c>
      <c r="K24" t="b">
        <f t="shared" si="1"/>
        <v>0</v>
      </c>
      <c r="L24" t="b">
        <f t="shared" si="1"/>
        <v>1</v>
      </c>
      <c r="M24" t="b">
        <f t="shared" si="1"/>
        <v>1</v>
      </c>
      <c r="N24" t="str">
        <f t="shared" si="2"/>
        <v>100 to 2000mA</v>
      </c>
    </row>
    <row r="25" spans="1:15" x14ac:dyDescent="0.2">
      <c r="A25" t="s">
        <v>67</v>
      </c>
      <c r="D25">
        <v>3</v>
      </c>
      <c r="F25">
        <v>24</v>
      </c>
      <c r="H25" t="s">
        <v>11</v>
      </c>
      <c r="I25" t="b">
        <f t="shared" si="1"/>
        <v>0</v>
      </c>
      <c r="J25" t="b">
        <f t="shared" si="1"/>
        <v>1</v>
      </c>
      <c r="K25" t="b">
        <f t="shared" si="1"/>
        <v>0</v>
      </c>
      <c r="L25" t="b">
        <f t="shared" si="1"/>
        <v>1</v>
      </c>
      <c r="M25" t="b">
        <f t="shared" si="1"/>
        <v>0</v>
      </c>
      <c r="N25" t="str">
        <f t="shared" si="2"/>
        <v>3 to 24W</v>
      </c>
    </row>
    <row r="26" spans="1:15" x14ac:dyDescent="0.2">
      <c r="A26" t="s">
        <v>68</v>
      </c>
      <c r="E26">
        <v>1000</v>
      </c>
      <c r="H26" t="s">
        <v>34</v>
      </c>
      <c r="I26" t="b">
        <f t="shared" si="1"/>
        <v>0</v>
      </c>
      <c r="J26" t="b">
        <f t="shared" si="1"/>
        <v>0</v>
      </c>
      <c r="K26" t="b">
        <f t="shared" si="1"/>
        <v>1</v>
      </c>
      <c r="L26" t="b">
        <f t="shared" si="1"/>
        <v>0</v>
      </c>
      <c r="M26" t="b">
        <f t="shared" si="1"/>
        <v>0</v>
      </c>
      <c r="N26" t="str">
        <f t="shared" si="2"/>
        <v>1000µA</v>
      </c>
      <c r="O26" s="7"/>
    </row>
    <row r="27" spans="1:15" x14ac:dyDescent="0.2">
      <c r="A27" t="s">
        <v>12</v>
      </c>
      <c r="H27" t="s">
        <v>13</v>
      </c>
      <c r="I27" t="b">
        <f t="shared" si="1"/>
        <v>0</v>
      </c>
      <c r="J27" t="b">
        <f t="shared" si="1"/>
        <v>0</v>
      </c>
      <c r="K27" t="b">
        <f t="shared" si="1"/>
        <v>0</v>
      </c>
      <c r="L27" t="b">
        <f t="shared" si="1"/>
        <v>0</v>
      </c>
      <c r="M27" t="b">
        <f t="shared" si="1"/>
        <v>0</v>
      </c>
      <c r="N27" t="str">
        <f t="shared" si="2"/>
        <v/>
      </c>
    </row>
    <row r="28" spans="1:15" x14ac:dyDescent="0.2">
      <c r="A28" t="s">
        <v>14</v>
      </c>
      <c r="H28" t="s">
        <v>13</v>
      </c>
      <c r="I28" t="b">
        <f t="shared" si="1"/>
        <v>0</v>
      </c>
      <c r="J28" t="b">
        <f t="shared" si="1"/>
        <v>0</v>
      </c>
      <c r="K28" t="b">
        <f t="shared" si="1"/>
        <v>0</v>
      </c>
      <c r="L28" t="b">
        <f t="shared" si="1"/>
        <v>0</v>
      </c>
      <c r="M28" t="b">
        <f t="shared" si="1"/>
        <v>0</v>
      </c>
      <c r="N28" t="str">
        <f t="shared" si="2"/>
        <v/>
      </c>
    </row>
    <row r="29" spans="1:15" x14ac:dyDescent="0.2">
      <c r="A29" t="s">
        <v>15</v>
      </c>
      <c r="D29">
        <v>100</v>
      </c>
      <c r="F29">
        <v>1000</v>
      </c>
      <c r="H29" t="s">
        <v>13</v>
      </c>
      <c r="I29" t="b">
        <f t="shared" si="1"/>
        <v>0</v>
      </c>
      <c r="J29" t="b">
        <f t="shared" si="1"/>
        <v>1</v>
      </c>
      <c r="K29" t="b">
        <f t="shared" si="1"/>
        <v>0</v>
      </c>
      <c r="L29" t="b">
        <f t="shared" si="1"/>
        <v>1</v>
      </c>
      <c r="M29" t="b">
        <f t="shared" si="1"/>
        <v>0</v>
      </c>
      <c r="N29" t="str">
        <f t="shared" si="2"/>
        <v>100 to 1000mW</v>
      </c>
    </row>
    <row r="30" spans="1:15" x14ac:dyDescent="0.2">
      <c r="A30" t="s">
        <v>16</v>
      </c>
      <c r="H30" t="s">
        <v>13</v>
      </c>
      <c r="I30" t="b">
        <f t="shared" si="1"/>
        <v>0</v>
      </c>
      <c r="J30" t="b">
        <f t="shared" si="1"/>
        <v>0</v>
      </c>
      <c r="K30" t="b">
        <f t="shared" si="1"/>
        <v>0</v>
      </c>
      <c r="L30" t="b">
        <f t="shared" si="1"/>
        <v>0</v>
      </c>
      <c r="M30" t="b">
        <f t="shared" si="1"/>
        <v>0</v>
      </c>
      <c r="N30" t="str">
        <f t="shared" si="2"/>
        <v/>
      </c>
    </row>
    <row r="31" spans="1:15" x14ac:dyDescent="0.2">
      <c r="A31" t="s">
        <v>17</v>
      </c>
      <c r="H31" t="s">
        <v>13</v>
      </c>
      <c r="I31" t="b">
        <f t="shared" si="1"/>
        <v>0</v>
      </c>
      <c r="J31" t="b">
        <f t="shared" si="1"/>
        <v>0</v>
      </c>
      <c r="K31" t="b">
        <f t="shared" si="1"/>
        <v>0</v>
      </c>
      <c r="L31" t="b">
        <f t="shared" si="1"/>
        <v>0</v>
      </c>
      <c r="M31" t="b">
        <f t="shared" si="1"/>
        <v>0</v>
      </c>
      <c r="N31" t="str">
        <f t="shared" si="2"/>
        <v/>
      </c>
    </row>
    <row r="32" spans="1:15" x14ac:dyDescent="0.2">
      <c r="A32" t="s">
        <v>19</v>
      </c>
      <c r="H32" t="s">
        <v>13</v>
      </c>
      <c r="I32" t="b">
        <f t="shared" si="1"/>
        <v>0</v>
      </c>
      <c r="J32" t="b">
        <f t="shared" si="1"/>
        <v>0</v>
      </c>
      <c r="K32" t="b">
        <f t="shared" si="1"/>
        <v>0</v>
      </c>
      <c r="L32" t="b">
        <f t="shared" si="1"/>
        <v>0</v>
      </c>
      <c r="M32" t="b">
        <f t="shared" si="1"/>
        <v>0</v>
      </c>
      <c r="N32" t="str">
        <f t="shared" si="2"/>
        <v/>
      </c>
    </row>
    <row r="33" spans="1:14" x14ac:dyDescent="0.2">
      <c r="A33" t="s">
        <v>69</v>
      </c>
      <c r="D33">
        <v>80</v>
      </c>
      <c r="F33" s="175">
        <v>95</v>
      </c>
      <c r="H33" t="s">
        <v>18</v>
      </c>
      <c r="I33" t="b">
        <f t="shared" si="1"/>
        <v>0</v>
      </c>
      <c r="J33" t="b">
        <f t="shared" si="1"/>
        <v>1</v>
      </c>
      <c r="K33" t="b">
        <f t="shared" si="1"/>
        <v>0</v>
      </c>
      <c r="L33" t="b">
        <f t="shared" si="1"/>
        <v>1</v>
      </c>
      <c r="M33" t="b">
        <f t="shared" si="1"/>
        <v>0</v>
      </c>
      <c r="N33" t="str">
        <f t="shared" si="2"/>
        <v>80 to 95%</v>
      </c>
    </row>
    <row r="34" spans="1:14" x14ac:dyDescent="0.2">
      <c r="A34" t="s">
        <v>70</v>
      </c>
      <c r="H34" t="s">
        <v>4</v>
      </c>
      <c r="I34" t="b">
        <f t="shared" si="1"/>
        <v>0</v>
      </c>
      <c r="J34" t="b">
        <f t="shared" si="1"/>
        <v>0</v>
      </c>
      <c r="K34" t="b">
        <f t="shared" si="1"/>
        <v>0</v>
      </c>
      <c r="L34" t="b">
        <f t="shared" si="1"/>
        <v>0</v>
      </c>
      <c r="M34" t="b">
        <f t="shared" si="1"/>
        <v>0</v>
      </c>
      <c r="N34" t="str">
        <f t="shared" si="2"/>
        <v/>
      </c>
    </row>
    <row r="35" spans="1:14" x14ac:dyDescent="0.2">
      <c r="A35" t="s">
        <v>48</v>
      </c>
      <c r="H35" t="s">
        <v>108</v>
      </c>
      <c r="I35" t="b">
        <f t="shared" si="1"/>
        <v>0</v>
      </c>
      <c r="J35" t="b">
        <f t="shared" si="1"/>
        <v>0</v>
      </c>
      <c r="K35" t="b">
        <f t="shared" si="1"/>
        <v>0</v>
      </c>
      <c r="L35" t="b">
        <f t="shared" si="1"/>
        <v>0</v>
      </c>
      <c r="M35" t="b">
        <f t="shared" si="1"/>
        <v>0</v>
      </c>
      <c r="N35" t="str">
        <f t="shared" si="2"/>
        <v/>
      </c>
    </row>
    <row r="36" spans="1:14" x14ac:dyDescent="0.2">
      <c r="A36" t="s">
        <v>143</v>
      </c>
      <c r="B36" t="s">
        <v>144</v>
      </c>
      <c r="F36">
        <v>150</v>
      </c>
      <c r="H36" t="s">
        <v>112</v>
      </c>
      <c r="I36" t="b">
        <f t="shared" si="1"/>
        <v>0</v>
      </c>
      <c r="J36" t="b">
        <f t="shared" si="1"/>
        <v>0</v>
      </c>
      <c r="K36" t="b">
        <f t="shared" si="1"/>
        <v>0</v>
      </c>
      <c r="L36" t="b">
        <f t="shared" si="1"/>
        <v>1</v>
      </c>
      <c r="M36" t="b">
        <f t="shared" si="1"/>
        <v>0</v>
      </c>
      <c r="N36" t="str">
        <f t="shared" si="2"/>
        <v>less than 150°C</v>
      </c>
    </row>
    <row r="37" spans="1:14" x14ac:dyDescent="0.2">
      <c r="A37" t="s">
        <v>147</v>
      </c>
      <c r="E37">
        <v>4.7</v>
      </c>
      <c r="H37" t="s">
        <v>148</v>
      </c>
      <c r="I37" t="b">
        <f t="shared" ref="I37:M38" si="3">NOT(C37="")</f>
        <v>0</v>
      </c>
      <c r="J37" t="b">
        <f t="shared" si="3"/>
        <v>0</v>
      </c>
      <c r="K37" t="b">
        <f t="shared" si="3"/>
        <v>1</v>
      </c>
      <c r="L37" t="b">
        <f t="shared" si="3"/>
        <v>0</v>
      </c>
      <c r="M37" t="b">
        <f t="shared" si="3"/>
        <v>0</v>
      </c>
      <c r="N37" t="str">
        <f>IF(AND(J37,L37),CONCATENATE(D37," to ",F37,H37),IF(J37,CONCATENATE("greater than ",D37,H37),IF(L37,CONCATENATE("less than ",F37,H37),IF(K37,CONCATENATE(E37,H37),""))))</f>
        <v>4.7µF</v>
      </c>
    </row>
    <row r="38" spans="1:14" x14ac:dyDescent="0.2">
      <c r="A38" t="s">
        <v>201</v>
      </c>
      <c r="B38" t="s">
        <v>203</v>
      </c>
      <c r="E38">
        <v>200</v>
      </c>
      <c r="H38" t="s">
        <v>202</v>
      </c>
      <c r="I38" t="b">
        <f t="shared" si="3"/>
        <v>0</v>
      </c>
      <c r="J38" t="b">
        <f t="shared" si="3"/>
        <v>0</v>
      </c>
      <c r="K38" t="b">
        <f t="shared" si="3"/>
        <v>1</v>
      </c>
      <c r="L38" t="b">
        <f t="shared" si="3"/>
        <v>0</v>
      </c>
      <c r="M38" t="b">
        <f t="shared" si="3"/>
        <v>0</v>
      </c>
      <c r="N38" t="str">
        <f>CONCATENATE(E38,H38)</f>
        <v>200kΩ</v>
      </c>
    </row>
    <row r="39" spans="1:14" x14ac:dyDescent="0.2">
      <c r="A39" t="s">
        <v>212</v>
      </c>
      <c r="C39" s="188" t="s">
        <v>260</v>
      </c>
      <c r="D39" s="189"/>
      <c r="E39" s="189"/>
    </row>
    <row r="40" spans="1:14" x14ac:dyDescent="0.2">
      <c r="A40" t="s">
        <v>216</v>
      </c>
      <c r="C40">
        <v>100</v>
      </c>
    </row>
    <row r="41" spans="1:14" x14ac:dyDescent="0.2">
      <c r="A41" t="s">
        <v>223</v>
      </c>
      <c r="C41" s="172" t="s">
        <v>267</v>
      </c>
    </row>
    <row r="42" spans="1:14" x14ac:dyDescent="0.2">
      <c r="A42" t="s">
        <v>218</v>
      </c>
      <c r="C42" t="s">
        <v>226</v>
      </c>
    </row>
    <row r="43" spans="1:14" x14ac:dyDescent="0.2">
      <c r="A43" t="s">
        <v>222</v>
      </c>
      <c r="C43">
        <v>8</v>
      </c>
      <c r="N43" t="str">
        <f>CONCATENATE(C43," ",H43)</f>
        <v xml:space="preserve">8 </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W57"/>
  <sheetViews>
    <sheetView workbookViewId="0">
      <selection activeCell="S15" sqref="S15"/>
    </sheetView>
  </sheetViews>
  <sheetFormatPr defaultRowHeight="12.75" x14ac:dyDescent="0.2"/>
  <cols>
    <col min="12" max="12" width="11" bestFit="1" customWidth="1"/>
    <col min="13" max="13" width="12.7109375" bestFit="1" customWidth="1"/>
  </cols>
  <sheetData>
    <row r="1" spans="1:23" x14ac:dyDescent="0.2">
      <c r="A1" s="23" t="s">
        <v>197</v>
      </c>
      <c r="C1" s="16"/>
      <c r="D1" s="21" t="s">
        <v>32</v>
      </c>
      <c r="E1" s="16"/>
      <c r="F1" s="16"/>
      <c r="G1" s="16"/>
      <c r="H1" s="16"/>
      <c r="I1" s="16"/>
      <c r="J1" s="16"/>
      <c r="K1" s="16"/>
      <c r="L1" s="15"/>
      <c r="M1" s="19" t="s">
        <v>198</v>
      </c>
      <c r="N1" s="16"/>
      <c r="O1" s="19" t="s">
        <v>30</v>
      </c>
      <c r="P1" s="16"/>
    </row>
    <row r="2" spans="1:23" x14ac:dyDescent="0.2">
      <c r="A2" s="15" t="s">
        <v>150</v>
      </c>
      <c r="B2" s="57">
        <f ca="1">IF(Calculations!M27&gt;0,1000000*Calculations!E28,Calculations!O2)</f>
        <v>1.1077413701100485</v>
      </c>
      <c r="C2" s="16"/>
      <c r="D2" s="17"/>
      <c r="E2" s="16"/>
      <c r="F2" s="16"/>
      <c r="G2" s="16"/>
      <c r="H2" s="16"/>
      <c r="I2" s="16"/>
      <c r="J2" s="16"/>
      <c r="K2" s="16"/>
      <c r="L2" s="15" t="s">
        <v>23</v>
      </c>
      <c r="M2" s="58">
        <f>Calculator!C12</f>
        <v>20</v>
      </c>
      <c r="N2" s="17"/>
      <c r="O2" s="59" t="s">
        <v>31</v>
      </c>
      <c r="P2" s="22"/>
      <c r="R2" s="23" t="s">
        <v>41</v>
      </c>
    </row>
    <row r="3" spans="1:23" x14ac:dyDescent="0.2">
      <c r="A3" s="15" t="s">
        <v>151</v>
      </c>
      <c r="B3" s="57">
        <f ca="1">IF(Calculations!M27&gt;0,1000000*Calculations!E29,Calculations!O3)</f>
        <v>1.1262580470984951</v>
      </c>
      <c r="C3" s="22"/>
      <c r="D3" s="57">
        <f ca="1">IF(Calculations!M27&gt;0,(Calculations!M7/Calculations!M19)*LN(Calculations!M20/(Calculations!M20-(Calculations!E34/1000))),0)</f>
        <v>2.7110149174031917</v>
      </c>
      <c r="E3" s="16">
        <f ca="1">IF(Calculations!M27&gt;0,Calculations!M20*1000*(1-EXP(-Calculations!M19*D3/Calculations!M7)),Calculations!M20)</f>
        <v>854.64286241525838</v>
      </c>
      <c r="F3" s="60">
        <f ca="1">IF(Calculations!M27&gt;0,1000*Calculations!M20*N42,Calculations!M20)</f>
        <v>1025.0928023829849</v>
      </c>
      <c r="G3" s="16"/>
      <c r="H3" s="16"/>
      <c r="I3" s="16"/>
      <c r="J3" s="16"/>
      <c r="K3" s="16"/>
      <c r="L3" s="15" t="s">
        <v>160</v>
      </c>
      <c r="M3" s="67">
        <f>Calculator!C13</f>
        <v>3</v>
      </c>
      <c r="N3" s="16"/>
      <c r="O3" s="61">
        <v>0</v>
      </c>
      <c r="P3" s="22"/>
      <c r="R3" s="172" t="s">
        <v>270</v>
      </c>
    </row>
    <row r="4" spans="1:23" x14ac:dyDescent="0.2">
      <c r="A4" s="15" t="s">
        <v>152</v>
      </c>
      <c r="B4" s="57">
        <f ca="1">IF(Calculations!M27&gt;0,Calculations!E30,Calculations!O4)</f>
        <v>0.49585571132073442</v>
      </c>
      <c r="C4" s="22"/>
      <c r="D4" s="17" t="s">
        <v>6</v>
      </c>
      <c r="E4" s="16" t="s">
        <v>7</v>
      </c>
      <c r="F4" s="16" t="s">
        <v>5</v>
      </c>
      <c r="G4" s="16" t="s">
        <v>186</v>
      </c>
      <c r="H4" s="16" t="s">
        <v>187</v>
      </c>
      <c r="I4" s="16" t="s">
        <v>24</v>
      </c>
      <c r="J4" s="16" t="s">
        <v>25</v>
      </c>
      <c r="K4" s="16"/>
      <c r="L4" s="15" t="s">
        <v>161</v>
      </c>
      <c r="M4" s="57">
        <f>Calculator!C14</f>
        <v>3.133</v>
      </c>
      <c r="N4" s="22"/>
      <c r="O4" s="62">
        <v>1</v>
      </c>
      <c r="P4" s="22"/>
      <c r="R4" s="172" t="s">
        <v>276</v>
      </c>
    </row>
    <row r="5" spans="1:23" x14ac:dyDescent="0.2">
      <c r="A5" s="15" t="s">
        <v>153</v>
      </c>
      <c r="B5" s="63">
        <f ca="1">IF(Calculations!M27&gt;0,Calculations!E31/1000000,Calculations!O3)</f>
        <v>447.62769063276352</v>
      </c>
      <c r="C5" s="22"/>
      <c r="D5" s="18">
        <v>0</v>
      </c>
      <c r="E5" s="20">
        <f ca="1">Calculations!E34</f>
        <v>854.64286241525906</v>
      </c>
      <c r="F5" s="17">
        <f ca="1">O46</f>
        <v>1024.7942170896158</v>
      </c>
      <c r="G5" s="16">
        <f>Calculations!G34</f>
        <v>870</v>
      </c>
      <c r="H5" s="16">
        <f>Calculations!G33</f>
        <v>1130</v>
      </c>
      <c r="I5" s="16">
        <f t="shared" ref="I5:I25" ca="1" si="0">Imin</f>
        <v>854.64286241525906</v>
      </c>
      <c r="J5" s="16">
        <f t="shared" ref="J5:J25" ca="1" si="1">Imax</f>
        <v>1194.6676781744063</v>
      </c>
      <c r="K5" s="16"/>
      <c r="L5" s="15" t="s">
        <v>162</v>
      </c>
      <c r="M5" s="57">
        <f>Calculator!C15</f>
        <v>0.4</v>
      </c>
      <c r="N5" s="22"/>
      <c r="O5" s="22"/>
      <c r="P5" s="17"/>
      <c r="R5" s="172" t="s">
        <v>257</v>
      </c>
    </row>
    <row r="6" spans="1:23" x14ac:dyDescent="0.2">
      <c r="A6" s="15" t="s">
        <v>25</v>
      </c>
      <c r="B6" s="58">
        <f ca="1">IF(Calculations!M27&gt;0,Calculations!E33,Calculations!M20)</f>
        <v>1194.6676781744063</v>
      </c>
      <c r="C6" s="22"/>
      <c r="D6" s="18">
        <f ca="1">D10/5</f>
        <v>0.22154827402200969</v>
      </c>
      <c r="E6" s="16">
        <f ca="1">IF(Calculations!M27&gt;0,Calculations!M20*1000*(1-EXP(-Calculations!M19*(D3+D6)/Calculations!M7)),Calculations!E34)</f>
        <v>923.06850528408711</v>
      </c>
      <c r="F6" s="17">
        <f ca="1">F7</f>
        <v>1024.7942170896158</v>
      </c>
      <c r="G6" s="16">
        <f>Calculations!G34</f>
        <v>870</v>
      </c>
      <c r="H6" s="16">
        <f>Calculations!G33</f>
        <v>1130</v>
      </c>
      <c r="I6" s="16">
        <f t="shared" ca="1" si="0"/>
        <v>854.64286241525906</v>
      </c>
      <c r="J6" s="16">
        <f t="shared" ca="1" si="1"/>
        <v>1194.6676781744063</v>
      </c>
      <c r="K6" s="16"/>
      <c r="L6" s="15" t="s">
        <v>38</v>
      </c>
      <c r="M6" s="60">
        <f>Calculator!C16</f>
        <v>0.1</v>
      </c>
      <c r="N6" s="16"/>
      <c r="O6" s="16"/>
      <c r="P6" s="16"/>
    </row>
    <row r="7" spans="1:23" x14ac:dyDescent="0.2">
      <c r="A7" s="15" t="s">
        <v>24</v>
      </c>
      <c r="B7" s="58">
        <f ca="1">IF(Calculations!M27&gt;0,Calculations!E34,Calculations!M20)</f>
        <v>854.64286241525906</v>
      </c>
      <c r="C7" s="22"/>
      <c r="D7" s="18">
        <f ca="1">2*D10/5</f>
        <v>0.44309654804401938</v>
      </c>
      <c r="E7" s="16">
        <f ca="1">IF(Calculations!M27&gt;0,Calculations!M20*1000*(1-EXP(-Calculations!M19*(D3+D7)/Calculations!M7)),Calculations!E34)</f>
        <v>991.28315871407597</v>
      </c>
      <c r="F7" s="17">
        <f ca="1">F5</f>
        <v>1024.7942170896158</v>
      </c>
      <c r="G7" s="16">
        <f>Calculations!G34</f>
        <v>870</v>
      </c>
      <c r="H7" s="16">
        <f>Calculations!G33</f>
        <v>1130</v>
      </c>
      <c r="I7" s="16">
        <f t="shared" ca="1" si="0"/>
        <v>854.64286241525906</v>
      </c>
      <c r="J7" s="16">
        <f t="shared" ca="1" si="1"/>
        <v>1194.6676781744063</v>
      </c>
      <c r="K7" s="16"/>
      <c r="L7" s="15" t="s">
        <v>163</v>
      </c>
      <c r="M7" s="58">
        <f>Calculator!C17</f>
        <v>33</v>
      </c>
      <c r="N7" s="17"/>
      <c r="O7" s="16"/>
      <c r="P7" s="22"/>
      <c r="R7" s="172" t="s">
        <v>262</v>
      </c>
    </row>
    <row r="8" spans="1:23" x14ac:dyDescent="0.2">
      <c r="A8" s="15" t="s">
        <v>154</v>
      </c>
      <c r="B8" s="58">
        <f ca="1">B6-B7</f>
        <v>340.02481575914726</v>
      </c>
      <c r="C8" s="16"/>
      <c r="D8" s="18">
        <f ca="1">3*D10/5</f>
        <v>0.66464482206602915</v>
      </c>
      <c r="E8" s="16">
        <f ca="1">IF(Calculations!M27&gt;0,Calculations!M20*1000*(1-EXP(-Calculations!M19*(D3+D8)/Calculations!M7)),Calculations!E34)</f>
        <v>1059.2874732879745</v>
      </c>
      <c r="F8" s="17">
        <f ca="1">F5</f>
        <v>1024.7942170896158</v>
      </c>
      <c r="G8" s="16">
        <f>Calculations!G34</f>
        <v>870</v>
      </c>
      <c r="H8" s="16">
        <f>Calculations!G33</f>
        <v>1130</v>
      </c>
      <c r="I8" s="16">
        <f t="shared" ca="1" si="0"/>
        <v>854.64286241525906</v>
      </c>
      <c r="J8" s="16">
        <f t="shared" ca="1" si="1"/>
        <v>1194.6676781744063</v>
      </c>
      <c r="K8" s="16"/>
      <c r="L8" s="15" t="s">
        <v>164</v>
      </c>
      <c r="M8" s="57">
        <f>Calculator!C18</f>
        <v>0.06</v>
      </c>
      <c r="N8" s="16"/>
      <c r="O8" s="16"/>
      <c r="P8" s="16"/>
      <c r="R8" s="172" t="s">
        <v>261</v>
      </c>
    </row>
    <row r="9" spans="1:23" x14ac:dyDescent="0.2">
      <c r="A9" s="15" t="s">
        <v>155</v>
      </c>
      <c r="B9" s="58">
        <f ca="1">IF(Calculations!M27&gt;0,Calculations!O46,Calculations!M20)</f>
        <v>1024.7942170896158</v>
      </c>
      <c r="C9" s="16"/>
      <c r="D9" s="18">
        <f ca="1">4*D10/5</f>
        <v>0.88619309608803876</v>
      </c>
      <c r="E9" s="16">
        <f ca="1">IF(Calculations!M27&gt;0,Calculations!M20*1000*(1-EXP(-Calculations!M19*(D3+D9)/Calculations!M7)),Calculations!E34)</f>
        <v>1127.0820975824768</v>
      </c>
      <c r="F9" s="17">
        <f ca="1">F5</f>
        <v>1024.7942170896158</v>
      </c>
      <c r="G9" s="16">
        <f>Calculations!G34</f>
        <v>870</v>
      </c>
      <c r="H9" s="16">
        <f>Calculations!G33</f>
        <v>1130</v>
      </c>
      <c r="I9" s="16">
        <f t="shared" ca="1" si="0"/>
        <v>854.64286241525906</v>
      </c>
      <c r="J9" s="16">
        <f t="shared" ca="1" si="1"/>
        <v>1194.6676781744063</v>
      </c>
      <c r="K9" s="16"/>
      <c r="L9" s="15" t="s">
        <v>165</v>
      </c>
      <c r="M9" s="58">
        <f>Calculator!C19</f>
        <v>25</v>
      </c>
      <c r="N9" s="17"/>
      <c r="O9" s="16"/>
      <c r="P9" s="16"/>
      <c r="R9" s="172" t="s">
        <v>230</v>
      </c>
    </row>
    <row r="10" spans="1:23" x14ac:dyDescent="0.2">
      <c r="A10" s="15"/>
      <c r="B10" s="17"/>
      <c r="C10" s="16"/>
      <c r="D10" s="57">
        <f ca="1">IF(Calculations!M27&gt;0,Calculations!B2,1)</f>
        <v>1.1077413701100485</v>
      </c>
      <c r="E10" s="20">
        <f ca="1">IF(Calculations!M27&gt;0,Calculations!E33,Calculations!E34)</f>
        <v>1194.6676781744063</v>
      </c>
      <c r="F10" s="17">
        <f ca="1">F5</f>
        <v>1024.7942170896158</v>
      </c>
      <c r="G10" s="16">
        <f>Calculations!G34</f>
        <v>870</v>
      </c>
      <c r="H10" s="16">
        <f>Calculations!G33</f>
        <v>1130</v>
      </c>
      <c r="I10" s="16">
        <f t="shared" ca="1" si="0"/>
        <v>854.64286241525906</v>
      </c>
      <c r="J10" s="16">
        <f t="shared" ca="1" si="1"/>
        <v>1194.6676781744063</v>
      </c>
      <c r="K10" s="16"/>
      <c r="L10" s="15" t="s">
        <v>166</v>
      </c>
      <c r="M10" s="64">
        <f>Calculator!C20</f>
        <v>2.5</v>
      </c>
      <c r="N10" s="17"/>
      <c r="O10" s="16"/>
      <c r="P10" s="16"/>
    </row>
    <row r="11" spans="1:23" x14ac:dyDescent="0.2">
      <c r="A11" s="15" t="s">
        <v>156</v>
      </c>
      <c r="B11" s="58">
        <f ca="1">B9*Calculations!M18/1000</f>
        <v>9.6320408464252996</v>
      </c>
      <c r="C11" s="16"/>
      <c r="D11" s="18">
        <f ca="1">D10+(D15-D10)/5</f>
        <v>1.3329929795297475</v>
      </c>
      <c r="E11" s="16">
        <f ca="1">IF(Calculations!M27&gt;0,-Calculations!M28*1000*(1-EXP(-Calculations!M26*(D11-D10)/Calculations!M7))+Calculations!E33*EXP(-Calculations!M26*(D11-D10)/Calculations!M7),Calculations!E34)</f>
        <v>1126.5140935821671</v>
      </c>
      <c r="F11" s="17">
        <f ca="1">F5</f>
        <v>1024.7942170896158</v>
      </c>
      <c r="G11" s="16">
        <f>Calculations!G34</f>
        <v>870</v>
      </c>
      <c r="H11" s="16">
        <f>Calculations!G33</f>
        <v>1130</v>
      </c>
      <c r="I11" s="16">
        <f t="shared" ca="1" si="0"/>
        <v>854.64286241525906</v>
      </c>
      <c r="J11" s="16">
        <f t="shared" ca="1" si="1"/>
        <v>1194.6676781744063</v>
      </c>
      <c r="K11" s="16"/>
      <c r="L11" s="15" t="s">
        <v>167</v>
      </c>
      <c r="M11" s="58">
        <f ca="1">SelectedDevice!E10</f>
        <v>45</v>
      </c>
      <c r="N11" s="17" t="s">
        <v>181</v>
      </c>
      <c r="O11" s="60">
        <f ca="1">M11/1000+2*Nled/1000+0.001*10*(220/La)+0.001*(1000/(Vin-Nled*Vled))</f>
        <v>0.21199739018331604</v>
      </c>
      <c r="P11" s="60" t="e">
        <f>N11/1000 + (220/La)*Nled*(MIN(10,(Vin - 0.95* Nled*Vled)))/1000</f>
        <v>#VALUE!</v>
      </c>
      <c r="R11" s="204" t="s">
        <v>278</v>
      </c>
      <c r="S11" s="205"/>
      <c r="T11" s="205"/>
      <c r="U11" s="205"/>
      <c r="V11" s="205"/>
      <c r="W11" s="7"/>
    </row>
    <row r="12" spans="1:23" x14ac:dyDescent="0.2">
      <c r="A12" s="15" t="s">
        <v>157</v>
      </c>
      <c r="B12" s="58">
        <f ca="1">B4*B9*B9*Rlx_amb/1000</f>
        <v>156.22477455293114</v>
      </c>
      <c r="C12" s="16"/>
      <c r="D12" s="18">
        <f ca="1">D10+2*(D15-D10)/5</f>
        <v>1.5582445889494465</v>
      </c>
      <c r="E12" s="16">
        <f ca="1">IF(Calculations!M27&gt;0,-Calculations!M28*1000*(1-EXP(-Calculations!M26*(D12-D10)/Calculations!M7))+Calculations!E33*EXP(-Calculations!M26*(D12-D10)/Calculations!M7),Calculations!E34)</f>
        <v>1058.4349008670015</v>
      </c>
      <c r="F12" s="17">
        <f ca="1">F5</f>
        <v>1024.7942170896158</v>
      </c>
      <c r="G12" s="16">
        <f>Calculations!G34</f>
        <v>870</v>
      </c>
      <c r="H12" s="16">
        <f>Calculations!G33</f>
        <v>1130</v>
      </c>
      <c r="I12" s="16">
        <f t="shared" ca="1" si="0"/>
        <v>854.64286241525906</v>
      </c>
      <c r="J12" s="16">
        <f t="shared" ca="1" si="1"/>
        <v>1194.6676781744063</v>
      </c>
      <c r="K12" s="16"/>
      <c r="L12" s="15" t="s">
        <v>168</v>
      </c>
      <c r="M12" s="58">
        <f ca="1">SelectedDevice!E11</f>
        <v>45</v>
      </c>
      <c r="N12" s="17" t="s">
        <v>182</v>
      </c>
      <c r="O12" s="60">
        <f ca="1">M12/1000+2*Nled/1000</f>
        <v>5.0999999999999997E-2</v>
      </c>
      <c r="P12" s="16"/>
      <c r="R12" s="204"/>
      <c r="S12" s="205"/>
      <c r="T12" s="205"/>
      <c r="U12" s="205"/>
      <c r="V12" s="205"/>
      <c r="W12" s="7"/>
    </row>
    <row r="13" spans="1:23" x14ac:dyDescent="0.2">
      <c r="A13" s="15" t="s">
        <v>158</v>
      </c>
      <c r="B13" s="58">
        <f ca="1">IF(Calculations!M27&gt;0,Calculations!E38,0)</f>
        <v>143.35665035870224</v>
      </c>
      <c r="C13" s="16"/>
      <c r="D13" s="18">
        <f ca="1">D10+3*(D15-D10)/5</f>
        <v>1.7834961983691455</v>
      </c>
      <c r="E13" s="16">
        <f ca="1">IF(Calculations!M27&gt;0,-Calculations!M28*1000*(1-EXP(-Calculations!M26*(D13-D10)/Calculations!M7))+Calculations!E33*EXP(-Calculations!M26*(D13-D10)/Calculations!M7),Calculations!E34)</f>
        <v>990.43001882773706</v>
      </c>
      <c r="F13" s="17">
        <f ca="1">F5</f>
        <v>1024.7942170896158</v>
      </c>
      <c r="G13" s="16">
        <f>Calculations!G34</f>
        <v>870</v>
      </c>
      <c r="H13" s="16">
        <f>Calculations!G33</f>
        <v>1130</v>
      </c>
      <c r="I13" s="16">
        <f t="shared" ca="1" si="0"/>
        <v>854.64286241525906</v>
      </c>
      <c r="J13" s="16">
        <f t="shared" ca="1" si="1"/>
        <v>1194.6676781744063</v>
      </c>
      <c r="K13" s="16"/>
      <c r="L13" s="15" t="s">
        <v>169</v>
      </c>
      <c r="M13" s="58">
        <f ca="1">Calculator!C26</f>
        <v>30</v>
      </c>
      <c r="N13" s="17"/>
      <c r="O13" s="16"/>
      <c r="P13" s="16"/>
    </row>
    <row r="14" spans="1:23" x14ac:dyDescent="0.2">
      <c r="A14" s="15"/>
      <c r="B14" s="17"/>
      <c r="C14" s="16"/>
      <c r="D14" s="18">
        <f ca="1">D10+4*(D15-D10)/5</f>
        <v>2.0087478077888443</v>
      </c>
      <c r="E14" s="16">
        <f ca="1">IF(Calculations!M27&gt;0,-Calculations!M28*1000*(1-EXP(-Calculations!M26*(D14-D10)/Calculations!M7))+Calculations!E33*EXP(-Calculations!M26*(D14-D10)/Calculations!M7),Calculations!E34)</f>
        <v>922.49936635182917</v>
      </c>
      <c r="F14" s="17">
        <f ca="1">F5</f>
        <v>1024.7942170896158</v>
      </c>
      <c r="G14" s="16">
        <f>Calculations!G34</f>
        <v>870</v>
      </c>
      <c r="H14" s="16">
        <f>Calculations!G33</f>
        <v>1130</v>
      </c>
      <c r="I14" s="16">
        <f t="shared" ca="1" si="0"/>
        <v>854.64286241525906</v>
      </c>
      <c r="J14" s="16">
        <f t="shared" ca="1" si="1"/>
        <v>1194.6676781744063</v>
      </c>
      <c r="K14" s="16"/>
      <c r="L14" s="15" t="s">
        <v>170</v>
      </c>
      <c r="M14" s="58">
        <f ca="1">Calculator!C27</f>
        <v>35</v>
      </c>
      <c r="N14" s="17"/>
      <c r="O14" s="16"/>
      <c r="P14" s="16"/>
    </row>
    <row r="15" spans="1:23" x14ac:dyDescent="0.2">
      <c r="A15" s="15" t="s">
        <v>159</v>
      </c>
      <c r="B15" s="58">
        <f ca="1">B9*B9*rL/1000</f>
        <v>63.012191242819107</v>
      </c>
      <c r="C15" s="16"/>
      <c r="D15" s="18">
        <f ca="1">IF(Calculations!M27&gt;0,Calculations!B2+Calculations!B3,2)</f>
        <v>2.2339994172085436</v>
      </c>
      <c r="E15" s="20">
        <f ca="1">Calculations!E34</f>
        <v>854.64286241525906</v>
      </c>
      <c r="F15" s="17">
        <f ca="1">F5</f>
        <v>1024.7942170896158</v>
      </c>
      <c r="G15" s="16">
        <f>Calculations!G34</f>
        <v>870</v>
      </c>
      <c r="H15" s="16">
        <f>Calculations!G33</f>
        <v>1130</v>
      </c>
      <c r="I15" s="16">
        <f t="shared" ca="1" si="0"/>
        <v>854.64286241525906</v>
      </c>
      <c r="J15" s="16">
        <f t="shared" ca="1" si="1"/>
        <v>1194.6676781744063</v>
      </c>
      <c r="K15" s="16"/>
      <c r="L15" s="15" t="s">
        <v>171</v>
      </c>
      <c r="M15" s="58">
        <f ca="1">Calculator!C28</f>
        <v>0.3</v>
      </c>
      <c r="N15" s="18"/>
      <c r="O15" s="16"/>
      <c r="P15" s="16"/>
    </row>
    <row r="16" spans="1:23" x14ac:dyDescent="0.2">
      <c r="A16" s="15"/>
      <c r="B16" s="15"/>
      <c r="C16" s="16"/>
      <c r="D16" s="18">
        <f ca="1">D15+(D20-D15)/5</f>
        <v>2.4555476912305534</v>
      </c>
      <c r="E16" s="16">
        <f ca="1">E6</f>
        <v>923.06850528408711</v>
      </c>
      <c r="F16" s="17">
        <f ca="1">F5</f>
        <v>1024.7942170896158</v>
      </c>
      <c r="G16" s="16">
        <f>Calculations!G34</f>
        <v>870</v>
      </c>
      <c r="H16" s="16">
        <f>Calculations!G33</f>
        <v>1130</v>
      </c>
      <c r="I16" s="16">
        <f t="shared" ca="1" si="0"/>
        <v>854.64286241525906</v>
      </c>
      <c r="J16" s="16">
        <f t="shared" ca="1" si="1"/>
        <v>1194.6676781744063</v>
      </c>
      <c r="K16" s="16"/>
      <c r="L16" s="15" t="s">
        <v>172</v>
      </c>
      <c r="M16" s="58">
        <f ca="1">Calculator!C29</f>
        <v>90</v>
      </c>
      <c r="N16" s="17"/>
      <c r="O16" s="16"/>
      <c r="P16" s="16"/>
    </row>
    <row r="17" spans="1:18" x14ac:dyDescent="0.2">
      <c r="A17" s="15"/>
      <c r="B17" s="15"/>
      <c r="C17" s="16"/>
      <c r="D17" s="18">
        <f ca="1">D15+2*(D20-D15)/5</f>
        <v>2.6770959652525632</v>
      </c>
      <c r="E17" s="16">
        <f ca="1">E7</f>
        <v>991.28315871407597</v>
      </c>
      <c r="F17" s="17">
        <f ca="1">F5</f>
        <v>1024.7942170896158</v>
      </c>
      <c r="G17" s="16">
        <f>Calculations!G34</f>
        <v>870</v>
      </c>
      <c r="H17" s="16">
        <f>Calculations!G33</f>
        <v>1130</v>
      </c>
      <c r="I17" s="16">
        <f t="shared" ca="1" si="0"/>
        <v>854.64286241525906</v>
      </c>
      <c r="J17" s="16">
        <f t="shared" ca="1" si="1"/>
        <v>1194.6676781744063</v>
      </c>
      <c r="K17" s="16"/>
      <c r="L17" s="15"/>
      <c r="M17" s="16"/>
      <c r="N17" s="16"/>
      <c r="O17" s="16"/>
      <c r="P17" s="16"/>
      <c r="R17" s="172"/>
    </row>
    <row r="18" spans="1:18" x14ac:dyDescent="0.2">
      <c r="A18" s="56"/>
      <c r="B18" s="34"/>
      <c r="C18" s="16"/>
      <c r="D18" s="18">
        <f ca="1">D15+3*(D20-D15)/5</f>
        <v>2.8986442392745726</v>
      </c>
      <c r="E18" s="16">
        <f ca="1">E8</f>
        <v>1059.2874732879745</v>
      </c>
      <c r="F18" s="17">
        <f ca="1">F5</f>
        <v>1024.7942170896158</v>
      </c>
      <c r="G18" s="16">
        <f>Calculations!G34</f>
        <v>870</v>
      </c>
      <c r="H18" s="16">
        <f>Calculations!G33</f>
        <v>1130</v>
      </c>
      <c r="I18" s="16">
        <f t="shared" ca="1" si="0"/>
        <v>854.64286241525906</v>
      </c>
      <c r="J18" s="16">
        <f t="shared" ca="1" si="1"/>
        <v>1194.6676781744063</v>
      </c>
      <c r="K18" s="16"/>
      <c r="L18" s="16" t="s">
        <v>178</v>
      </c>
      <c r="M18" s="60">
        <f>Nled*Vled</f>
        <v>9.3990000000000009</v>
      </c>
      <c r="N18" s="16"/>
      <c r="O18" s="16"/>
      <c r="P18" s="16"/>
      <c r="R18" s="172"/>
    </row>
    <row r="19" spans="1:18" x14ac:dyDescent="0.2">
      <c r="A19" s="15"/>
      <c r="B19" s="34"/>
      <c r="C19" s="16"/>
      <c r="D19" s="18">
        <f ca="1">D15+4*(D20-D15)/5</f>
        <v>3.1201925132965824</v>
      </c>
      <c r="E19" s="16">
        <f ca="1">E9</f>
        <v>1127.0820975824768</v>
      </c>
      <c r="F19" s="17">
        <f ca="1">F5</f>
        <v>1024.7942170896158</v>
      </c>
      <c r="G19" s="16">
        <f>Calculations!G34</f>
        <v>870</v>
      </c>
      <c r="H19" s="16">
        <f>Calculations!G33</f>
        <v>1130</v>
      </c>
      <c r="I19" s="16">
        <f t="shared" ca="1" si="0"/>
        <v>854.64286241525906</v>
      </c>
      <c r="J19" s="16">
        <f t="shared" ca="1" si="1"/>
        <v>1194.6676781744063</v>
      </c>
      <c r="K19" s="16"/>
      <c r="L19" s="16" t="s">
        <v>179</v>
      </c>
      <c r="M19" s="58">
        <f ca="1">Rs+rL+Rlx_amb</f>
        <v>0.45999999999999996</v>
      </c>
      <c r="N19" s="16"/>
      <c r="O19" s="16"/>
      <c r="P19" s="16"/>
    </row>
    <row r="20" spans="1:18" x14ac:dyDescent="0.2">
      <c r="A20" s="34"/>
      <c r="B20" s="34"/>
      <c r="C20" s="16"/>
      <c r="D20" s="18">
        <f ca="1">IF(Calculations!M27&gt;0,D15+Calculations!B2,3)</f>
        <v>3.3417407873185923</v>
      </c>
      <c r="E20" s="20">
        <f ca="1">IF(Calculations!M27&gt;0,Calculations!E33,Calculations!E34)</f>
        <v>1194.6676781744063</v>
      </c>
      <c r="F20" s="17">
        <f ca="1">F5</f>
        <v>1024.7942170896158</v>
      </c>
      <c r="G20" s="16">
        <f>Calculations!G34</f>
        <v>870</v>
      </c>
      <c r="H20" s="16">
        <f>Calculations!G33</f>
        <v>1130</v>
      </c>
      <c r="I20" s="16">
        <f t="shared" ca="1" si="0"/>
        <v>854.64286241525906</v>
      </c>
      <c r="J20" s="16">
        <f t="shared" ca="1" si="1"/>
        <v>1194.6676781744063</v>
      </c>
      <c r="K20" s="16"/>
      <c r="L20" s="16" t="s">
        <v>180</v>
      </c>
      <c r="M20" s="60">
        <f ca="1">IF(Vin-Vleds&gt;0,(Vin-Vleds)/Rchg,0)</f>
        <v>23.045652173913044</v>
      </c>
      <c r="N20" s="16"/>
      <c r="O20" s="16"/>
      <c r="P20" s="16"/>
    </row>
    <row r="21" spans="1:18" x14ac:dyDescent="0.2">
      <c r="A21" s="15"/>
      <c r="B21" s="34"/>
      <c r="C21" s="16"/>
      <c r="D21" s="18">
        <f ca="1">D20+(D25-D20)/5</f>
        <v>3.566992396738291</v>
      </c>
      <c r="E21" s="16">
        <f ca="1">E11</f>
        <v>1126.5140935821671</v>
      </c>
      <c r="F21" s="17">
        <f ca="1">F5</f>
        <v>1024.7942170896158</v>
      </c>
      <c r="G21" s="16">
        <f>Calculations!G34</f>
        <v>870</v>
      </c>
      <c r="H21" s="16">
        <f>Calculations!G33</f>
        <v>1130</v>
      </c>
      <c r="I21" s="16">
        <f t="shared" ca="1" si="0"/>
        <v>854.64286241525906</v>
      </c>
      <c r="J21" s="16">
        <f t="shared" ca="1" si="1"/>
        <v>1194.6676781744063</v>
      </c>
      <c r="K21" s="16"/>
      <c r="L21" s="16"/>
      <c r="M21" s="60">
        <f ca="1">(1000*I0_chg-LoILED)/(1000*I0_chg-UpILED)</f>
        <v>1.0118636670237671</v>
      </c>
      <c r="N21" s="16"/>
      <c r="O21" s="16"/>
      <c r="P21" s="16"/>
    </row>
    <row r="22" spans="1:18" x14ac:dyDescent="0.2">
      <c r="A22" s="22"/>
      <c r="B22" s="34"/>
      <c r="C22" s="16"/>
      <c r="D22" s="18">
        <f ca="1">D20+2*(D25-D20)/5</f>
        <v>3.7922440061579903</v>
      </c>
      <c r="E22" s="16">
        <f ca="1">E12</f>
        <v>1058.4349008670015</v>
      </c>
      <c r="F22" s="17">
        <f ca="1">F5</f>
        <v>1024.7942170896158</v>
      </c>
      <c r="G22" s="16">
        <f>Calculations!G34</f>
        <v>870</v>
      </c>
      <c r="H22" s="16">
        <f>Calculations!G33</f>
        <v>1130</v>
      </c>
      <c r="I22" s="16">
        <f t="shared" ca="1" si="0"/>
        <v>854.64286241525906</v>
      </c>
      <c r="J22" s="16">
        <f t="shared" ca="1" si="1"/>
        <v>1194.6676781744063</v>
      </c>
      <c r="K22" s="16"/>
      <c r="L22" s="16" t="s">
        <v>150</v>
      </c>
      <c r="M22" s="60">
        <f ca="1">0.000001*(La/Rchg)*LN(M21)+Calculations!G31+(0.000001*TpdH_u)</f>
        <v>1.1077413701100486E-6</v>
      </c>
      <c r="N22" s="16"/>
      <c r="O22" s="16"/>
      <c r="P22" s="16"/>
    </row>
    <row r="23" spans="1:18" x14ac:dyDescent="0.2">
      <c r="A23" s="15"/>
      <c r="B23" s="34"/>
      <c r="C23" s="16"/>
      <c r="D23" s="18">
        <f ca="1">D20+3*(D25-D20)/5</f>
        <v>4.0174956155776895</v>
      </c>
      <c r="E23" s="16">
        <f ca="1">E13</f>
        <v>990.43001882773706</v>
      </c>
      <c r="F23" s="17">
        <f ca="1">F5</f>
        <v>1024.7942170896158</v>
      </c>
      <c r="G23" s="16">
        <f>Calculations!G34</f>
        <v>870</v>
      </c>
      <c r="H23" s="16">
        <f>Calculations!G33</f>
        <v>1130</v>
      </c>
      <c r="I23" s="16">
        <f t="shared" ca="1" si="0"/>
        <v>854.64286241525906</v>
      </c>
      <c r="J23" s="16">
        <f t="shared" ca="1" si="1"/>
        <v>1194.6676781744063</v>
      </c>
      <c r="K23" s="16"/>
      <c r="L23" s="16" t="s">
        <v>151</v>
      </c>
      <c r="M23" s="60">
        <f ca="1">0.000001*(La/(Rs+rL))*LN((Calculations!E33/1000+M28)/(LoILED2+M28))+(0.000001*TpdL_u)</f>
        <v>1.126258047098495E-6</v>
      </c>
      <c r="N23" s="16"/>
      <c r="O23" s="16"/>
      <c r="P23" s="16"/>
    </row>
    <row r="24" spans="1:18" x14ac:dyDescent="0.2">
      <c r="A24" s="15"/>
      <c r="B24" s="34"/>
      <c r="C24" s="16"/>
      <c r="D24" s="18">
        <f ca="1">D20+4*(D25-D20)/5</f>
        <v>4.2427472249973883</v>
      </c>
      <c r="E24" s="16">
        <f ca="1">E14</f>
        <v>922.49936635182917</v>
      </c>
      <c r="F24" s="17">
        <f ca="1">F5</f>
        <v>1024.7942170896158</v>
      </c>
      <c r="G24" s="16">
        <f>Calculations!G34</f>
        <v>870</v>
      </c>
      <c r="H24" s="16">
        <f>Calculations!G33</f>
        <v>1130</v>
      </c>
      <c r="I24" s="16">
        <f t="shared" ca="1" si="0"/>
        <v>854.64286241525906</v>
      </c>
      <c r="J24" s="16">
        <f t="shared" ca="1" si="1"/>
        <v>1194.6676781744063</v>
      </c>
      <c r="K24" s="16"/>
      <c r="L24" s="16"/>
      <c r="M24" s="65"/>
      <c r="N24" s="16"/>
      <c r="O24" s="16"/>
      <c r="P24" s="16"/>
    </row>
    <row r="25" spans="1:18" x14ac:dyDescent="0.2">
      <c r="A25" s="15"/>
      <c r="B25" s="34"/>
      <c r="C25" s="16"/>
      <c r="D25" s="18">
        <f ca="1">IF(Calculations!M27&gt;0,2*D15,4)</f>
        <v>4.4679988344170871</v>
      </c>
      <c r="E25" s="20">
        <f ca="1">Calculations!E34</f>
        <v>854.64286241525906</v>
      </c>
      <c r="F25" s="17">
        <f ca="1">F5</f>
        <v>1024.7942170896158</v>
      </c>
      <c r="G25" s="16">
        <f>Calculations!G34</f>
        <v>870</v>
      </c>
      <c r="H25" s="16">
        <f>Calculations!G33</f>
        <v>1130</v>
      </c>
      <c r="I25" s="16">
        <f t="shared" ca="1" si="0"/>
        <v>854.64286241525906</v>
      </c>
      <c r="J25" s="16">
        <f t="shared" ca="1" si="1"/>
        <v>1194.6676781744063</v>
      </c>
      <c r="K25" s="16"/>
      <c r="L25" s="16" t="s">
        <v>25</v>
      </c>
      <c r="M25" s="60">
        <f>(Vadj/2.5)*B34/Rs</f>
        <v>1.1299999999999999</v>
      </c>
      <c r="N25" s="16"/>
      <c r="O25" s="16"/>
      <c r="P25" s="16"/>
    </row>
    <row r="26" spans="1:18" x14ac:dyDescent="0.2">
      <c r="A26" s="56" t="s">
        <v>146</v>
      </c>
      <c r="B26" s="34"/>
      <c r="C26" s="15"/>
      <c r="D26" s="15"/>
      <c r="E26" s="15"/>
      <c r="F26" s="15"/>
      <c r="G26" s="15"/>
      <c r="H26" s="15"/>
      <c r="I26" s="15"/>
      <c r="J26" s="15"/>
      <c r="K26" s="15"/>
      <c r="L26" s="16" t="s">
        <v>183</v>
      </c>
      <c r="M26" s="60">
        <f>Rs+M8</f>
        <v>0.16</v>
      </c>
      <c r="N26" s="16"/>
      <c r="O26" s="16"/>
      <c r="P26" s="16"/>
    </row>
    <row r="27" spans="1:18" x14ac:dyDescent="0.2">
      <c r="A27" s="169" t="s">
        <v>258</v>
      </c>
      <c r="B27" s="34"/>
      <c r="C27" s="15"/>
      <c r="D27" s="15"/>
      <c r="E27" s="15"/>
      <c r="F27" s="15"/>
      <c r="G27" s="15"/>
      <c r="H27" s="15"/>
      <c r="I27" s="15"/>
      <c r="J27" s="15"/>
      <c r="K27" s="15"/>
      <c r="L27" s="16"/>
      <c r="M27" s="60">
        <f ca="1">M20-M25</f>
        <v>21.915652173913045</v>
      </c>
      <c r="N27" s="16"/>
      <c r="O27" s="16"/>
      <c r="P27" s="16"/>
    </row>
    <row r="28" spans="1:18" x14ac:dyDescent="0.2">
      <c r="A28" s="169"/>
      <c r="B28" s="34"/>
      <c r="C28" s="15"/>
      <c r="D28" s="15" t="s">
        <v>150</v>
      </c>
      <c r="E28" s="66">
        <f ca="1">Calculations!M22</f>
        <v>1.1077413701100486E-6</v>
      </c>
      <c r="F28" s="16"/>
      <c r="G28" s="60">
        <f ca="1">-Calculations!M28*1000*(1-EXP(-Calculations!M26*Calculations!O12/Calculations!M7))+G34*EXP(-Calculations!M26*Calculations!O12/Calculations!M7)</f>
        <v>854.64286241525906</v>
      </c>
      <c r="H28" s="60">
        <f ca="1">Calculations!M20*1000-((Calculations!M20*1000)-G33)*H33</f>
        <v>1194.6676781744063</v>
      </c>
      <c r="I28" s="15"/>
      <c r="J28" s="15"/>
      <c r="K28" s="15"/>
      <c r="L28" s="16" t="s">
        <v>184</v>
      </c>
      <c r="M28" s="60">
        <f>(M18+M5)/M26</f>
        <v>61.243750000000006</v>
      </c>
      <c r="N28" s="16"/>
      <c r="O28" s="16"/>
      <c r="P28" s="16"/>
    </row>
    <row r="29" spans="1:18" x14ac:dyDescent="0.2">
      <c r="A29" s="34"/>
      <c r="B29" s="34"/>
      <c r="C29" s="15"/>
      <c r="D29" s="15" t="s">
        <v>151</v>
      </c>
      <c r="E29" s="60">
        <f ca="1">Calculations!M23</f>
        <v>1.126258047098495E-6</v>
      </c>
      <c r="F29" s="16"/>
      <c r="G29" s="60">
        <f ca="1">IF(G28&gt;H29,H29,G28)</f>
        <v>854.64286241525906</v>
      </c>
      <c r="H29" s="60">
        <f ca="1">IF(Calculations!M20&gt;Calculations!M25,H28,Calculations!M20*1000)</f>
        <v>1194.6676781744063</v>
      </c>
      <c r="I29" s="15"/>
      <c r="J29" s="15"/>
      <c r="K29" s="15"/>
      <c r="L29" s="15"/>
      <c r="M29" s="16"/>
      <c r="N29" s="16"/>
      <c r="O29" s="16"/>
      <c r="P29" s="16"/>
    </row>
    <row r="30" spans="1:18" x14ac:dyDescent="0.2">
      <c r="A30" s="34"/>
      <c r="B30" s="34"/>
      <c r="C30" s="15"/>
      <c r="D30" s="15" t="s">
        <v>152</v>
      </c>
      <c r="E30" s="60">
        <f ca="1">E28/(E28+E29)</f>
        <v>0.49585571132073442</v>
      </c>
      <c r="F30" s="16"/>
      <c r="G30" s="16"/>
      <c r="H30" s="16"/>
      <c r="I30" s="15"/>
      <c r="J30" s="15"/>
      <c r="K30" s="15"/>
      <c r="L30" s="15" t="s">
        <v>173</v>
      </c>
      <c r="M30" s="60">
        <f>(Vadj/2.5)*(1000*B34)/Rs</f>
        <v>1130</v>
      </c>
      <c r="N30" s="178" t="s">
        <v>235</v>
      </c>
      <c r="O30" s="16"/>
      <c r="P30" s="16"/>
    </row>
    <row r="31" spans="1:18" x14ac:dyDescent="0.2">
      <c r="A31" s="34" t="s">
        <v>215</v>
      </c>
      <c r="B31" s="35"/>
      <c r="C31" s="15"/>
      <c r="D31" s="15" t="s">
        <v>153</v>
      </c>
      <c r="E31" s="60">
        <f ca="1">1000/(E28+E29)</f>
        <v>447627690.6327635</v>
      </c>
      <c r="F31" s="16"/>
      <c r="G31" s="60">
        <f ca="1">0.000001*(Calculations!M7/Calculations!M19)*LN((Calculations!M20*1000-E34)/(Calculations!M20*1000-G34))</f>
        <v>4.9663765693025538E-8</v>
      </c>
      <c r="H31" s="16"/>
      <c r="I31" s="15"/>
      <c r="J31" s="15"/>
      <c r="K31" s="15"/>
      <c r="L31" s="15" t="s">
        <v>174</v>
      </c>
      <c r="M31" s="60">
        <f>(Vadj/2.5)*(1000*B33)/Rs</f>
        <v>870</v>
      </c>
      <c r="N31" s="16"/>
      <c r="O31" s="60">
        <f>M31/1000</f>
        <v>0.87</v>
      </c>
      <c r="P31" s="16"/>
    </row>
    <row r="32" spans="1:18" x14ac:dyDescent="0.2">
      <c r="A32" s="34" t="s">
        <v>213</v>
      </c>
      <c r="B32" s="35">
        <f ca="1">SelectedDevice!C40</f>
        <v>100</v>
      </c>
      <c r="C32" s="15"/>
      <c r="D32" s="15"/>
      <c r="E32" s="16"/>
      <c r="F32" s="16"/>
      <c r="G32" s="16"/>
      <c r="H32" s="16"/>
      <c r="I32" s="15"/>
      <c r="J32" s="15"/>
      <c r="K32" s="15"/>
      <c r="L32" s="15"/>
      <c r="M32" s="16"/>
      <c r="N32" s="16"/>
      <c r="O32" s="16"/>
      <c r="P32" s="16"/>
    </row>
    <row r="33" spans="1:18" x14ac:dyDescent="0.2">
      <c r="A33" s="34" t="s">
        <v>219</v>
      </c>
      <c r="B33" s="35">
        <v>8.6999999999999994E-2</v>
      </c>
      <c r="C33" s="171"/>
      <c r="D33" s="15" t="s">
        <v>25</v>
      </c>
      <c r="E33" s="60">
        <f ca="1">H29</f>
        <v>1194.6676781744063</v>
      </c>
      <c r="F33" s="16" t="s">
        <v>176</v>
      </c>
      <c r="G33" s="60">
        <f>(Vadj/2.5)*(1000*B34)/Calculations!Rs</f>
        <v>1130</v>
      </c>
      <c r="H33" s="60">
        <f ca="1">EXP(-Calculations!M19*Calculations!O11/Calculations!M7)</f>
        <v>0.9970492469189951</v>
      </c>
      <c r="I33" s="15"/>
      <c r="J33" s="15"/>
      <c r="K33" s="15"/>
      <c r="L33" s="15" t="s">
        <v>175</v>
      </c>
      <c r="M33" s="60">
        <f>(M30+M31)/2</f>
        <v>1000</v>
      </c>
      <c r="N33" s="16"/>
      <c r="O33" s="16"/>
      <c r="P33" s="16"/>
    </row>
    <row r="34" spans="1:18" x14ac:dyDescent="0.2">
      <c r="A34" s="34" t="s">
        <v>220</v>
      </c>
      <c r="B34" s="34">
        <v>0.113</v>
      </c>
      <c r="C34" s="22"/>
      <c r="D34" s="15" t="s">
        <v>24</v>
      </c>
      <c r="E34" s="60">
        <f ca="1">G29</f>
        <v>854.64286241525906</v>
      </c>
      <c r="F34" s="16" t="s">
        <v>177</v>
      </c>
      <c r="G34" s="60">
        <f>(Vadj/2.5)*(1000*B33)/Calculations!Rs</f>
        <v>870</v>
      </c>
      <c r="H34" s="16"/>
      <c r="I34" s="16"/>
      <c r="J34" s="16"/>
      <c r="K34" s="15"/>
      <c r="L34" s="15"/>
      <c r="M34" s="16"/>
      <c r="N34" s="16"/>
      <c r="O34" s="16"/>
      <c r="P34" s="16"/>
    </row>
    <row r="35" spans="1:18" x14ac:dyDescent="0.2">
      <c r="A35" s="203" t="s">
        <v>277</v>
      </c>
      <c r="B35" s="15"/>
      <c r="C35" s="22"/>
      <c r="D35" s="15"/>
      <c r="E35" s="16"/>
      <c r="G35" s="16"/>
      <c r="H35" s="16"/>
      <c r="I35" s="16"/>
      <c r="J35" s="16"/>
      <c r="K35" s="16"/>
      <c r="L35" s="15"/>
      <c r="M35" s="16"/>
      <c r="N35" s="16"/>
      <c r="O35" s="16"/>
      <c r="P35" s="16"/>
    </row>
    <row r="36" spans="1:18" x14ac:dyDescent="0.2">
      <c r="A36" s="174"/>
      <c r="B36" s="15"/>
      <c r="C36" s="22"/>
      <c r="D36" s="15" t="s">
        <v>195</v>
      </c>
      <c r="E36" s="60">
        <f>1*(7.5*Calculations!M2+750)</f>
        <v>900</v>
      </c>
      <c r="F36" s="22"/>
      <c r="G36" s="16"/>
      <c r="H36" s="16"/>
      <c r="I36" s="16"/>
      <c r="J36" s="16"/>
      <c r="K36" s="16"/>
      <c r="L36" s="15" t="s">
        <v>185</v>
      </c>
      <c r="M36" s="60">
        <f>1*(1.25*Vin+480)</f>
        <v>505</v>
      </c>
      <c r="N36" s="173" t="s">
        <v>237</v>
      </c>
      <c r="O36" s="16"/>
      <c r="P36" s="16"/>
    </row>
    <row r="37" spans="1:18" x14ac:dyDescent="0.2">
      <c r="A37" s="15"/>
      <c r="B37" s="15"/>
      <c r="C37" s="22"/>
      <c r="D37" s="15"/>
      <c r="E37" s="16"/>
      <c r="F37" s="16"/>
      <c r="G37" s="16"/>
      <c r="H37" s="16"/>
      <c r="I37" s="16"/>
      <c r="J37" s="16"/>
      <c r="K37" s="16"/>
      <c r="L37" s="22"/>
      <c r="M37" s="22"/>
      <c r="N37" s="22"/>
      <c r="O37" s="22"/>
      <c r="P37" s="22"/>
    </row>
    <row r="38" spans="1:18" x14ac:dyDescent="0.2">
      <c r="A38" s="15"/>
      <c r="B38" s="15"/>
      <c r="C38" s="22"/>
      <c r="D38" s="15" t="s">
        <v>196</v>
      </c>
      <c r="E38" s="60">
        <f ca="1">((Tf*H28*(Calculations!M2-Calculations!M18)*(Calculations!M2-Calculations!M18)/4/Calculations!M2)+(Tr*G28*(Calculations!M2+Calculations!M5))/2)/(E28+E29)/1000000000</f>
        <v>143.35665035870224</v>
      </c>
      <c r="F38" s="16"/>
      <c r="G38" s="16"/>
      <c r="H38" s="16"/>
      <c r="I38" s="16"/>
      <c r="J38" s="16"/>
      <c r="K38" s="16"/>
      <c r="L38" s="22"/>
      <c r="M38" s="22"/>
      <c r="N38" s="22"/>
      <c r="O38" s="22"/>
      <c r="P38" s="16"/>
    </row>
    <row r="39" spans="1:18" x14ac:dyDescent="0.2">
      <c r="A39" s="15"/>
      <c r="B39" s="15"/>
      <c r="C39" s="22"/>
      <c r="D39" s="15" t="s">
        <v>188</v>
      </c>
      <c r="E39" s="60">
        <f ca="1">Calculations!M2*Calculations!M36/1000+Calculations!B12+Calculations!B13</f>
        <v>309.68142491163337</v>
      </c>
      <c r="F39" s="16"/>
      <c r="G39" s="16"/>
      <c r="H39" s="16"/>
      <c r="I39" s="16"/>
      <c r="J39" s="16"/>
      <c r="K39" s="16"/>
      <c r="L39" s="15"/>
      <c r="M39" s="16"/>
      <c r="N39" s="16"/>
      <c r="O39" s="16"/>
      <c r="P39" s="16"/>
    </row>
    <row r="40" spans="1:18" x14ac:dyDescent="0.2">
      <c r="A40" s="15"/>
      <c r="B40" s="15"/>
      <c r="C40" s="22"/>
      <c r="D40" s="15" t="s">
        <v>189</v>
      </c>
      <c r="E40" s="60">
        <f ca="1">(1-Calculations!B4)*Calculations!B9*Vf</f>
        <v>206.65766064690766</v>
      </c>
      <c r="F40" s="16"/>
      <c r="G40" s="16"/>
      <c r="H40" s="16"/>
      <c r="I40" s="16"/>
      <c r="J40" s="16"/>
      <c r="K40" s="16"/>
      <c r="L40" s="15"/>
      <c r="M40" s="16"/>
      <c r="N40" s="16"/>
      <c r="O40" s="16"/>
      <c r="P40" s="16"/>
    </row>
    <row r="41" spans="1:18" x14ac:dyDescent="0.2">
      <c r="A41" s="15"/>
      <c r="B41" s="15"/>
      <c r="C41" s="22"/>
      <c r="D41" s="15" t="s">
        <v>190</v>
      </c>
      <c r="E41" s="60">
        <f ca="1">Calculations!B9*Calculations!B9*Calculations!Rs/1000</f>
        <v>105.02031873803186</v>
      </c>
      <c r="F41" s="16"/>
      <c r="G41" s="16"/>
      <c r="H41" s="16"/>
      <c r="I41" s="16"/>
      <c r="J41" s="16"/>
      <c r="K41" s="16"/>
      <c r="L41" s="15"/>
      <c r="M41" s="16"/>
      <c r="N41" s="16"/>
      <c r="O41" s="16"/>
      <c r="P41" s="16"/>
    </row>
    <row r="42" spans="1:18" x14ac:dyDescent="0.2">
      <c r="A42" s="15"/>
      <c r="B42" s="15"/>
      <c r="C42" s="22"/>
      <c r="D42" s="15"/>
      <c r="E42" s="16"/>
      <c r="F42" s="16"/>
      <c r="G42" s="16"/>
      <c r="H42" s="16"/>
      <c r="I42" s="16"/>
      <c r="J42" s="16"/>
      <c r="K42" s="16"/>
      <c r="L42" s="60">
        <f ca="1">EXP(-Calculations!M19*(D3+D10)/Calculations!M7)-EXP(-Calculations!M19*D3/Calculations!M7)</f>
        <v>-1.4754401966720843E-2</v>
      </c>
      <c r="M42" s="60">
        <f ca="1">L42/D10</f>
        <v>-1.331935627289524E-2</v>
      </c>
      <c r="N42" s="60">
        <f ca="1">1+(Calculations!M7/Calculations!M19)*M42</f>
        <v>4.4480963031428455E-2</v>
      </c>
      <c r="O42" s="16"/>
      <c r="P42" s="15"/>
    </row>
    <row r="43" spans="1:18" x14ac:dyDescent="0.2">
      <c r="A43" s="15"/>
      <c r="B43" s="15"/>
      <c r="C43" s="22"/>
      <c r="D43" s="15" t="s">
        <v>191</v>
      </c>
      <c r="E43" s="60">
        <f ca="1">100*Calculations!B11*1000/(Calculations!B11*1000+Pchip+Pdiode+Calculations!B15+Prsense)</f>
        <v>93.366186168017734</v>
      </c>
      <c r="F43" s="16"/>
      <c r="G43" s="16"/>
      <c r="H43" s="16"/>
      <c r="I43" s="16"/>
      <c r="J43" s="16"/>
      <c r="K43" s="16"/>
      <c r="L43" s="16"/>
      <c r="M43" s="16"/>
      <c r="N43" s="16"/>
      <c r="O43" s="16"/>
      <c r="P43" s="15"/>
    </row>
    <row r="44" spans="1:18" x14ac:dyDescent="0.2">
      <c r="A44" s="15"/>
      <c r="B44" s="15"/>
      <c r="C44" s="22"/>
      <c r="D44" s="15" t="s">
        <v>192</v>
      </c>
      <c r="E44" s="60">
        <f ca="1">100*Calculations!F3*Calculations!M18/Vin/E43</f>
        <v>515.97091222400491</v>
      </c>
      <c r="F44" s="16"/>
      <c r="G44" s="16"/>
      <c r="H44" s="16"/>
      <c r="I44" s="16"/>
      <c r="J44" s="16"/>
      <c r="K44" s="16"/>
      <c r="L44" s="16" t="s">
        <v>40</v>
      </c>
      <c r="M44" s="16"/>
      <c r="N44" s="16"/>
      <c r="O44" s="16"/>
      <c r="P44" s="15"/>
    </row>
    <row r="45" spans="1:18" x14ac:dyDescent="0.2">
      <c r="A45" s="15"/>
      <c r="B45" s="15"/>
      <c r="C45" s="22"/>
      <c r="D45" s="15" t="s">
        <v>193</v>
      </c>
      <c r="E45" s="60">
        <f ca="1">(Rlx_amb/1.5)*((0.00002*E46*E46)+(0.006*E46)+1.3269)</f>
        <v>0.34000710329076944</v>
      </c>
      <c r="F45" s="173" t="s">
        <v>236</v>
      </c>
      <c r="G45" s="16"/>
      <c r="H45" s="16"/>
      <c r="I45" s="16"/>
      <c r="J45" s="16"/>
      <c r="K45" s="16"/>
      <c r="L45" s="16"/>
      <c r="M45" s="16"/>
      <c r="N45" s="16"/>
      <c r="O45" s="16"/>
      <c r="P45" s="15"/>
    </row>
    <row r="46" spans="1:18" x14ac:dyDescent="0.2">
      <c r="A46" s="15"/>
      <c r="B46" s="15"/>
      <c r="C46" s="22"/>
      <c r="D46" s="15" t="s">
        <v>194</v>
      </c>
      <c r="E46" s="60">
        <f ca="1">Calculations!M9+(thetaja/1000)*E39</f>
        <v>52.871328242046999</v>
      </c>
      <c r="F46" s="16"/>
      <c r="G46" s="16"/>
      <c r="H46" s="16"/>
      <c r="I46" s="16"/>
      <c r="J46" s="16"/>
      <c r="K46" s="16"/>
      <c r="L46" s="60">
        <f ca="1">Calculations!E33/1000+Calculations!M28</f>
        <v>62.43841767817441</v>
      </c>
      <c r="M46" s="60">
        <f ca="1">Calculations!M7*(1-EXP(-Calculations!M26*Calculations!B3/Calculations!M7))/Calculations!B3</f>
        <v>0.15956394247336805</v>
      </c>
      <c r="N46" s="60">
        <f ca="1">IF(Calculations!M27&gt;0,1000*(-Calculations!M18-Calculations!M5+(M46*L46))/Calculations!M26,Calculations!M20)</f>
        <v>1024.5005408021757</v>
      </c>
      <c r="O46" s="60">
        <f ca="1">Calculations!B4*F3+(1-Calculations!B4)*N46</f>
        <v>1024.7942170896158</v>
      </c>
      <c r="P46" s="15"/>
      <c r="R46">
        <f>INT((Vin*0.92)/Vled)</f>
        <v>5</v>
      </c>
    </row>
    <row r="47" spans="1:18" x14ac:dyDescent="0.2">
      <c r="A47" s="15"/>
      <c r="B47" s="15"/>
      <c r="C47" s="22"/>
      <c r="D47" s="22"/>
      <c r="E47" s="22"/>
      <c r="F47" s="22"/>
      <c r="G47" s="22"/>
      <c r="H47" s="16"/>
      <c r="I47" s="16"/>
      <c r="J47" s="16"/>
      <c r="K47" s="16"/>
      <c r="L47" s="16"/>
      <c r="M47" s="15"/>
      <c r="N47" s="15"/>
      <c r="O47" s="15"/>
      <c r="P47" s="15"/>
    </row>
    <row r="51" spans="12:16" x14ac:dyDescent="0.2">
      <c r="L51" s="14"/>
      <c r="M51" s="14"/>
      <c r="N51" s="14"/>
      <c r="O51" s="14"/>
      <c r="P51" s="14"/>
    </row>
    <row r="52" spans="12:16" x14ac:dyDescent="0.2">
      <c r="L52" s="14"/>
      <c r="M52" s="14"/>
      <c r="N52" s="14"/>
      <c r="O52" s="14"/>
      <c r="P52" s="14"/>
    </row>
    <row r="53" spans="12:16" x14ac:dyDescent="0.2">
      <c r="M53" s="14"/>
      <c r="N53" s="14"/>
      <c r="O53" s="14"/>
      <c r="P53" s="14"/>
    </row>
    <row r="54" spans="12:16" x14ac:dyDescent="0.2">
      <c r="M54" s="14"/>
      <c r="N54" s="14"/>
      <c r="O54" s="14"/>
      <c r="P54" s="14"/>
    </row>
    <row r="55" spans="12:16" x14ac:dyDescent="0.2">
      <c r="M55" s="14"/>
      <c r="N55" s="14"/>
      <c r="O55" s="14"/>
      <c r="P55" s="14"/>
    </row>
    <row r="56" spans="12:16" x14ac:dyDescent="0.2">
      <c r="M56" s="14"/>
      <c r="N56" s="14"/>
      <c r="O56" s="14"/>
      <c r="P56" s="14"/>
    </row>
    <row r="57" spans="12:16" x14ac:dyDescent="0.2">
      <c r="M57" s="14"/>
      <c r="N57" s="14"/>
      <c r="O57" s="14"/>
      <c r="P57" s="14"/>
    </row>
  </sheetData>
  <phoneticPr fontId="9" type="noConversion"/>
  <dataValidations count="2">
    <dataValidation type="decimal" operator="greaterThan" allowBlank="1" showInputMessage="1" showErrorMessage="1" errorTitle="Available current" error="Circuit resistance is preventing current reaching threshold" sqref="M20">
      <formula1>M25</formula1>
    </dataValidation>
    <dataValidation type="decimal" errorStyle="warning" allowBlank="1" showInputMessage="1" showErrorMessage="1" error="Broke_x000a_" sqref="M2">
      <formula1>#REF!</formula1>
      <formula2>#REF!</formula2>
    </dataValidation>
  </dataValidations>
  <pageMargins left="0.39370078740157483" right="0.39370078740157483" top="0.39370078740157483" bottom="0.39370078740157483" header="0.39370078740157483" footer="0.39370078740157483"/>
  <pageSetup paperSize="9" scale="83" orientation="landscape" horizontalDpi="360" verticalDpi="36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workbookViewId="0">
      <selection activeCell="M12" sqref="M12"/>
    </sheetView>
  </sheetViews>
  <sheetFormatPr defaultRowHeight="12.75" x14ac:dyDescent="0.2"/>
  <cols>
    <col min="3" max="3" width="14.28515625" customWidth="1"/>
  </cols>
  <sheetData>
    <row r="2" spans="2:6" x14ac:dyDescent="0.2">
      <c r="B2" s="179">
        <v>1</v>
      </c>
      <c r="C2" s="23" t="s">
        <v>239</v>
      </c>
      <c r="D2" s="23" t="s">
        <v>269</v>
      </c>
      <c r="F2" s="172" t="s">
        <v>240</v>
      </c>
    </row>
    <row r="3" spans="2:6" x14ac:dyDescent="0.2">
      <c r="C3" s="172"/>
    </row>
    <row r="4" spans="2:6" x14ac:dyDescent="0.2">
      <c r="C4" s="172" t="s">
        <v>271</v>
      </c>
    </row>
    <row r="6" spans="2:6" x14ac:dyDescent="0.2">
      <c r="C6" s="23" t="s">
        <v>241</v>
      </c>
    </row>
    <row r="7" spans="2:6" x14ac:dyDescent="0.2">
      <c r="C7" s="172" t="s">
        <v>242</v>
      </c>
    </row>
    <row r="8" spans="2:6" x14ac:dyDescent="0.2">
      <c r="C8" s="172" t="s">
        <v>243</v>
      </c>
    </row>
    <row r="10" spans="2:6" x14ac:dyDescent="0.2">
      <c r="C10" s="23" t="s">
        <v>244</v>
      </c>
    </row>
    <row r="11" spans="2:6" x14ac:dyDescent="0.2">
      <c r="C11" s="172" t="s">
        <v>246</v>
      </c>
    </row>
    <row r="12" spans="2:6" x14ac:dyDescent="0.2">
      <c r="C12" s="172" t="s">
        <v>258</v>
      </c>
    </row>
    <row r="13" spans="2:6" x14ac:dyDescent="0.2">
      <c r="C13" s="172" t="s">
        <v>245</v>
      </c>
    </row>
    <row r="14" spans="2:6" x14ac:dyDescent="0.2">
      <c r="C14" s="172" t="s">
        <v>268</v>
      </c>
    </row>
    <row r="15" spans="2:6" x14ac:dyDescent="0.2">
      <c r="C15" s="172"/>
    </row>
    <row r="16" spans="2:6" x14ac:dyDescent="0.2">
      <c r="C16" s="23" t="s">
        <v>247</v>
      </c>
    </row>
    <row r="17" spans="3:3" x14ac:dyDescent="0.2">
      <c r="C17" s="172" t="s">
        <v>272</v>
      </c>
    </row>
    <row r="18" spans="3:3" x14ac:dyDescent="0.2">
      <c r="C18" s="172" t="s">
        <v>273</v>
      </c>
    </row>
    <row r="19" spans="3:3" x14ac:dyDescent="0.2">
      <c r="C19" s="172" t="s">
        <v>280</v>
      </c>
    </row>
    <row r="20" spans="3:3" x14ac:dyDescent="0.2">
      <c r="C20" s="172" t="s">
        <v>279</v>
      </c>
    </row>
    <row r="21" spans="3:3" x14ac:dyDescent="0.2">
      <c r="C21" s="172" t="s">
        <v>274</v>
      </c>
    </row>
    <row r="22" spans="3:3" x14ac:dyDescent="0.2">
      <c r="C22" s="172" t="s">
        <v>275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81</vt:i4>
      </vt:variant>
    </vt:vector>
  </HeadingPairs>
  <TitlesOfParts>
    <vt:vector size="87" baseType="lpstr">
      <vt:lpstr>Calculator</vt:lpstr>
      <vt:lpstr>Explanatory Notes</vt:lpstr>
      <vt:lpstr>SelectedDevice</vt:lpstr>
      <vt:lpstr>PAM2863ECR</vt:lpstr>
      <vt:lpstr>Calculations</vt:lpstr>
      <vt:lpstr>Revision History</vt:lpstr>
      <vt:lpstr>Calculations!AvILED</vt:lpstr>
      <vt:lpstr>Calculations!D</vt:lpstr>
      <vt:lpstr>Calculations!DeltaILED</vt:lpstr>
      <vt:lpstr>Calculations!Devices</vt:lpstr>
      <vt:lpstr>Devices2</vt:lpstr>
      <vt:lpstr>Calculations!Eff</vt:lpstr>
      <vt:lpstr>Calculations!f</vt:lpstr>
      <vt:lpstr>Calculations!I0_chg</vt:lpstr>
      <vt:lpstr>Iavg_fx</vt:lpstr>
      <vt:lpstr>Calculations!Ichip</vt:lpstr>
      <vt:lpstr>Calculations!Iin</vt:lpstr>
      <vt:lpstr>Calculations!Imax</vt:lpstr>
      <vt:lpstr>Calculations!Imin</vt:lpstr>
      <vt:lpstr>L_fn</vt:lpstr>
      <vt:lpstr>L_fx</vt:lpstr>
      <vt:lpstr>L_rn</vt:lpstr>
      <vt:lpstr>L_rx</vt:lpstr>
      <vt:lpstr>Calculations!La</vt:lpstr>
      <vt:lpstr>Calculations!LoILED</vt:lpstr>
      <vt:lpstr>Calculations!LoILED2</vt:lpstr>
      <vt:lpstr>N_fn</vt:lpstr>
      <vt:lpstr>N_fx</vt:lpstr>
      <vt:lpstr>N_rn</vt:lpstr>
      <vt:lpstr>N_rx</vt:lpstr>
      <vt:lpstr>Calculations!Nled</vt:lpstr>
      <vt:lpstr>Calculations!Pchip</vt:lpstr>
      <vt:lpstr>Calculations!Pdiode</vt:lpstr>
      <vt:lpstr>Calculations!Prsense</vt:lpstr>
      <vt:lpstr>Calculations!Pswitch</vt:lpstr>
      <vt:lpstr>Calculations!Rchg</vt:lpstr>
      <vt:lpstr>Calculations!rL</vt:lpstr>
      <vt:lpstr>rL_fn</vt:lpstr>
      <vt:lpstr>rL_fx</vt:lpstr>
      <vt:lpstr>rL_rn</vt:lpstr>
      <vt:lpstr>rL_rx</vt:lpstr>
      <vt:lpstr>Calculations!Rlx_amb</vt:lpstr>
      <vt:lpstr>Calculations!Rlx_Tj</vt:lpstr>
      <vt:lpstr>Calculations!Rs</vt:lpstr>
      <vt:lpstr>Rs_fn</vt:lpstr>
      <vt:lpstr>Rs_fx</vt:lpstr>
      <vt:lpstr>Rs_rn</vt:lpstr>
      <vt:lpstr>Rs_rx</vt:lpstr>
      <vt:lpstr>Calculations!Tamb</vt:lpstr>
      <vt:lpstr>Tamb_fn</vt:lpstr>
      <vt:lpstr>Tamb_fx</vt:lpstr>
      <vt:lpstr>Tamb_rn</vt:lpstr>
      <vt:lpstr>Tamb_rx</vt:lpstr>
      <vt:lpstr>Calculations!Tf</vt:lpstr>
      <vt:lpstr>Calculations!thetaja</vt:lpstr>
      <vt:lpstr>Calculations!Tj</vt:lpstr>
      <vt:lpstr>Calculations!toff</vt:lpstr>
      <vt:lpstr>Calculations!ton</vt:lpstr>
      <vt:lpstr>Calculations!TpdH</vt:lpstr>
      <vt:lpstr>Calculations!TpdH_u</vt:lpstr>
      <vt:lpstr>Calculations!TpdL</vt:lpstr>
      <vt:lpstr>Calculations!TpdL_u</vt:lpstr>
      <vt:lpstr>Calculations!Tr</vt:lpstr>
      <vt:lpstr>Calculations!UpILED</vt:lpstr>
      <vt:lpstr>Calculations!UpILED2</vt:lpstr>
      <vt:lpstr>Calculations!Vadj</vt:lpstr>
      <vt:lpstr>Vadj_fn</vt:lpstr>
      <vt:lpstr>Vadj_fx</vt:lpstr>
      <vt:lpstr>Vadj_rn</vt:lpstr>
      <vt:lpstr>Vadj_rx</vt:lpstr>
      <vt:lpstr>Calculations!Vf</vt:lpstr>
      <vt:lpstr>VF_fn</vt:lpstr>
      <vt:lpstr>VF_fx</vt:lpstr>
      <vt:lpstr>VF_rn</vt:lpstr>
      <vt:lpstr>VF_rx</vt:lpstr>
      <vt:lpstr>Calculations!Vin</vt:lpstr>
      <vt:lpstr>Vin_fn</vt:lpstr>
      <vt:lpstr>Vin_fx</vt:lpstr>
      <vt:lpstr>Vin_rn</vt:lpstr>
      <vt:lpstr>Vin_rx</vt:lpstr>
      <vt:lpstr>Calculations!Vled</vt:lpstr>
      <vt:lpstr>VLED_fn</vt:lpstr>
      <vt:lpstr>VLED_fx</vt:lpstr>
      <vt:lpstr>VLED_rn</vt:lpstr>
      <vt:lpstr>VLED_rx</vt:lpstr>
      <vt:lpstr>Calculations!Vleds</vt:lpstr>
      <vt:lpstr>Calculations!Vleds_m</vt:lpstr>
    </vt:vector>
  </TitlesOfParts>
  <Company>Zetex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C.Taylor</dc:creator>
  <cp:lastModifiedBy>Philip Armitage</cp:lastModifiedBy>
  <cp:lastPrinted>2008-10-01T13:07:28Z</cp:lastPrinted>
  <dcterms:created xsi:type="dcterms:W3CDTF">2006-02-03T08:56:35Z</dcterms:created>
  <dcterms:modified xsi:type="dcterms:W3CDTF">2015-11-05T16:48:26Z</dcterms:modified>
</cp:coreProperties>
</file>