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jaMlxs7KEGgvhOntbnxok3NfpkN7EbmTkl/U6nyXyqXVPkl6lk5CzCmLTWDK53gM0hW3nGqqade0uFCJAupBew==" workbookSaltValue="UlscA0QBG82QZs3U+8c31Q==" workbookSpinCount="100000" lockStructure="1"/>
  <bookViews>
    <workbookView xWindow="2400" yWindow="4290" windowWidth="19440" windowHeight="5970"/>
  </bookViews>
  <sheets>
    <sheet name="Tool" sheetId="1" r:id="rId1"/>
    <sheet name="EFF 6.0" sheetId="7" r:id="rId2"/>
    <sheet name="IC资料" sheetId="2" state="hidden" r:id="rId3"/>
    <sheet name="core" sheetId="5" state="hidden" r:id="rId4"/>
  </sheets>
  <externalReferences>
    <externalReference r:id="rId5"/>
  </externalReferences>
  <definedNames>
    <definedName name="act_Ae">Tool!$C$84</definedName>
    <definedName name="act_Dmax">Tool!$G$80</definedName>
    <definedName name="act_Dmin">Tool!$G$81</definedName>
    <definedName name="act_Fswmax">Tool!$G$85</definedName>
    <definedName name="act_Iomax">Tool!$G$84</definedName>
    <definedName name="act_Ipk">Tool!$G$82</definedName>
    <definedName name="act_Ipks">Tool!$G$83</definedName>
    <definedName name="act_Lp">Tool!$C$82</definedName>
    <definedName name="act_n">Tool!$G$79</definedName>
    <definedName name="act_NAUX">Tool!$C$81</definedName>
    <definedName name="act_Np">Tool!$C$79</definedName>
    <definedName name="act_NS">Tool!$C$80</definedName>
    <definedName name="act_Rcs">Tool!$C$83</definedName>
    <definedName name="act_RFB_down">Tool!$C$86</definedName>
    <definedName name="act_RFB_up">Tool!$C$85</definedName>
    <definedName name="act_Vcc">Tool!$G$90</definedName>
    <definedName name="Ae" localSheetId="3">[1]Sheet1!$B$11</definedName>
    <definedName name="Ae">Tool!$C$76</definedName>
    <definedName name="B_max">Tool!$C$72</definedName>
    <definedName name="Dmax">Tool!$C$73</definedName>
    <definedName name="FB">Tool!$C$55</definedName>
    <definedName name="FB_SCP">Tool!$C$56</definedName>
    <definedName name="fsw" localSheetId="3">[1]Sheet1!$B$9</definedName>
    <definedName name="fsw">Tool!$C$71</definedName>
    <definedName name="Input_p">Tool!$G$74</definedName>
    <definedName name="Io" localSheetId="3">[1]Sheet1!$B$5</definedName>
    <definedName name="Io" localSheetId="1">'EFF 6.0'!$D$5</definedName>
    <definedName name="Io">Tool!$C$68</definedName>
    <definedName name="Ipk">Tool!$G$70</definedName>
    <definedName name="Ipks">Tool!$G$71</definedName>
    <definedName name="Lp" localSheetId="3">[1]Sheet1!$F$5</definedName>
    <definedName name="Lp">Tool!$G$65</definedName>
    <definedName name="n" localSheetId="3">[1]Sheet1!$F$2</definedName>
    <definedName name="n">Tool!$G$66</definedName>
    <definedName name="NAUX">Tool!$G$69</definedName>
    <definedName name="Np" localSheetId="3">[1]Sheet1!$F$7</definedName>
    <definedName name="Np">Tool!$G$67</definedName>
    <definedName name="Ns" localSheetId="3">[1]Sheet1!$F$8</definedName>
    <definedName name="NS">Tool!$G$68</definedName>
    <definedName name="Po">'EFF 6.0'!$D$6</definedName>
    <definedName name="Rcs">Tool!$G$72</definedName>
    <definedName name="RFB_down">Tool!$C$86</definedName>
    <definedName name="RFB_rate">Tool!$C$87</definedName>
    <definedName name="RFB_up">Tool!$C$85</definedName>
    <definedName name="Tons_Tsw">Tool!$C$58</definedName>
    <definedName name="Tsample_H_max">Tool!$C$57</definedName>
    <definedName name="VACMax">Tool!$C$66</definedName>
    <definedName name="Vacmin" localSheetId="3">[1]Sheet1!$B$2</definedName>
    <definedName name="VACMin">Tool!$C$65</definedName>
    <definedName name="Vcc">Tool!$C$74</definedName>
    <definedName name="Vcs_H">Tool!$C$54</definedName>
    <definedName name="Vcs_L">Tool!$C$53</definedName>
    <definedName name="Vf" localSheetId="3">[1]Sheet1!$B$6</definedName>
    <definedName name="VF">Tool!$C$70</definedName>
    <definedName name="Vo">'EFF 6.0'!$D$4</definedName>
    <definedName name="Vo_EF">Tool!$C$67</definedName>
    <definedName name="Vout">Tool!$C$67</definedName>
    <definedName name="Vsf_max">Tool!$C$75</definedName>
    <definedName name="η" localSheetId="3">[1]Sheet1!$B$7</definedName>
    <definedName name="η">Tool!$C$69</definedName>
  </definedNames>
  <calcPr calcId="152511"/>
</workbook>
</file>

<file path=xl/calcChain.xml><?xml version="1.0" encoding="utf-8"?>
<calcChain xmlns="http://schemas.openxmlformats.org/spreadsheetml/2006/main">
  <c r="D6" i="7" l="1"/>
  <c r="D8" i="7" s="1"/>
  <c r="D11" i="7"/>
  <c r="D14" i="7" l="1"/>
  <c r="D10" i="7"/>
  <c r="D13" i="7"/>
  <c r="D15" i="7" s="1"/>
  <c r="D9" i="7"/>
  <c r="D12" i="7"/>
  <c r="C60" i="1"/>
  <c r="C59" i="1"/>
  <c r="D16" i="7" l="1"/>
  <c r="G90" i="1"/>
  <c r="G79" i="1"/>
  <c r="G88" i="1" s="1"/>
  <c r="G89" i="1" s="1"/>
  <c r="G87" i="1" l="1"/>
  <c r="C58" i="1"/>
  <c r="G66" i="1" s="1"/>
  <c r="G71" i="1" l="1"/>
  <c r="C57" i="1"/>
  <c r="C56" i="1"/>
  <c r="C55" i="1"/>
  <c r="C54" i="1"/>
  <c r="C53" i="1"/>
  <c r="C87" i="1" l="1"/>
  <c r="C86" i="1" s="1"/>
  <c r="G82" i="1"/>
  <c r="G86" i="1" l="1"/>
  <c r="G91" i="1"/>
  <c r="G83" i="1"/>
  <c r="G84" i="1" s="1"/>
  <c r="G85" i="1" l="1"/>
  <c r="G80" i="1" l="1"/>
  <c r="G81" i="1"/>
  <c r="G70" i="1"/>
  <c r="G72" i="1" l="1"/>
  <c r="G65" i="1"/>
  <c r="G67" i="1" l="1"/>
  <c r="G68" i="1" s="1"/>
  <c r="G69" i="1" s="1"/>
</calcChain>
</file>

<file path=xl/sharedStrings.xml><?xml version="1.0" encoding="utf-8"?>
<sst xmlns="http://schemas.openxmlformats.org/spreadsheetml/2006/main" count="818" uniqueCount="552">
  <si>
    <r>
      <t>T</t>
    </r>
    <r>
      <rPr>
        <b/>
        <sz val="8"/>
        <rFont val="Malgun Gothic"/>
        <family val="2"/>
        <charset val="129"/>
      </rPr>
      <t>ONP</t>
    </r>
    <phoneticPr fontId="6" type="noConversion"/>
  </si>
  <si>
    <t>Minimum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</si>
  <si>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6" type="noConversion"/>
  </si>
  <si>
    <t>Maximum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</si>
  <si>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6" type="noConversion"/>
  </si>
  <si>
    <t>Line frequency</t>
    <phoneticPr fontId="6" type="noConversion"/>
  </si>
  <si>
    <r>
      <t>f</t>
    </r>
    <r>
      <rPr>
        <b/>
        <vertAlign val="subscript"/>
        <sz val="10"/>
        <rFont val="Malgun Gothic"/>
        <family val="2"/>
        <charset val="129"/>
      </rPr>
      <t>AC</t>
    </r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</si>
  <si>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DC Ripple</t>
    </r>
    <phoneticPr fontId="6" type="noConversion"/>
  </si>
  <si>
    <t>Output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</si>
  <si>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</si>
  <si>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6" type="noConversion"/>
  </si>
  <si>
    <t>Output currnet</t>
    <phoneticPr fontId="6" type="noConversion"/>
  </si>
  <si>
    <t>Output ripple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</si>
  <si>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 Ripple</t>
    </r>
    <phoneticPr fontId="6" type="noConversion"/>
  </si>
  <si>
    <t>Nominal output power</t>
    <phoneticPr fontId="6" type="noConversion"/>
  </si>
  <si>
    <r>
      <t>P</t>
    </r>
    <r>
      <rPr>
        <b/>
        <vertAlign val="subscript"/>
        <sz val="10"/>
        <rFont val="Malgun Gothic"/>
        <family val="2"/>
        <charset val="129"/>
      </rPr>
      <t>Out Nor</t>
    </r>
    <phoneticPr fontId="6" type="noConversion"/>
  </si>
  <si>
    <t>η</t>
    <phoneticPr fontId="6" type="noConversion"/>
  </si>
  <si>
    <t>Maximum output current(Constant current point)</t>
    <phoneticPr fontId="6" type="noConversion"/>
  </si>
  <si>
    <t>switch frequency</t>
    <phoneticPr fontId="6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</si>
  <si>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6" type="noConversion"/>
  </si>
  <si>
    <t>Ae Of Selected Core</t>
    <phoneticPr fontId="6" type="noConversion"/>
  </si>
  <si>
    <t>Ae</t>
    <phoneticPr fontId="6" type="noConversion"/>
  </si>
  <si>
    <t>Peak value of primary side current</t>
    <phoneticPr fontId="6" type="noConversion"/>
  </si>
  <si>
    <t>Peak value of secondary side current</t>
    <phoneticPr fontId="6" type="noConversion"/>
  </si>
  <si>
    <t>Primary side Inductance</t>
    <phoneticPr fontId="6" type="noConversion"/>
  </si>
  <si>
    <t>Sense resistor of Primary side peak current</t>
    <phoneticPr fontId="6" type="noConversion"/>
  </si>
  <si>
    <t>Primary side Winding Number</t>
    <phoneticPr fontId="6" type="noConversion"/>
  </si>
  <si>
    <t>Secondary side Winding Number</t>
    <phoneticPr fontId="6" type="noConversion"/>
  </si>
  <si>
    <t>Auxiliary Winding Number</t>
    <phoneticPr fontId="6" type="noConversion"/>
  </si>
  <si>
    <t xml:space="preserve">Maximum Duty  </t>
    <phoneticPr fontId="6" type="noConversion"/>
  </si>
  <si>
    <t>Dmax</t>
    <phoneticPr fontId="6" type="noConversion"/>
  </si>
  <si>
    <t xml:space="preserve">Minimum Duty  </t>
    <phoneticPr fontId="6" type="noConversion"/>
  </si>
  <si>
    <t>Dmin</t>
    <phoneticPr fontId="6" type="noConversion"/>
  </si>
  <si>
    <t>Maximum switch frequency</t>
    <phoneticPr fontId="6" type="noConversion"/>
  </si>
  <si>
    <t>Fsw_max</t>
    <phoneticPr fontId="6" type="noConversion"/>
  </si>
  <si>
    <t>Minimum switch frequency</t>
    <phoneticPr fontId="6" type="noConversion"/>
  </si>
  <si>
    <t>Fsw_min</t>
    <phoneticPr fontId="6" type="noConversion"/>
  </si>
  <si>
    <t>maximum Vce Voltage Estimate (Includes Effect of Leakage Inductance)</t>
    <phoneticPr fontId="6" type="noConversion"/>
  </si>
  <si>
    <t>Auxiliary Winding voltage</t>
    <phoneticPr fontId="6" type="noConversion"/>
  </si>
  <si>
    <t>The conduction time when primary side switch is “ON”</t>
    <phoneticPr fontId="6" type="noConversion"/>
  </si>
  <si>
    <t>The conduction time when secondary side diode is “ON”</t>
    <phoneticPr fontId="6" type="noConversion"/>
  </si>
  <si>
    <t>The dead time when neither primary side switch nor secondary side diode is “ON”</t>
    <phoneticPr fontId="6" type="noConversion"/>
  </si>
  <si>
    <r>
      <t>T</t>
    </r>
    <r>
      <rPr>
        <b/>
        <sz val="8"/>
        <rFont val="Malgun Gothic"/>
        <family val="2"/>
        <charset val="129"/>
      </rPr>
      <t>OFF</t>
    </r>
    <phoneticPr fontId="6" type="noConversion"/>
  </si>
  <si>
    <t>The period of switching frequency</t>
    <phoneticPr fontId="6" type="noConversion"/>
  </si>
  <si>
    <r>
      <t>T</t>
    </r>
    <r>
      <rPr>
        <b/>
        <sz val="8"/>
        <rFont val="Malgun Gothic"/>
        <family val="2"/>
        <charset val="129"/>
      </rPr>
      <t>SW</t>
    </r>
    <phoneticPr fontId="6" type="noConversion"/>
  </si>
  <si>
    <t>Tons/Tsw</t>
    <phoneticPr fontId="1" type="noConversion"/>
  </si>
  <si>
    <t>AP3783R</t>
    <phoneticPr fontId="1" type="noConversion"/>
  </si>
  <si>
    <r>
      <t>I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</si>
  <si>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t>VDS_max</t>
    <phoneticPr fontId="6" type="noConversion"/>
  </si>
  <si>
    <t>Vsf_max</t>
    <phoneticPr fontId="6" type="noConversion"/>
  </si>
  <si>
    <t>Parameter specification list</t>
    <phoneticPr fontId="6" type="noConversion"/>
  </si>
  <si>
    <r>
      <t>I</t>
    </r>
    <r>
      <rPr>
        <b/>
        <sz val="8"/>
        <rFont val="Malgun Gothic"/>
        <family val="2"/>
        <charset val="129"/>
      </rPr>
      <t>omax</t>
    </r>
    <phoneticPr fontId="6" type="noConversion"/>
  </si>
  <si>
    <t>Peak Current Sense Threshold Voltage@Heavy load</t>
    <phoneticPr fontId="6" type="noConversion"/>
  </si>
  <si>
    <t>Peak Current Sense Threshold Voltage@Light load</t>
    <phoneticPr fontId="6" type="noConversion"/>
  </si>
  <si>
    <r>
      <t>Vcs</t>
    </r>
    <r>
      <rPr>
        <b/>
        <sz val="8"/>
        <rFont val="Malgun Gothic"/>
        <family val="2"/>
        <charset val="129"/>
      </rPr>
      <t>_L</t>
    </r>
    <phoneticPr fontId="6" type="noConversion"/>
  </si>
  <si>
    <r>
      <t>Vcs_</t>
    </r>
    <r>
      <rPr>
        <b/>
        <sz val="8"/>
        <rFont val="Malgun Gothic"/>
        <family val="2"/>
        <charset val="129"/>
      </rPr>
      <t>H</t>
    </r>
    <phoneticPr fontId="6" type="noConversion"/>
  </si>
  <si>
    <t>FB pin Voltage Sample Time</t>
    <phoneticPr fontId="6" type="noConversion"/>
  </si>
  <si>
    <t>Tsample_H</t>
    <phoneticPr fontId="6" type="noConversion"/>
  </si>
  <si>
    <r>
      <t>FB_</t>
    </r>
    <r>
      <rPr>
        <b/>
        <sz val="8"/>
        <rFont val="Malgun Gothic"/>
        <family val="2"/>
        <charset val="129"/>
      </rPr>
      <t>SCP</t>
    </r>
    <phoneticPr fontId="6" type="noConversion"/>
  </si>
  <si>
    <t>Tons/Tsw</t>
    <phoneticPr fontId="6" type="noConversion"/>
  </si>
  <si>
    <t>FB pin Short Circuit Protection detection voltage</t>
    <phoneticPr fontId="6" type="noConversion"/>
  </si>
  <si>
    <t>Secondary Winding Conduction Duty</t>
    <phoneticPr fontId="6" type="noConversion"/>
  </si>
  <si>
    <t>Tsample_H（us）</t>
    <phoneticPr fontId="1" type="noConversion"/>
  </si>
  <si>
    <t>IC Mainly Parameter</t>
    <phoneticPr fontId="6" type="noConversion"/>
  </si>
  <si>
    <t>Turns Ratio Np/Ns</t>
    <phoneticPr fontId="6" type="noConversion"/>
  </si>
  <si>
    <t>n</t>
    <phoneticPr fontId="6" type="noConversion"/>
  </si>
  <si>
    <t>Select IC First</t>
    <phoneticPr fontId="6" type="noConversion"/>
  </si>
  <si>
    <r>
      <t>I</t>
    </r>
    <r>
      <rPr>
        <b/>
        <sz val="8"/>
        <rFont val="Malgun Gothic"/>
        <family val="2"/>
        <charset val="129"/>
      </rPr>
      <t>pk</t>
    </r>
    <phoneticPr fontId="6" type="noConversion"/>
  </si>
  <si>
    <r>
      <t>I</t>
    </r>
    <r>
      <rPr>
        <b/>
        <sz val="8"/>
        <rFont val="Malgun Gothic"/>
        <family val="2"/>
        <charset val="129"/>
      </rPr>
      <t>pks</t>
    </r>
    <phoneticPr fontId="6" type="noConversion"/>
  </si>
  <si>
    <r>
      <t>L</t>
    </r>
    <r>
      <rPr>
        <b/>
        <sz val="8"/>
        <rFont val="Malgun Gothic"/>
        <family val="2"/>
        <charset val="129"/>
      </rPr>
      <t>p</t>
    </r>
    <phoneticPr fontId="6" type="noConversion"/>
  </si>
  <si>
    <r>
      <t>R</t>
    </r>
    <r>
      <rPr>
        <b/>
        <sz val="8"/>
        <rFont val="Malgun Gothic"/>
        <family val="2"/>
        <charset val="129"/>
      </rPr>
      <t>cs</t>
    </r>
    <phoneticPr fontId="6" type="noConversion"/>
  </si>
  <si>
    <r>
      <t>N</t>
    </r>
    <r>
      <rPr>
        <b/>
        <sz val="8"/>
        <rFont val="Malgun Gothic"/>
        <family val="2"/>
        <charset val="129"/>
      </rPr>
      <t>p</t>
    </r>
    <phoneticPr fontId="6" type="noConversion"/>
  </si>
  <si>
    <r>
      <t>N</t>
    </r>
    <r>
      <rPr>
        <b/>
        <sz val="8"/>
        <rFont val="Malgun Gothic"/>
        <family val="2"/>
        <charset val="129"/>
      </rPr>
      <t>S</t>
    </r>
    <phoneticPr fontId="6" type="noConversion"/>
  </si>
  <si>
    <r>
      <t>N</t>
    </r>
    <r>
      <rPr>
        <b/>
        <sz val="6"/>
        <rFont val="Malgun Gothic"/>
        <family val="2"/>
        <charset val="129"/>
      </rPr>
      <t>AUX</t>
    </r>
    <phoneticPr fontId="6" type="noConversion"/>
  </si>
  <si>
    <t>FB(V)</t>
    <phoneticPr fontId="1" type="noConversion"/>
  </si>
  <si>
    <t>FB_SCP(V)</t>
    <phoneticPr fontId="1" type="noConversion"/>
  </si>
  <si>
    <t>Tsample_H_max(us)</t>
    <phoneticPr fontId="1" type="noConversion"/>
  </si>
  <si>
    <t>Vcs_H(mV)</t>
    <phoneticPr fontId="1" type="noConversion"/>
  </si>
  <si>
    <t>Vcs_L(mV)</t>
    <phoneticPr fontId="1" type="noConversion"/>
  </si>
  <si>
    <r>
      <t>T</t>
    </r>
    <r>
      <rPr>
        <b/>
        <sz val="8"/>
        <rFont val="Malgun Gothic"/>
        <family val="2"/>
        <charset val="129"/>
      </rPr>
      <t>ONS</t>
    </r>
    <phoneticPr fontId="6" type="noConversion"/>
  </si>
  <si>
    <t>B_max</t>
    <phoneticPr fontId="6" type="noConversion"/>
  </si>
  <si>
    <t>Maximum Turn-on Time</t>
    <phoneticPr fontId="6" type="noConversion"/>
  </si>
  <si>
    <r>
      <t>T</t>
    </r>
    <r>
      <rPr>
        <b/>
        <sz val="8"/>
        <rFont val="Malgun Gothic"/>
        <family val="2"/>
        <charset val="129"/>
      </rPr>
      <t>ONP</t>
    </r>
    <r>
      <rPr>
        <b/>
        <sz val="10"/>
        <rFont val="Malgun Gothic"/>
        <family val="2"/>
        <charset val="129"/>
      </rPr>
      <t>_max</t>
    </r>
    <phoneticPr fontId="6" type="noConversion"/>
  </si>
  <si>
    <t>TONP_max(us)</t>
    <phoneticPr fontId="1" type="noConversion"/>
  </si>
  <si>
    <t>Ω</t>
    <phoneticPr fontId="6" type="noConversion"/>
  </si>
  <si>
    <t>Efficency</t>
    <phoneticPr fontId="6" type="noConversion"/>
  </si>
  <si>
    <r>
      <t>V</t>
    </r>
    <r>
      <rPr>
        <b/>
        <sz val="8"/>
        <rFont val="Malgun Gothic"/>
        <family val="2"/>
        <charset val="129"/>
      </rPr>
      <t>AUX</t>
    </r>
    <phoneticPr fontId="6" type="noConversion"/>
  </si>
  <si>
    <t>calculation results</t>
    <phoneticPr fontId="6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</si>
  <si>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r>
      <rPr>
        <b/>
        <sz val="11"/>
        <color theme="1"/>
        <rFont val="Malgun Gothic"/>
        <family val="2"/>
        <charset val="129"/>
      </rPr>
      <t>/R</t>
    </r>
    <r>
      <rPr>
        <b/>
        <sz val="9"/>
        <color theme="1"/>
        <rFont val="Malgun Gothic"/>
        <family val="2"/>
        <charset val="129"/>
      </rPr>
      <t>FB_down</t>
    </r>
    <phoneticPr fontId="6" type="noConversion"/>
  </si>
  <si>
    <t>V</t>
  </si>
  <si>
    <t>25*14*7</t>
  </si>
  <si>
    <t>PC40</t>
  </si>
  <si>
    <t>UU25</t>
  </si>
  <si>
    <t>20.8*15.8*7.7</t>
  </si>
  <si>
    <t>UU21</t>
  </si>
  <si>
    <t>19.7*17.7*6</t>
  </si>
  <si>
    <t>HS72</t>
  </si>
  <si>
    <t>UU19.7</t>
  </si>
  <si>
    <t>17*16.6*6</t>
  </si>
  <si>
    <t>UU17</t>
  </si>
  <si>
    <t>15.7*9.7*6</t>
  </si>
  <si>
    <t>UU15.7</t>
  </si>
  <si>
    <t>15.2*11.4*6.4</t>
  </si>
  <si>
    <t>UU15.23</t>
  </si>
  <si>
    <t>15.2*11.2*6.7</t>
  </si>
  <si>
    <t>UU15.22</t>
  </si>
  <si>
    <t>13.5*9.9*5</t>
  </si>
  <si>
    <t>UU13.5</t>
  </si>
  <si>
    <t>10.5*7.9*5</t>
  </si>
  <si>
    <t>UU10.5</t>
  </si>
  <si>
    <t>10.1*7.5*2.9</t>
  </si>
  <si>
    <t>UU10.1</t>
  </si>
  <si>
    <t>9.8*7.1*2.7</t>
  </si>
  <si>
    <t>UU9.8</t>
  </si>
  <si>
    <t>8.5*6.35*3.45</t>
  </si>
  <si>
    <t>UU8.5</t>
  </si>
  <si>
    <t>UU</t>
    <phoneticPr fontId="6" type="noConversion"/>
  </si>
  <si>
    <t>50*24.97*32</t>
  </si>
  <si>
    <t>PC44</t>
  </si>
  <si>
    <t>PQ50/50</t>
  </si>
  <si>
    <t>40.5*19.87*28</t>
  </si>
  <si>
    <t>PQ40/40</t>
  </si>
  <si>
    <t>35.1*17.37*26</t>
  </si>
  <si>
    <t>PQ35/35</t>
  </si>
  <si>
    <t>32*15.17*22</t>
  </si>
  <si>
    <t>PQ32/30</t>
  </si>
  <si>
    <t>32*10.27*22</t>
  </si>
  <si>
    <t>PQ32/20</t>
  </si>
  <si>
    <t>26.5*12.37*19</t>
  </si>
  <si>
    <t>PQ26/25</t>
  </si>
  <si>
    <t>26.5*10.1*19</t>
  </si>
  <si>
    <t>PQ26/20</t>
  </si>
  <si>
    <t>20.5*10.1*14</t>
  </si>
  <si>
    <t>PQ20/20</t>
  </si>
  <si>
    <t>20.5*8.1*14</t>
  </si>
  <si>
    <t>PQ20/16</t>
  </si>
  <si>
    <t>PQ</t>
    <phoneticPr fontId="6" type="noConversion"/>
  </si>
  <si>
    <t>0.87(25kHZ)</t>
  </si>
  <si>
    <t>30*9.4*20.2</t>
  </si>
  <si>
    <t>3C85</t>
  </si>
  <si>
    <t>PTS30/19</t>
  </si>
  <si>
    <t>0.41(25kHZ)</t>
  </si>
  <si>
    <t>22.9*9*15.2</t>
  </si>
  <si>
    <t>PTS23/18</t>
  </si>
  <si>
    <t>0.28(25kHZ)</t>
  </si>
  <si>
    <t>22.9*5.5*15.2</t>
  </si>
  <si>
    <t>PTS23/11</t>
  </si>
  <si>
    <t>0.19(25kHZ)</t>
  </si>
  <si>
    <t>18*5.3*11.94</t>
  </si>
  <si>
    <t>PTS18/11</t>
  </si>
  <si>
    <t>14.05*4.15*9.4</t>
  </si>
  <si>
    <t>PTS14/8</t>
  </si>
  <si>
    <t>PTS</t>
    <phoneticPr fontId="6" type="noConversion"/>
  </si>
  <si>
    <t>10-12</t>
  </si>
  <si>
    <t>41.6*14.4*18.7</t>
  </si>
  <si>
    <t>RM14</t>
  </si>
  <si>
    <t>11-12</t>
  </si>
  <si>
    <t>36.75*11.7*16</t>
  </si>
  <si>
    <t>RM12</t>
  </si>
  <si>
    <t>27.85*9.3*13.25</t>
  </si>
  <si>
    <t>RM10</t>
  </si>
  <si>
    <t>8-12</t>
  </si>
  <si>
    <t>22.75*8.2*10.8</t>
  </si>
  <si>
    <t>RM8</t>
  </si>
  <si>
    <t>4-6</t>
  </si>
  <si>
    <t>17.6*6.2*8</t>
  </si>
  <si>
    <t>RM6</t>
  </si>
  <si>
    <t>14.3*5.2*6.6</t>
  </si>
  <si>
    <t>RM5</t>
  </si>
  <si>
    <t>10.8*5.2*4.45</t>
  </si>
  <si>
    <t>RM4</t>
  </si>
  <si>
    <t>RM</t>
    <phoneticPr fontId="6" type="noConversion"/>
  </si>
  <si>
    <t>25*15.9*12.9</t>
  </si>
  <si>
    <t>LP32/13</t>
  </si>
  <si>
    <t>16.5*11.7*8.7</t>
  </si>
  <si>
    <t>LP23/8</t>
  </si>
  <si>
    <t>25*11.2*12.9</t>
  </si>
  <si>
    <t>LP22/13</t>
  </si>
  <si>
    <t>LP</t>
    <phoneticPr fontId="6" type="noConversion"/>
  </si>
  <si>
    <t>59.8*31.2*22.1</t>
  </si>
  <si>
    <t>N27</t>
  </si>
  <si>
    <t>ETD59</t>
  </si>
  <si>
    <t>54.5*27.8*19.3</t>
  </si>
  <si>
    <t>ETD54</t>
  </si>
  <si>
    <t>48.7*24.7*16.4</t>
  </si>
  <si>
    <t>ETD49</t>
  </si>
  <si>
    <t>H</t>
  </si>
  <si>
    <t>44*22.3*14.9</t>
  </si>
  <si>
    <t>ETD44</t>
  </si>
  <si>
    <t>39.1*19.8*12.58</t>
  </si>
  <si>
    <t>ETD39</t>
  </si>
  <si>
    <t>34.2*17.3*10.88</t>
  </si>
  <si>
    <t>ETD34</t>
  </si>
  <si>
    <t>29.8*15.8*9.5</t>
  </si>
  <si>
    <t>ETD29</t>
  </si>
  <si>
    <t>24.4*14.45*8.5</t>
  </si>
  <si>
    <t>ETD24</t>
  </si>
  <si>
    <t>19.6*13.65*7.4</t>
  </si>
  <si>
    <t>ETD19</t>
  </si>
  <si>
    <t>ETD</t>
    <phoneticPr fontId="6" type="noConversion"/>
  </si>
  <si>
    <t>53.5*18.3*17.95</t>
  </si>
  <si>
    <t>ER54/36</t>
  </si>
  <si>
    <t>49*27*17.2</t>
  </si>
  <si>
    <t xml:space="preserve">ER49/54 </t>
  </si>
  <si>
    <t>42.15*21.2*19.6</t>
  </si>
  <si>
    <t xml:space="preserve">ER42/20 </t>
  </si>
  <si>
    <t>42*22.4*15.5</t>
  </si>
  <si>
    <t xml:space="preserve">ER42/15 </t>
  </si>
  <si>
    <t>40*22.4*13.3</t>
  </si>
  <si>
    <t>ER40/45</t>
  </si>
  <si>
    <t>39.1*21.1*12.5</t>
  </si>
  <si>
    <t>B1</t>
  </si>
  <si>
    <t xml:space="preserve">ER39/42 </t>
  </si>
  <si>
    <t>39.1*17.8*12.5</t>
  </si>
  <si>
    <t xml:space="preserve">ER39/36 </t>
  </si>
  <si>
    <t>12--16</t>
  </si>
  <si>
    <t>35*20.7*11.3</t>
  </si>
  <si>
    <t xml:space="preserve">ER35/41 </t>
  </si>
  <si>
    <t>35*16.8*11.3</t>
  </si>
  <si>
    <t>TP4</t>
  </si>
  <si>
    <t xml:space="preserve">ER35/34 </t>
  </si>
  <si>
    <t>30*17.5*11.2</t>
  </si>
  <si>
    <t xml:space="preserve">ER30/35 </t>
  </si>
  <si>
    <t>30*8*20</t>
  </si>
  <si>
    <t xml:space="preserve">ER30/16 </t>
  </si>
  <si>
    <t>H  V</t>
  </si>
  <si>
    <t>10--12</t>
  </si>
  <si>
    <t>28.55*16.9*11.4</t>
  </si>
  <si>
    <t xml:space="preserve">ER28/34 </t>
  </si>
  <si>
    <t>28.55*14*11.4</t>
  </si>
  <si>
    <t xml:space="preserve">ER28/28 </t>
  </si>
  <si>
    <t>25.4*25.4*18</t>
  </si>
  <si>
    <t xml:space="preserve">ER25/51 </t>
  </si>
  <si>
    <t>25.5*9.3*7.5</t>
  </si>
  <si>
    <t xml:space="preserve">ER25.5  </t>
  </si>
  <si>
    <t>19.2*16*5.6</t>
  </si>
  <si>
    <t xml:space="preserve">ER1916 </t>
  </si>
  <si>
    <t>14.5*2.95*6.7</t>
  </si>
  <si>
    <t xml:space="preserve">ER14.5  </t>
  </si>
  <si>
    <t>10.83*2.45*4</t>
  </si>
  <si>
    <t xml:space="preserve">ER11.5  </t>
  </si>
  <si>
    <t>9.5*2.45*5.9</t>
  </si>
  <si>
    <t xml:space="preserve">ER9.5    </t>
  </si>
  <si>
    <t>9.35*2.35*4.6</t>
  </si>
  <si>
    <t xml:space="preserve">ER9.35  </t>
  </si>
  <si>
    <t>ER</t>
    <phoneticPr fontId="6" type="noConversion"/>
  </si>
  <si>
    <t>30.1*17.5*8</t>
  </si>
  <si>
    <t>EPC30</t>
  </si>
  <si>
    <t>27.1*16*8</t>
  </si>
  <si>
    <t>EPC27</t>
  </si>
  <si>
    <t>25.1*11.43*6.5</t>
  </si>
  <si>
    <t>EPC25B</t>
  </si>
  <si>
    <t>25.1*12.5*8</t>
  </si>
  <si>
    <t>EPC25</t>
    <phoneticPr fontId="19" type="noConversion"/>
  </si>
  <si>
    <t>19.1*9.75*6</t>
  </si>
  <si>
    <t>EPC19</t>
  </si>
  <si>
    <t>17.6*8.55*6</t>
  </si>
  <si>
    <t>EPC17</t>
  </si>
  <si>
    <t>13.3*6.6*4.6</t>
  </si>
  <si>
    <t>EPC13</t>
  </si>
  <si>
    <t>10.2*4.05*3.4</t>
  </si>
  <si>
    <t>EPC10</t>
  </si>
  <si>
    <t>EPC</t>
    <phoneticPr fontId="6" type="noConversion"/>
  </si>
  <si>
    <t>24*10.7*15</t>
  </si>
  <si>
    <t>EP20</t>
  </si>
  <si>
    <t>18.0*8.4*11.0</t>
  </si>
  <si>
    <t>EP17</t>
  </si>
  <si>
    <t>12.8*6.5*9.0</t>
  </si>
  <si>
    <t>EP13</t>
  </si>
  <si>
    <t>11.5*5.1*7.6</t>
  </si>
  <si>
    <t>EP10</t>
  </si>
  <si>
    <t>9.4*3.75*6.5</t>
  </si>
  <si>
    <t>EP7</t>
  </si>
  <si>
    <t>EP</t>
    <phoneticPr fontId="6" type="noConversion"/>
  </si>
  <si>
    <t>7.61(100MT)</t>
  </si>
  <si>
    <t>70.0*54.0*31.6</t>
  </si>
  <si>
    <t>EI70</t>
  </si>
  <si>
    <t>60.0*35.85*15.6</t>
  </si>
  <si>
    <t>EI60</t>
  </si>
  <si>
    <t>50.0*33.35*14.6</t>
  </si>
  <si>
    <t>EI50</t>
  </si>
  <si>
    <t>40.0*27.25*11.65</t>
  </si>
  <si>
    <t>EI40</t>
  </si>
  <si>
    <t>35.0*24.2*12</t>
  </si>
  <si>
    <t>EI3530</t>
  </si>
  <si>
    <t>35.0*24.25*10.0</t>
  </si>
  <si>
    <t>EI35</t>
  </si>
  <si>
    <t>12</t>
  </si>
  <si>
    <t>33.0*23.75*12.7</t>
  </si>
  <si>
    <t>EI33/29/13</t>
  </si>
  <si>
    <t>20.0*21.25*10.7</t>
  </si>
  <si>
    <t>EI30</t>
  </si>
  <si>
    <t>28.0*16.75*10.6</t>
  </si>
  <si>
    <t>EI28</t>
  </si>
  <si>
    <t>22.0*14.7*5.75</t>
  </si>
  <si>
    <t>EI22/19/6</t>
  </si>
  <si>
    <t>25.3*15.55*6.75</t>
  </si>
  <si>
    <t>EI25</t>
  </si>
  <si>
    <t>22.0*14.55*5.75</t>
  </si>
  <si>
    <t>EI22</t>
  </si>
  <si>
    <t>H V</t>
  </si>
  <si>
    <t>6-8</t>
  </si>
  <si>
    <t>20*13.55*5.0</t>
  </si>
  <si>
    <t>EI19</t>
  </si>
  <si>
    <t>6-10</t>
  </si>
  <si>
    <t>16.0*12.2*4.8</t>
  </si>
  <si>
    <t>EI16</t>
  </si>
  <si>
    <t>12.4*7.4*4.85</t>
  </si>
  <si>
    <t>EI12.5</t>
  </si>
  <si>
    <t>EI</t>
    <phoneticPr fontId="6" type="noConversion"/>
  </si>
  <si>
    <t>30*15*9.1</t>
  </si>
  <si>
    <t>3C90</t>
  </si>
  <si>
    <t>EFD30</t>
  </si>
  <si>
    <t>25*12.5*9.1</t>
  </si>
  <si>
    <t>EFD25</t>
  </si>
  <si>
    <t>20*10*6.65</t>
  </si>
  <si>
    <t>EFD20</t>
  </si>
  <si>
    <t>15*7.5*4.65</t>
  </si>
  <si>
    <t>3F3</t>
  </si>
  <si>
    <t>EFD15</t>
  </si>
  <si>
    <t>12.5*6.2*3.5</t>
  </si>
  <si>
    <t>EFD12</t>
  </si>
  <si>
    <t>10.5*5.2*2.7</t>
  </si>
  <si>
    <t>EFD10</t>
  </si>
  <si>
    <t>EFD</t>
    <phoneticPr fontId="6" type="noConversion"/>
  </si>
  <si>
    <t>32.1*16.1*9.15</t>
  </si>
  <si>
    <t>EF32</t>
  </si>
  <si>
    <t>25.05*12.55*7.2</t>
  </si>
  <si>
    <t>EF25</t>
  </si>
  <si>
    <t>20*9.9*5.65</t>
  </si>
  <si>
    <t>EF20</t>
  </si>
  <si>
    <t>16.1*8.05*4.5</t>
  </si>
  <si>
    <t>EF16</t>
  </si>
  <si>
    <t>12.7*6.4*3.6</t>
  </si>
  <si>
    <t>EF12.6</t>
  </si>
  <si>
    <t>EF</t>
    <phoneticPr fontId="6" type="noConversion"/>
  </si>
  <si>
    <t>5.9(100MT)</t>
  </si>
  <si>
    <t>65.15*32.5*27</t>
  </si>
  <si>
    <t>EE65/32/27</t>
  </si>
  <si>
    <t>62.3*31*6.1</t>
  </si>
  <si>
    <t>EE62.3/62/6</t>
  </si>
  <si>
    <t>50.3*25.6*6.1</t>
  </si>
  <si>
    <t>EE50.3</t>
  </si>
  <si>
    <t>60*22.3*15.6</t>
  </si>
  <si>
    <t>EE60</t>
  </si>
  <si>
    <t>56.57*23.6*18.8</t>
  </si>
  <si>
    <t>EE57/47</t>
  </si>
  <si>
    <t>11.0(150MT)</t>
  </si>
  <si>
    <t>55.15*27.5*20.7</t>
  </si>
  <si>
    <t>EE55/55/21</t>
  </si>
  <si>
    <t>50*21.3*14.6</t>
  </si>
  <si>
    <t>EE50</t>
  </si>
  <si>
    <t>47.12*19.63*15.62</t>
  </si>
  <si>
    <t>EE47/39</t>
  </si>
  <si>
    <t>42*21.2*20</t>
  </si>
  <si>
    <t>EE42/21/20</t>
  </si>
  <si>
    <t>42*21.2*15</t>
  </si>
  <si>
    <t>EE42/21/15</t>
  </si>
  <si>
    <t>41.5*17*12.7</t>
  </si>
  <si>
    <t>EE4133</t>
  </si>
  <si>
    <t>40*17*10.7</t>
  </si>
  <si>
    <t>EE40</t>
  </si>
  <si>
    <t>34.6*14.3*9.3</t>
  </si>
  <si>
    <t>EE3528</t>
  </si>
  <si>
    <t>30.1*15*7.05</t>
  </si>
  <si>
    <t>EE30/30/7</t>
  </si>
  <si>
    <t>30*13.15*10.7</t>
  </si>
  <si>
    <t>EE30</t>
  </si>
  <si>
    <t>28*12.75*10.6</t>
  </si>
  <si>
    <t>EE2825</t>
  </si>
  <si>
    <t>25.4*9.66*6.35</t>
  </si>
  <si>
    <t>EE25.4</t>
  </si>
  <si>
    <t>25.4*9.46*6.29</t>
  </si>
  <si>
    <t>EE25/19</t>
  </si>
  <si>
    <t>23*14.7*6</t>
  </si>
  <si>
    <t>EE2329S</t>
  </si>
  <si>
    <t>22*9.35*5.75</t>
  </si>
  <si>
    <t>EE22</t>
  </si>
  <si>
    <t>20.15*10*5.1</t>
  </si>
  <si>
    <t>EE20/20/5</t>
    <phoneticPr fontId="6" type="noConversion"/>
  </si>
  <si>
    <t>V H</t>
  </si>
  <si>
    <t>19.29*8.1*4.75</t>
  </si>
  <si>
    <t>EE19/16</t>
  </si>
  <si>
    <t>19.1*7.95*5.0</t>
  </si>
  <si>
    <t>EE19</t>
  </si>
  <si>
    <t>16*7.2*4.8</t>
  </si>
  <si>
    <t>EE16</t>
  </si>
  <si>
    <t>13.0*6.0*6.15</t>
  </si>
  <si>
    <t>EE13</t>
  </si>
  <si>
    <t>10.2*5.5*4.75</t>
  </si>
  <si>
    <t>EE10/11</t>
  </si>
  <si>
    <t>8.3*4.0*3.6</t>
  </si>
  <si>
    <t>EE8</t>
  </si>
  <si>
    <t>6.1*2.85*7.95</t>
  </si>
  <si>
    <t>EE6.3</t>
  </si>
  <si>
    <t>5.25*2.65*1.95</t>
  </si>
  <si>
    <t>EE05</t>
  </si>
  <si>
    <t>EE</t>
    <phoneticPr fontId="6" type="noConversion"/>
  </si>
  <si>
    <t>12/34</t>
  </si>
  <si>
    <t>71.7*34.5*16.4</t>
  </si>
  <si>
    <t>EC70</t>
  </si>
  <si>
    <t>52.2*24.2*13.4</t>
  </si>
  <si>
    <t>EC52</t>
  </si>
  <si>
    <t>41.6*19.5*11.6</t>
  </si>
  <si>
    <t>EC41</t>
  </si>
  <si>
    <t>35.3*17.3*9.5</t>
  </si>
  <si>
    <t>EC35</t>
  </si>
  <si>
    <t>EC</t>
    <phoneticPr fontId="6" type="noConversion"/>
  </si>
  <si>
    <t xml:space="preserve">  可配合BOBBIN</t>
  </si>
  <si>
    <t>(W)</t>
  </si>
  <si>
    <t xml:space="preserve"> @100℃(W)</t>
  </si>
  <si>
    <t xml:space="preserve"> ( g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</si>
  <si>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</si>
  <si>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mm )</t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</si>
  <si>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</si>
  <si>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</si>
  <si>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</si>
  <si>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</si>
  <si>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t>A * B * C</t>
  </si>
  <si>
    <t>形狀</t>
  </si>
  <si>
    <t>PIN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</si>
  <si>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</si>
  <si>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幅寬
mm</t>
  </si>
  <si>
    <t>Pt  100  kHz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</si>
  <si>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</si>
  <si>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 xml:space="preserve">Wt        </t>
  </si>
  <si>
    <t xml:space="preserve">Ve     </t>
  </si>
  <si>
    <t xml:space="preserve">Le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</si>
  <si>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</si>
  <si>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Aw  </t>
  </si>
  <si>
    <t xml:space="preserve">Ae  </t>
  </si>
  <si>
    <t xml:space="preserve">Ap      </t>
  </si>
  <si>
    <t>Dimensions (mm)</t>
  </si>
  <si>
    <t>MATE-
RIAL</t>
  </si>
  <si>
    <t>TYPE</t>
  </si>
  <si>
    <t>CORE參數對照表</t>
  </si>
  <si>
    <t>Ratio 85%</t>
    <phoneticPr fontId="1" type="noConversion"/>
  </si>
  <si>
    <t>Vcs_L</t>
    <phoneticPr fontId="1" type="noConversion"/>
  </si>
  <si>
    <t>Tons/Tsw</t>
    <phoneticPr fontId="1" type="noConversion"/>
  </si>
  <si>
    <t>mV</t>
    <phoneticPr fontId="1" type="noConversion"/>
  </si>
  <si>
    <t>V</t>
    <phoneticPr fontId="1" type="noConversion"/>
  </si>
  <si>
    <t>us</t>
    <phoneticPr fontId="1" type="noConversion"/>
  </si>
  <si>
    <t>User input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</si>
  <si>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</si>
  <si>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</si>
  <si>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1" type="noConversion"/>
  </si>
  <si>
    <r>
      <t>I</t>
    </r>
    <r>
      <rPr>
        <b/>
        <sz val="10"/>
        <rFont val="Malgun Gothic"/>
        <family val="2"/>
        <charset val="129"/>
      </rPr>
      <t>o</t>
    </r>
    <phoneticPr fontId="1" type="noConversion"/>
  </si>
  <si>
    <t>η</t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</si>
  <si>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1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</si>
  <si>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1" type="noConversion"/>
  </si>
  <si>
    <t>B_max</t>
    <phoneticPr fontId="1" type="noConversion"/>
  </si>
  <si>
    <t>Vcc</t>
    <phoneticPr fontId="1" type="noConversion"/>
  </si>
  <si>
    <t>Vsf_max</t>
    <phoneticPr fontId="1" type="noConversion"/>
  </si>
  <si>
    <t>Ae</t>
    <phoneticPr fontId="1" type="noConversion"/>
  </si>
  <si>
    <t>A</t>
    <phoneticPr fontId="1" type="noConversion"/>
  </si>
  <si>
    <t>KHz</t>
    <phoneticPr fontId="1" type="noConversion"/>
  </si>
  <si>
    <t>Ts</t>
    <phoneticPr fontId="1" type="noConversion"/>
  </si>
  <si>
    <t>mm^2</t>
    <phoneticPr fontId="1" type="noConversion"/>
  </si>
  <si>
    <t>Calculate design parameters</t>
    <phoneticPr fontId="6" type="noConversion"/>
  </si>
  <si>
    <t>n</t>
    <phoneticPr fontId="1" type="noConversion"/>
  </si>
  <si>
    <t>Ipks</t>
    <phoneticPr fontId="1" type="noConversion"/>
  </si>
  <si>
    <t>Ipk</t>
    <phoneticPr fontId="1" type="noConversion"/>
  </si>
  <si>
    <t>Lp</t>
    <phoneticPr fontId="1" type="noConversion"/>
  </si>
  <si>
    <t>mH</t>
    <phoneticPr fontId="1" type="noConversion"/>
  </si>
  <si>
    <t>Rcs</t>
    <phoneticPr fontId="1" type="noConversion"/>
  </si>
  <si>
    <t>Np</t>
    <phoneticPr fontId="1" type="noConversion"/>
  </si>
  <si>
    <t>Turns</t>
    <phoneticPr fontId="1" type="noConversion"/>
  </si>
  <si>
    <t>Ns</t>
    <phoneticPr fontId="1" type="noConversion"/>
  </si>
  <si>
    <t>Naux</t>
    <phoneticPr fontId="1" type="noConversion"/>
  </si>
  <si>
    <r>
      <t>N</t>
    </r>
    <r>
      <rPr>
        <b/>
        <sz val="8"/>
        <color theme="1"/>
        <rFont val="Malgun Gothic"/>
        <family val="2"/>
        <charset val="129"/>
      </rPr>
      <t>AUX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</si>
  <si>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phoneticPr fontId="1" type="noConversion"/>
  </si>
  <si>
    <t>KΩ</t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</si>
  <si>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FB_down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</si>
  <si>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FB_rate</t>
    </r>
    <phoneticPr fontId="1" type="noConversion"/>
  </si>
  <si>
    <t>Fill in actual design parameters</t>
    <phoneticPr fontId="6" type="noConversion"/>
  </si>
  <si>
    <t>Dmax</t>
    <phoneticPr fontId="1" type="noConversion"/>
  </si>
  <si>
    <t>Dmin</t>
    <phoneticPr fontId="1" type="noConversion"/>
  </si>
  <si>
    <t>Io_max</t>
    <phoneticPr fontId="1" type="noConversion"/>
  </si>
  <si>
    <t>Fsw_max</t>
    <phoneticPr fontId="1" type="noConversion"/>
  </si>
  <si>
    <t>Bmax</t>
    <phoneticPr fontId="1" type="noConversion"/>
  </si>
  <si>
    <t>VDS_max</t>
    <phoneticPr fontId="1" type="noConversion"/>
  </si>
  <si>
    <t>Vaf_max</t>
    <phoneticPr fontId="1" type="noConversion"/>
  </si>
  <si>
    <r>
      <t>T</t>
    </r>
    <r>
      <rPr>
        <b/>
        <sz val="9"/>
        <color theme="1"/>
        <rFont val="Malgun Gothic"/>
        <family val="2"/>
        <charset val="129"/>
      </rPr>
      <t>ONS</t>
    </r>
    <phoneticPr fontId="1" type="noConversion"/>
  </si>
  <si>
    <t>Get Calculation System Result</t>
    <phoneticPr fontId="1" type="noConversion"/>
  </si>
  <si>
    <t>1. Enter System input</t>
    <phoneticPr fontId="6" type="noConversion"/>
  </si>
  <si>
    <t>AP3783</t>
    <phoneticPr fontId="1" type="noConversion"/>
  </si>
  <si>
    <t>fs_max（KHz）</t>
    <phoneticPr fontId="1" type="noConversion"/>
  </si>
  <si>
    <t>Vcs_H</t>
    <phoneticPr fontId="1" type="noConversion"/>
  </si>
  <si>
    <t>FB</t>
    <phoneticPr fontId="1" type="noConversion"/>
  </si>
  <si>
    <t>FB_SCP</t>
    <phoneticPr fontId="1" type="noConversion"/>
  </si>
  <si>
    <t>Tsample_H_max</t>
    <phoneticPr fontId="1" type="noConversion"/>
  </si>
  <si>
    <t>Tons/Tsw</t>
    <phoneticPr fontId="1" type="noConversion"/>
  </si>
  <si>
    <t>TONP_max</t>
    <phoneticPr fontId="1" type="noConversion"/>
  </si>
  <si>
    <t>KHz</t>
    <phoneticPr fontId="1" type="noConversion"/>
  </si>
  <si>
    <t>mV</t>
    <phoneticPr fontId="1" type="noConversion"/>
  </si>
  <si>
    <t>V</t>
    <phoneticPr fontId="1" type="noConversion"/>
  </si>
  <si>
    <t>V</t>
    <phoneticPr fontId="1" type="noConversion"/>
  </si>
  <si>
    <t>us</t>
    <phoneticPr fontId="1" type="noConversion"/>
  </si>
  <si>
    <r>
      <t>f</t>
    </r>
    <r>
      <rPr>
        <b/>
        <sz val="9"/>
        <color theme="1"/>
        <rFont val="Arial Unicode MS"/>
        <family val="2"/>
        <charset val="134"/>
      </rPr>
      <t>sw_max</t>
    </r>
    <phoneticPr fontId="1" type="noConversion"/>
  </si>
  <si>
    <r>
      <t>n</t>
    </r>
    <r>
      <rPr>
        <b/>
        <sz val="10"/>
        <color theme="1"/>
        <rFont val="宋体"/>
        <family val="3"/>
        <charset val="134"/>
      </rPr>
      <t>＜</t>
    </r>
    <phoneticPr fontId="1" type="noConversion"/>
  </si>
  <si>
    <t>AP3981C</t>
    <phoneticPr fontId="1" type="noConversion"/>
  </si>
  <si>
    <t>-</t>
    <phoneticPr fontId="1" type="noConversion"/>
  </si>
  <si>
    <t>12V/3.0A</t>
    <phoneticPr fontId="6" type="noConversion"/>
  </si>
  <si>
    <t>12V/2.5A</t>
    <phoneticPr fontId="6" type="noConversion"/>
  </si>
  <si>
    <t>12V/2.0A</t>
    <phoneticPr fontId="6" type="noConversion"/>
  </si>
  <si>
    <t>12V/1.5A</t>
    <phoneticPr fontId="6" type="noConversion"/>
  </si>
  <si>
    <t>12V/1.0A</t>
    <phoneticPr fontId="6" type="noConversion"/>
  </si>
  <si>
    <t>12V/0.75A</t>
    <phoneticPr fontId="6" type="noConversion"/>
  </si>
  <si>
    <t>12V/0.5A</t>
    <phoneticPr fontId="6" type="noConversion"/>
  </si>
  <si>
    <t>5V/3.0A</t>
    <phoneticPr fontId="6" type="noConversion"/>
  </si>
  <si>
    <t>5V/2.5A</t>
    <phoneticPr fontId="6" type="noConversion"/>
  </si>
  <si>
    <t>5V/2.0A</t>
    <phoneticPr fontId="6" type="noConversion"/>
  </si>
  <si>
    <t>5V/1.5A</t>
    <phoneticPr fontId="6" type="noConversion"/>
  </si>
  <si>
    <t>5V/1.0A</t>
    <phoneticPr fontId="6" type="noConversion"/>
  </si>
  <si>
    <t>5V/900mA</t>
    <phoneticPr fontId="6" type="noConversion"/>
  </si>
  <si>
    <t>5V/850mA</t>
    <phoneticPr fontId="6" type="noConversion"/>
  </si>
  <si>
    <t>5V/750mA</t>
    <phoneticPr fontId="6" type="noConversion"/>
  </si>
  <si>
    <t>5V/550mA</t>
    <phoneticPr fontId="6" type="noConversion"/>
  </si>
  <si>
    <t>Energy Star 5.0 Requirement</t>
    <phoneticPr fontId="6" type="noConversion"/>
  </si>
  <si>
    <t>Energy Star 6.0 Requirement</t>
    <phoneticPr fontId="6" type="noConversion"/>
  </si>
  <si>
    <t>Application</t>
    <phoneticPr fontId="6" type="noConversion"/>
  </si>
  <si>
    <t>Common Design SPEC Efficiency Requirements</t>
    <phoneticPr fontId="6" type="noConversion"/>
  </si>
  <si>
    <t>%</t>
    <phoneticPr fontId="6" type="noConversion"/>
  </si>
  <si>
    <t>Coc V5 10% Efficiency Requirements(TIER 1)</t>
    <phoneticPr fontId="6" type="noConversion"/>
  </si>
  <si>
    <t>Coc V5 10% Efficiency Requirements(TIER 2)</t>
    <phoneticPr fontId="6" type="noConversion"/>
  </si>
  <si>
    <t>75mW</t>
    <phoneticPr fontId="6" type="noConversion"/>
  </si>
  <si>
    <t>Coc V5(5 POINT) Efficiency Requirements(TIER 1)</t>
    <phoneticPr fontId="6" type="noConversion"/>
  </si>
  <si>
    <t>CocV5(5 POINT) Efficiency Requirements(TIER 2)</t>
    <phoneticPr fontId="6" type="noConversion"/>
  </si>
  <si>
    <t>150mW</t>
    <phoneticPr fontId="6" type="noConversion"/>
  </si>
  <si>
    <t>Coc V5(4 POINT) TIER1 Efficiency Requirements:</t>
    <phoneticPr fontId="6" type="noConversion"/>
  </si>
  <si>
    <t>Energy Star 5 Efficiency Requirements:</t>
    <phoneticPr fontId="6" type="noConversion"/>
  </si>
  <si>
    <t>Coc V5(4 POINT) TIER2 Efficiency Requirements:</t>
    <phoneticPr fontId="6" type="noConversion"/>
  </si>
  <si>
    <t>Energy Star 6 Efficiency Requirements:</t>
    <phoneticPr fontId="6" type="noConversion"/>
  </si>
  <si>
    <t>W</t>
    <phoneticPr fontId="6" type="noConversion"/>
  </si>
  <si>
    <t>No Load Power:</t>
    <phoneticPr fontId="6" type="noConversion"/>
  </si>
  <si>
    <t>Output Power:</t>
    <phoneticPr fontId="6" type="noConversion"/>
  </si>
  <si>
    <t>A</t>
    <phoneticPr fontId="6" type="noConversion"/>
  </si>
  <si>
    <t>Output Current:</t>
    <phoneticPr fontId="6" type="noConversion"/>
  </si>
  <si>
    <t>V</t>
    <phoneticPr fontId="6" type="noConversion"/>
  </si>
  <si>
    <t>Output Voltage:</t>
    <phoneticPr fontId="6" type="noConversion"/>
  </si>
  <si>
    <t>Energy Star 6.0 Efficiency and Standby Power Requirement</t>
    <phoneticPr fontId="6" type="noConversion"/>
  </si>
  <si>
    <t>AP3785T</t>
    <phoneticPr fontId="1" type="noConversion"/>
  </si>
  <si>
    <t>AP3981B</t>
    <phoneticPr fontId="1" type="noConversion"/>
  </si>
  <si>
    <t>AP3981D2</t>
    <phoneticPr fontId="1" type="noConversion"/>
  </si>
  <si>
    <t>AP3981D2</t>
  </si>
  <si>
    <t>DIODES PSR AC/DC solution design tool  V1.0</t>
    <phoneticPr fontId="6" type="noConversion"/>
  </si>
  <si>
    <t>FB</t>
    <phoneticPr fontId="1" type="noConversion"/>
  </si>
  <si>
    <t>The voltage feedback from auxiliary winding</t>
  </si>
  <si>
    <t xml:space="preserve">Bus capacitor DC ripple voltage </t>
    <phoneticPr fontId="6" type="noConversion"/>
  </si>
  <si>
    <t>Forward voltage of output diode</t>
    <phoneticPr fontId="6" type="noConversion"/>
  </si>
  <si>
    <t>Maximum Flux density</t>
    <phoneticPr fontId="6" type="noConversion"/>
  </si>
  <si>
    <t>Output Rectifier Maximum Peak Inverse Voltage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</si>
</sst>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"/>
    <numFmt numFmtId="165" formatCode="0.0"/>
    <numFmt numFmtId="166" formatCode="0.0000"/>
    <numFmt numFmtId="167" formatCode="0.000_ "/>
    <numFmt numFmtId="168" formatCode="0_ "/>
    <numFmt numFmtId="169" formatCode="0.0_ "/>
  </numFmts>
  <fonts count="2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0"/>
      <name val="Malgun Gothic"/>
      <family val="2"/>
      <charset val="129"/>
    </font>
    <font>
      <b/>
      <vertAlign val="subscript"/>
      <sz val="10"/>
      <name val="Malgun Gothic"/>
      <family val="2"/>
      <charset val="129"/>
    </font>
    <font>
      <sz val="9"/>
      <name val="宋体"/>
      <family val="3"/>
      <charset val="134"/>
    </font>
    <font>
      <b/>
      <sz val="8"/>
      <name val="Malgun Gothic"/>
      <family val="2"/>
      <charset val="129"/>
    </font>
    <font>
      <b/>
      <sz val="10"/>
      <name val="Arial"/>
      <family val="2"/>
    </font>
    <font>
      <b/>
      <sz val="6"/>
      <name val="Malgun Gothic"/>
      <family val="2"/>
      <charset val="129"/>
    </font>
    <font>
      <b/>
      <sz val="8"/>
      <color theme="1"/>
      <name val="Malgun Gothic"/>
      <family val="2"/>
      <charset val="129"/>
    </font>
    <font>
      <b/>
      <sz val="9"/>
      <color theme="1"/>
      <name val="Malgun Gothic"/>
      <family val="2"/>
      <charset val="129"/>
    </font>
    <font>
      <sz val="11"/>
      <color theme="1"/>
      <name val="Calibri"/>
      <family val="3"/>
      <charset val="134"/>
      <scheme val="minor"/>
    </font>
    <font>
      <b/>
      <sz val="11"/>
      <color rgb="FFFFFF00"/>
      <name val="Calibri"/>
      <family val="3"/>
      <charset val="134"/>
      <scheme val="minor"/>
    </font>
    <font>
      <b/>
      <sz val="11"/>
      <color rgb="FFCC3300"/>
      <name val="Calibri"/>
      <family val="3"/>
      <charset val="134"/>
      <scheme val="minor"/>
    </font>
    <font>
      <b/>
      <sz val="18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name val="新細明體"/>
      <family val="1"/>
      <charset val="136"/>
    </font>
    <font>
      <sz val="10"/>
      <color indexed="8"/>
      <name val="宋体"/>
      <family val="3"/>
      <charset val="134"/>
    </font>
    <font>
      <sz val="8"/>
      <name val="Arial"/>
      <family val="2"/>
    </font>
    <font>
      <b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sz val="10"/>
      <color theme="1"/>
      <name val="Arial Unicode MS"/>
      <family val="2"/>
      <charset val="134"/>
    </font>
    <font>
      <b/>
      <sz val="11"/>
      <color theme="1"/>
      <name val="Malgun Gothic"/>
      <family val="2"/>
    </font>
    <font>
      <b/>
      <sz val="9"/>
      <color theme="1"/>
      <name val="Arial Unicode MS"/>
      <family val="2"/>
      <charset val="134"/>
    </font>
    <font>
      <b/>
      <sz val="10"/>
      <color theme="1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6" fillId="0" borderId="0">
      <alignment vertical="center"/>
    </xf>
    <xf numFmtId="0" fontId="17" fillId="0" borderId="0"/>
  </cellStyleXfs>
  <cellXfs count="151">
    <xf numFmtId="0" fontId="0" fillId="0" borderId="0" xfId="0"/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8" xfId="0" applyFont="1" applyFill="1" applyBorder="1" applyAlignment="1">
      <alignment vertical="top"/>
    </xf>
    <xf numFmtId="0" fontId="12" fillId="0" borderId="0" xfId="1">
      <alignment vertical="center"/>
    </xf>
    <xf numFmtId="10" fontId="12" fillId="6" borderId="12" xfId="1" applyNumberFormat="1" applyFill="1" applyBorder="1" applyAlignment="1">
      <alignment horizontal="center" vertical="center"/>
    </xf>
    <xf numFmtId="10" fontId="13" fillId="7" borderId="12" xfId="1" applyNumberFormat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left" vertical="center"/>
    </xf>
    <xf numFmtId="0" fontId="12" fillId="0" borderId="12" xfId="1" applyBorder="1">
      <alignment vertical="center"/>
    </xf>
    <xf numFmtId="0" fontId="12" fillId="0" borderId="0" xfId="1" applyFill="1">
      <alignment vertical="center"/>
    </xf>
    <xf numFmtId="0" fontId="12" fillId="0" borderId="0" xfId="1" applyFill="1" applyBorder="1" applyAlignment="1">
      <alignment horizontal="center" vertical="center"/>
    </xf>
    <xf numFmtId="10" fontId="12" fillId="0" borderId="0" xfId="1" applyNumberFormat="1" applyFill="1" applyBorder="1" applyAlignment="1">
      <alignment horizontal="center" vertical="center"/>
    </xf>
    <xf numFmtId="0" fontId="12" fillId="9" borderId="12" xfId="1" applyFill="1" applyBorder="1" applyAlignment="1">
      <alignment horizontal="center" vertical="center"/>
    </xf>
    <xf numFmtId="10" fontId="12" fillId="9" borderId="12" xfId="1" applyNumberFormat="1" applyFill="1" applyBorder="1" applyAlignment="1">
      <alignment horizontal="center" vertical="center"/>
    </xf>
    <xf numFmtId="10" fontId="12" fillId="5" borderId="12" xfId="1" applyNumberFormat="1" applyFill="1" applyBorder="1" applyAlignment="1">
      <alignment horizontal="center" vertical="center"/>
    </xf>
    <xf numFmtId="10" fontId="12" fillId="8" borderId="12" xfId="1" applyNumberFormat="1" applyFill="1" applyBorder="1" applyAlignment="1">
      <alignment horizontal="center" vertical="center"/>
    </xf>
    <xf numFmtId="164" fontId="12" fillId="10" borderId="12" xfId="1" applyNumberFormat="1" applyFill="1" applyBorder="1">
      <alignment vertical="center"/>
    </xf>
    <xf numFmtId="0" fontId="16" fillId="0" borderId="0" xfId="2">
      <alignment vertical="center"/>
    </xf>
    <xf numFmtId="0" fontId="18" fillId="0" borderId="12" xfId="3" applyFont="1" applyFill="1" applyBorder="1" applyAlignment="1"/>
    <xf numFmtId="0" fontId="18" fillId="0" borderId="12" xfId="3" applyFont="1" applyFill="1" applyBorder="1" applyAlignment="1">
      <alignment horizontal="center"/>
    </xf>
    <xf numFmtId="2" fontId="18" fillId="0" borderId="12" xfId="3" applyNumberFormat="1" applyFont="1" applyFill="1" applyBorder="1" applyAlignment="1">
      <alignment horizontal="left"/>
    </xf>
    <xf numFmtId="165" fontId="18" fillId="0" borderId="12" xfId="3" applyNumberFormat="1" applyFont="1" applyFill="1" applyBorder="1" applyAlignment="1">
      <alignment horizontal="left"/>
    </xf>
    <xf numFmtId="166" fontId="18" fillId="0" borderId="12" xfId="3" applyNumberFormat="1" applyFont="1" applyFill="1" applyBorder="1" applyAlignment="1">
      <alignment horizontal="left"/>
    </xf>
    <xf numFmtId="0" fontId="18" fillId="0" borderId="23" xfId="3" applyFont="1" applyFill="1" applyBorder="1" applyAlignment="1"/>
    <xf numFmtId="0" fontId="18" fillId="0" borderId="23" xfId="3" applyFont="1" applyFill="1" applyBorder="1" applyAlignment="1">
      <alignment horizontal="center"/>
    </xf>
    <xf numFmtId="2" fontId="18" fillId="0" borderId="23" xfId="3" applyNumberFormat="1" applyFont="1" applyFill="1" applyBorder="1" applyAlignment="1">
      <alignment horizontal="left"/>
    </xf>
    <xf numFmtId="165" fontId="18" fillId="0" borderId="23" xfId="3" applyNumberFormat="1" applyFont="1" applyFill="1" applyBorder="1" applyAlignment="1">
      <alignment horizontal="left"/>
    </xf>
    <xf numFmtId="166" fontId="18" fillId="0" borderId="23" xfId="3" applyNumberFormat="1" applyFont="1" applyFill="1" applyBorder="1" applyAlignment="1">
      <alignment horizontal="left"/>
    </xf>
    <xf numFmtId="0" fontId="18" fillId="0" borderId="24" xfId="3" applyFont="1" applyFill="1" applyBorder="1" applyAlignment="1"/>
    <xf numFmtId="0" fontId="18" fillId="0" borderId="24" xfId="3" applyFont="1" applyFill="1" applyBorder="1" applyAlignment="1">
      <alignment horizontal="center"/>
    </xf>
    <xf numFmtId="2" fontId="18" fillId="0" borderId="24" xfId="3" applyNumberFormat="1" applyFont="1" applyFill="1" applyBorder="1" applyAlignment="1">
      <alignment horizontal="left"/>
    </xf>
    <xf numFmtId="165" fontId="18" fillId="0" borderId="24" xfId="3" applyNumberFormat="1" applyFont="1" applyFill="1" applyBorder="1" applyAlignment="1">
      <alignment horizontal="left"/>
    </xf>
    <xf numFmtId="166" fontId="18" fillId="0" borderId="24" xfId="3" applyNumberFormat="1" applyFont="1" applyFill="1" applyBorder="1" applyAlignment="1">
      <alignment horizontal="left"/>
    </xf>
    <xf numFmtId="0" fontId="18" fillId="0" borderId="25" xfId="3" applyFont="1" applyFill="1" applyBorder="1" applyAlignment="1"/>
    <xf numFmtId="0" fontId="18" fillId="0" borderId="25" xfId="3" applyFont="1" applyFill="1" applyBorder="1" applyAlignment="1">
      <alignment horizontal="center"/>
    </xf>
    <xf numFmtId="2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left"/>
    </xf>
    <xf numFmtId="166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center"/>
    </xf>
    <xf numFmtId="14" fontId="18" fillId="0" borderId="12" xfId="3" quotePrefix="1" applyNumberFormat="1" applyFont="1" applyFill="1" applyBorder="1" applyAlignment="1">
      <alignment horizontal="center"/>
    </xf>
    <xf numFmtId="0" fontId="18" fillId="0" borderId="12" xfId="3" quotePrefix="1" applyFont="1" applyFill="1" applyBorder="1" applyAlignment="1">
      <alignment horizontal="center"/>
    </xf>
    <xf numFmtId="0" fontId="18" fillId="0" borderId="25" xfId="3" quotePrefix="1" applyFont="1" applyFill="1" applyBorder="1" applyAlignment="1">
      <alignment horizontal="center"/>
    </xf>
    <xf numFmtId="0" fontId="20" fillId="0" borderId="19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left" vertical="center"/>
    </xf>
    <xf numFmtId="0" fontId="20" fillId="0" borderId="20" xfId="3" applyFont="1" applyFill="1" applyBorder="1" applyAlignment="1">
      <alignment horizontal="center" vertical="center"/>
    </xf>
    <xf numFmtId="0" fontId="20" fillId="0" borderId="26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165" fontId="20" fillId="0" borderId="23" xfId="3" applyNumberFormat="1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/>
    </xf>
    <xf numFmtId="0" fontId="20" fillId="0" borderId="23" xfId="3" applyFont="1" applyFill="1" applyBorder="1" applyAlignment="1"/>
    <xf numFmtId="0" fontId="20" fillId="0" borderId="24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 wrapText="1"/>
    </xf>
    <xf numFmtId="165" fontId="20" fillId="0" borderId="24" xfId="3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centerContinuous"/>
    </xf>
    <xf numFmtId="165" fontId="20" fillId="0" borderId="0" xfId="3" applyNumberFormat="1" applyFont="1" applyFill="1" applyAlignment="1">
      <alignment horizontal="centerContinuous"/>
    </xf>
    <xf numFmtId="0" fontId="16" fillId="0" borderId="0" xfId="2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/>
    <xf numFmtId="164" fontId="2" fillId="8" borderId="12" xfId="0" applyNumberFormat="1" applyFont="1" applyFill="1" applyBorder="1" applyAlignment="1" applyProtection="1">
      <alignment horizontal="center"/>
      <protection locked="0"/>
    </xf>
    <xf numFmtId="10" fontId="2" fillId="8" borderId="12" xfId="0" applyNumberFormat="1" applyFont="1" applyFill="1" applyBorder="1" applyAlignment="1" applyProtection="1">
      <alignment horizontal="center"/>
      <protection locked="0"/>
    </xf>
    <xf numFmtId="169" fontId="2" fillId="12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3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vertical="top" wrapText="1"/>
    </xf>
    <xf numFmtId="167" fontId="2" fillId="3" borderId="0" xfId="0" applyNumberFormat="1" applyFont="1" applyFill="1" applyBorder="1"/>
    <xf numFmtId="0" fontId="23" fillId="3" borderId="0" xfId="0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3" fillId="0" borderId="12" xfId="0" applyFont="1" applyFill="1" applyBorder="1" applyAlignment="1" applyProtection="1">
      <alignment horizontal="left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left" vertical="center"/>
      <protection hidden="1"/>
    </xf>
    <xf numFmtId="164" fontId="2" fillId="8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8" fontId="2" fillId="8" borderId="12" xfId="0" applyNumberFormat="1" applyFont="1" applyFill="1" applyBorder="1" applyAlignment="1" applyProtection="1">
      <alignment horizontal="center"/>
      <protection hidden="1"/>
    </xf>
    <xf numFmtId="0" fontId="2" fillId="12" borderId="27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11" borderId="20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2" fillId="11" borderId="20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 horizontal="left"/>
      <protection hidden="1"/>
    </xf>
    <xf numFmtId="0" fontId="2" fillId="11" borderId="19" xfId="0" applyFont="1" applyFill="1" applyBorder="1" applyAlignment="1" applyProtection="1">
      <alignment horizontal="left"/>
      <protection hidden="1"/>
    </xf>
    <xf numFmtId="164" fontId="2" fillId="8" borderId="9" xfId="0" applyNumberFormat="1" applyFont="1" applyFill="1" applyBorder="1" applyAlignment="1" applyProtection="1">
      <alignment horizontal="center"/>
      <protection hidden="1"/>
    </xf>
    <xf numFmtId="164" fontId="24" fillId="8" borderId="11" xfId="0" applyNumberFormat="1" applyFont="1" applyFill="1" applyBorder="1" applyAlignment="1" applyProtection="1">
      <alignment horizontal="center"/>
      <protection hidden="1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11" borderId="28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2" fillId="5" borderId="20" xfId="1" applyFill="1" applyBorder="1" applyAlignment="1">
      <alignment horizontal="center" vertical="center"/>
    </xf>
    <xf numFmtId="0" fontId="12" fillId="5" borderId="19" xfId="1" applyFill="1" applyBorder="1" applyAlignment="1">
      <alignment horizontal="center" vertical="center"/>
    </xf>
    <xf numFmtId="0" fontId="12" fillId="9" borderId="20" xfId="1" applyFill="1" applyBorder="1" applyAlignment="1">
      <alignment horizontal="center" vertical="center"/>
    </xf>
    <xf numFmtId="0" fontId="12" fillId="9" borderId="19" xfId="1" applyFill="1" applyBorder="1" applyAlignment="1">
      <alignment horizontal="center" vertic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0" borderId="20" xfId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12" fillId="0" borderId="19" xfId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horizontal="center" vertical="center"/>
    </xf>
    <xf numFmtId="0" fontId="16" fillId="0" borderId="0" xfId="2" applyAlignment="1">
      <alignment horizontal="center"/>
    </xf>
    <xf numFmtId="0" fontId="16" fillId="0" borderId="22" xfId="2" applyBorder="1" applyAlignment="1">
      <alignment horizontal="center"/>
    </xf>
    <xf numFmtId="0" fontId="16" fillId="0" borderId="22" xfId="2" applyBorder="1" applyAlignment="1">
      <alignment horizontal="center" vertical="center" wrapText="1"/>
    </xf>
    <xf numFmtId="0" fontId="16" fillId="0" borderId="22" xfId="2" applyBorder="1" applyAlignment="1">
      <alignment horizontal="center" vertical="center"/>
    </xf>
  </cellXfs>
  <cellStyles count="4">
    <cellStyle name="Normal" xfId="0" builtinId="0"/>
    <cellStyle name="一般_Sheet1" xfId="3"/>
    <cellStyle name="常规 2" xfId="1"/>
    <cellStyle name="常规 3" xfId="2"/>
  </cellStyles>
  <dxfs count="0"/>
  <tableStyles count="0" defaultTableStyle="TableStyleMedium2" defaultPivotStyle="PivotStyleMedium9"/>
  <colors>
    <mruColors>
      <color rgb="FFFFFF99"/>
      <color rgb="FF7DBEF3"/>
      <color rgb="FF69B3F1"/>
      <color rgb="FF10F055"/>
      <color rgb="FFCCFFFF"/>
      <color rgb="FF00FFFF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142876</xdr:rowOff>
    </xdr:from>
    <xdr:to>
      <xdr:col>2</xdr:col>
      <xdr:colOff>800285</xdr:colOff>
      <xdr:row>3</xdr:row>
      <xdr:rowOff>145542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8572" r="1817" b="14285"/>
        <a:stretch/>
      </xdr:blipFill>
      <xdr:spPr>
        <a:xfrm>
          <a:off x="19051" y="311395"/>
          <a:ext cx="2047142" cy="50822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47</xdr:row>
      <xdr:rowOff>82157</xdr:rowOff>
    </xdr:from>
    <xdr:to>
      <xdr:col>9</xdr:col>
      <xdr:colOff>398947</xdr:colOff>
      <xdr:row>62</xdr:row>
      <xdr:rowOff>27618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8264132"/>
          <a:ext cx="4587830" cy="3136336"/>
        </a:xfrm>
        <a:prstGeom prst="rect">
          <a:avLst/>
        </a:prstGeom>
      </xdr:spPr>
    </xdr:pic>
    <xdr:clientData/>
  </xdr:twoCellAnchor>
  <xdr:twoCellAnchor editAs="oneCell">
    <xdr:from>
      <xdr:col>8</xdr:col>
      <xdr:colOff>486837</xdr:colOff>
      <xdr:row>63</xdr:row>
      <xdr:rowOff>31749</xdr:rowOff>
    </xdr:from>
    <xdr:to>
      <xdr:col>13</xdr:col>
      <xdr:colOff>514354</xdr:colOff>
      <xdr:row>75</xdr:row>
      <xdr:rowOff>158749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4" y="11556999"/>
          <a:ext cx="356235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AP3781/AP3781%20XF&#65325;R%20auto%20design%2034V1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re"/>
      <sheetName val="Sheet3"/>
    </sheetNames>
    <sheetDataSet>
      <sheetData sheetId="0">
        <row r="2">
          <cell r="B2">
            <v>90</v>
          </cell>
          <cell r="F2">
            <v>2.5014705882352941</v>
          </cell>
        </row>
        <row r="5">
          <cell r="B5">
            <v>1.2</v>
          </cell>
          <cell r="F5">
            <v>0.41039751838235294</v>
          </cell>
        </row>
        <row r="6">
          <cell r="B6">
            <v>0.5</v>
          </cell>
        </row>
        <row r="7">
          <cell r="B7">
            <v>0.9</v>
          </cell>
          <cell r="F7">
            <v>35</v>
          </cell>
        </row>
        <row r="8">
          <cell r="F8">
            <v>13.991769547325102</v>
          </cell>
        </row>
        <row r="9">
          <cell r="B9">
            <v>60</v>
          </cell>
        </row>
        <row r="11">
          <cell r="B11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2"/>
  <sheetViews>
    <sheetView tabSelected="1" topLeftCell="B43" zoomScaleNormal="100" workbookViewId="0">
      <selection activeCell="C68" sqref="C68"/>
    </sheetView>
  </sheetViews>
  <sheetFormatPr defaultRowHeight="15"/>
  <cols>
    <col min="1" max="1" width="6.140625" customWidth="1"/>
    <col min="2" max="2" width="16.5703125" customWidth="1"/>
    <col min="3" max="3" width="13.140625" customWidth="1"/>
    <col min="4" max="4" width="16.42578125" customWidth="1"/>
    <col min="5" max="5" width="4.28515625" customWidth="1"/>
    <col min="6" max="6" width="15.7109375" customWidth="1"/>
    <col min="7" max="7" width="13.7109375" customWidth="1"/>
    <col min="8" max="8" width="16.42578125" customWidth="1"/>
    <col min="9" max="9" width="9" customWidth="1"/>
    <col min="10" max="10" width="10.28515625" customWidth="1"/>
    <col min="21" max="21" width="15.140625" customWidth="1"/>
    <col min="22" max="22" width="13.7109375" customWidth="1"/>
  </cols>
  <sheetData>
    <row r="4" spans="2:9" ht="16.5">
      <c r="D4" s="127" t="s">
        <v>545</v>
      </c>
      <c r="E4" s="127"/>
      <c r="F4" s="127"/>
      <c r="G4" s="127"/>
      <c r="H4" s="127"/>
      <c r="I4" s="127"/>
    </row>
    <row r="5" spans="2:9" ht="15.75" thickBot="1"/>
    <row r="6" spans="2:9" ht="17.25" thickBot="1">
      <c r="B6" s="128" t="s">
        <v>50</v>
      </c>
      <c r="C6" s="129"/>
      <c r="D6" s="129"/>
      <c r="E6" s="129"/>
      <c r="F6" s="129"/>
      <c r="G6" s="129"/>
      <c r="H6" s="130"/>
      <c r="I6" s="1"/>
    </row>
    <row r="7" spans="2:9" ht="16.5" customHeight="1">
      <c r="B7" s="131" t="s">
        <v>1</v>
      </c>
      <c r="C7" s="132"/>
      <c r="D7" s="132"/>
      <c r="E7" s="132"/>
      <c r="F7" s="132"/>
      <c r="G7" s="132"/>
      <c r="H7" s="2" t="s">
        <v>2</v>
      </c>
    </row>
    <row r="8" spans="2:9">
      <c r="B8" s="113" t="s">
        <v>3</v>
      </c>
      <c r="C8" s="114"/>
      <c r="D8" s="114"/>
      <c r="E8" s="114"/>
      <c r="F8" s="114"/>
      <c r="G8" s="114"/>
      <c r="H8" s="3" t="s">
        <v>4</v>
      </c>
    </row>
    <row r="9" spans="2:9">
      <c r="B9" s="113" t="s">
        <v>5</v>
      </c>
      <c r="C9" s="114"/>
      <c r="D9" s="114"/>
      <c r="E9" s="114"/>
      <c r="F9" s="114"/>
      <c r="G9" s="114"/>
      <c r="H9" s="3" t="s">
        <v>6</v>
      </c>
    </row>
    <row r="10" spans="2:9">
      <c r="B10" s="113" t="s">
        <v>548</v>
      </c>
      <c r="C10" s="114"/>
      <c r="D10" s="114"/>
      <c r="E10" s="114"/>
      <c r="F10" s="114"/>
      <c r="G10" s="114"/>
      <c r="H10" s="3" t="s">
        <v>7</v>
      </c>
    </row>
    <row r="11" spans="2:9">
      <c r="B11" s="113" t="s">
        <v>8</v>
      </c>
      <c r="C11" s="114"/>
      <c r="D11" s="114"/>
      <c r="E11" s="114"/>
      <c r="F11" s="114"/>
      <c r="G11" s="114"/>
      <c r="H11" s="3" t="s">
        <v>9</v>
      </c>
    </row>
    <row r="12" spans="2:9">
      <c r="B12" s="113" t="s">
        <v>549</v>
      </c>
      <c r="C12" s="114"/>
      <c r="D12" s="114"/>
      <c r="E12" s="114"/>
      <c r="F12" s="114"/>
      <c r="G12" s="114"/>
      <c r="H12" s="3" t="s">
        <v>10</v>
      </c>
    </row>
    <row r="13" spans="2:9">
      <c r="B13" s="113" t="s">
        <v>11</v>
      </c>
      <c r="C13" s="114"/>
      <c r="D13" s="114"/>
      <c r="E13" s="114"/>
      <c r="F13" s="114"/>
      <c r="G13" s="114"/>
      <c r="H13" s="3" t="s">
        <v>47</v>
      </c>
    </row>
    <row r="14" spans="2:9">
      <c r="B14" s="113" t="s">
        <v>12</v>
      </c>
      <c r="C14" s="114"/>
      <c r="D14" s="114"/>
      <c r="E14" s="114"/>
      <c r="F14" s="114"/>
      <c r="G14" s="114"/>
      <c r="H14" s="3" t="s">
        <v>13</v>
      </c>
    </row>
    <row r="15" spans="2:9">
      <c r="B15" s="113" t="s">
        <v>14</v>
      </c>
      <c r="C15" s="114"/>
      <c r="D15" s="114"/>
      <c r="E15" s="114"/>
      <c r="F15" s="114"/>
      <c r="G15" s="114"/>
      <c r="H15" s="3" t="s">
        <v>15</v>
      </c>
    </row>
    <row r="16" spans="2:9">
      <c r="B16" s="113" t="s">
        <v>85</v>
      </c>
      <c r="C16" s="114"/>
      <c r="D16" s="114"/>
      <c r="E16" s="114"/>
      <c r="F16" s="114"/>
      <c r="G16" s="114"/>
      <c r="H16" s="3" t="s">
        <v>16</v>
      </c>
    </row>
    <row r="17" spans="2:8">
      <c r="B17" s="113" t="s">
        <v>17</v>
      </c>
      <c r="C17" s="114"/>
      <c r="D17" s="114"/>
      <c r="E17" s="114"/>
      <c r="F17" s="114"/>
      <c r="G17" s="114"/>
      <c r="H17" s="3" t="s">
        <v>51</v>
      </c>
    </row>
    <row r="18" spans="2:8">
      <c r="B18" s="113" t="s">
        <v>18</v>
      </c>
      <c r="C18" s="114"/>
      <c r="D18" s="114"/>
      <c r="E18" s="114"/>
      <c r="F18" s="114"/>
      <c r="G18" s="114"/>
      <c r="H18" s="3" t="s">
        <v>19</v>
      </c>
    </row>
    <row r="19" spans="2:8">
      <c r="B19" s="113" t="s">
        <v>20</v>
      </c>
      <c r="C19" s="114"/>
      <c r="D19" s="114"/>
      <c r="E19" s="114"/>
      <c r="F19" s="114"/>
      <c r="G19" s="114"/>
      <c r="H19" s="3" t="s">
        <v>21</v>
      </c>
    </row>
    <row r="20" spans="2:8">
      <c r="B20" s="113" t="s">
        <v>64</v>
      </c>
      <c r="C20" s="114"/>
      <c r="D20" s="114"/>
      <c r="E20" s="114"/>
      <c r="F20" s="114"/>
      <c r="G20" s="114"/>
      <c r="H20" s="3" t="s">
        <v>65</v>
      </c>
    </row>
    <row r="21" spans="2:8">
      <c r="B21" s="113" t="s">
        <v>22</v>
      </c>
      <c r="C21" s="114"/>
      <c r="D21" s="114"/>
      <c r="E21" s="114"/>
      <c r="F21" s="114"/>
      <c r="G21" s="114"/>
      <c r="H21" s="3" t="s">
        <v>67</v>
      </c>
    </row>
    <row r="22" spans="2:8">
      <c r="B22" s="113" t="s">
        <v>23</v>
      </c>
      <c r="C22" s="114"/>
      <c r="D22" s="114"/>
      <c r="E22" s="114"/>
      <c r="F22" s="114"/>
      <c r="G22" s="114"/>
      <c r="H22" s="3" t="s">
        <v>68</v>
      </c>
    </row>
    <row r="23" spans="2:8">
      <c r="B23" s="113" t="s">
        <v>24</v>
      </c>
      <c r="C23" s="114"/>
      <c r="D23" s="114"/>
      <c r="E23" s="114"/>
      <c r="F23" s="114"/>
      <c r="G23" s="114"/>
      <c r="H23" s="3" t="s">
        <v>69</v>
      </c>
    </row>
    <row r="24" spans="2:8">
      <c r="B24" s="113" t="s">
        <v>25</v>
      </c>
      <c r="C24" s="114"/>
      <c r="D24" s="114"/>
      <c r="E24" s="114"/>
      <c r="F24" s="114"/>
      <c r="G24" s="114"/>
      <c r="H24" s="3" t="s">
        <v>70</v>
      </c>
    </row>
    <row r="25" spans="2:8">
      <c r="B25" s="113" t="s">
        <v>53</v>
      </c>
      <c r="C25" s="114"/>
      <c r="D25" s="114"/>
      <c r="E25" s="114"/>
      <c r="F25" s="114"/>
      <c r="G25" s="114"/>
      <c r="H25" s="3" t="s">
        <v>54</v>
      </c>
    </row>
    <row r="26" spans="2:8">
      <c r="B26" s="113" t="s">
        <v>52</v>
      </c>
      <c r="C26" s="114"/>
      <c r="D26" s="114"/>
      <c r="E26" s="114"/>
      <c r="F26" s="114"/>
      <c r="G26" s="114"/>
      <c r="H26" s="3" t="s">
        <v>55</v>
      </c>
    </row>
    <row r="27" spans="2:8">
      <c r="B27" s="113" t="s">
        <v>26</v>
      </c>
      <c r="C27" s="114"/>
      <c r="D27" s="114"/>
      <c r="E27" s="114"/>
      <c r="F27" s="114"/>
      <c r="G27" s="114"/>
      <c r="H27" s="3" t="s">
        <v>71</v>
      </c>
    </row>
    <row r="28" spans="2:8">
      <c r="B28" s="113" t="s">
        <v>27</v>
      </c>
      <c r="C28" s="114"/>
      <c r="D28" s="114"/>
      <c r="E28" s="114"/>
      <c r="F28" s="114"/>
      <c r="G28" s="114"/>
      <c r="H28" s="3" t="s">
        <v>72</v>
      </c>
    </row>
    <row r="29" spans="2:8">
      <c r="B29" s="113" t="s">
        <v>28</v>
      </c>
      <c r="C29" s="114"/>
      <c r="D29" s="114"/>
      <c r="E29" s="114"/>
      <c r="F29" s="114"/>
      <c r="G29" s="114"/>
      <c r="H29" s="3" t="s">
        <v>73</v>
      </c>
    </row>
    <row r="30" spans="2:8">
      <c r="B30" s="113" t="s">
        <v>29</v>
      </c>
      <c r="C30" s="114"/>
      <c r="D30" s="114"/>
      <c r="E30" s="114"/>
      <c r="F30" s="114"/>
      <c r="G30" s="114"/>
      <c r="H30" s="3" t="s">
        <v>30</v>
      </c>
    </row>
    <row r="31" spans="2:8">
      <c r="B31" s="113" t="s">
        <v>31</v>
      </c>
      <c r="C31" s="114"/>
      <c r="D31" s="114"/>
      <c r="E31" s="114"/>
      <c r="F31" s="114"/>
      <c r="G31" s="114"/>
      <c r="H31" s="3" t="s">
        <v>32</v>
      </c>
    </row>
    <row r="32" spans="2:8">
      <c r="B32" s="113" t="s">
        <v>33</v>
      </c>
      <c r="C32" s="114"/>
      <c r="D32" s="114"/>
      <c r="E32" s="114"/>
      <c r="F32" s="114"/>
      <c r="G32" s="114"/>
      <c r="H32" s="3" t="s">
        <v>34</v>
      </c>
    </row>
    <row r="33" spans="1:8">
      <c r="B33" s="113" t="s">
        <v>35</v>
      </c>
      <c r="C33" s="114"/>
      <c r="D33" s="114"/>
      <c r="E33" s="114"/>
      <c r="F33" s="114"/>
      <c r="G33" s="114"/>
      <c r="H33" s="3" t="s">
        <v>36</v>
      </c>
    </row>
    <row r="34" spans="1:8">
      <c r="B34" s="113" t="s">
        <v>550</v>
      </c>
      <c r="C34" s="114"/>
      <c r="D34" s="114"/>
      <c r="E34" s="114"/>
      <c r="F34" s="114"/>
      <c r="G34" s="114"/>
      <c r="H34" s="3" t="s">
        <v>80</v>
      </c>
    </row>
    <row r="35" spans="1:8">
      <c r="B35" s="113" t="s">
        <v>37</v>
      </c>
      <c r="C35" s="114"/>
      <c r="D35" s="114"/>
      <c r="E35" s="114"/>
      <c r="F35" s="114"/>
      <c r="G35" s="114"/>
      <c r="H35" s="3" t="s">
        <v>48</v>
      </c>
    </row>
    <row r="36" spans="1:8">
      <c r="B36" s="113" t="s">
        <v>551</v>
      </c>
      <c r="C36" s="114"/>
      <c r="D36" s="114"/>
      <c r="E36" s="114"/>
      <c r="F36" s="114"/>
      <c r="G36" s="114"/>
      <c r="H36" s="3" t="s">
        <v>49</v>
      </c>
    </row>
    <row r="37" spans="1:8">
      <c r="B37" s="113" t="s">
        <v>38</v>
      </c>
      <c r="C37" s="114"/>
      <c r="D37" s="114"/>
      <c r="E37" s="114"/>
      <c r="F37" s="114"/>
      <c r="G37" s="114"/>
      <c r="H37" s="3" t="s">
        <v>86</v>
      </c>
    </row>
    <row r="38" spans="1:8">
      <c r="B38" s="113" t="s">
        <v>56</v>
      </c>
      <c r="C38" s="114"/>
      <c r="D38" s="114"/>
      <c r="E38" s="114"/>
      <c r="F38" s="114"/>
      <c r="G38" s="114"/>
      <c r="H38" s="3" t="s">
        <v>57</v>
      </c>
    </row>
    <row r="39" spans="1:8">
      <c r="B39" s="111" t="s">
        <v>547</v>
      </c>
      <c r="C39" s="112"/>
      <c r="D39" s="112"/>
      <c r="E39" s="112"/>
      <c r="F39" s="112"/>
      <c r="G39" s="112"/>
      <c r="H39" s="3" t="s">
        <v>546</v>
      </c>
    </row>
    <row r="40" spans="1:8">
      <c r="B40" s="113" t="s">
        <v>60</v>
      </c>
      <c r="C40" s="114"/>
      <c r="D40" s="114"/>
      <c r="E40" s="114"/>
      <c r="F40" s="114"/>
      <c r="G40" s="114"/>
      <c r="H40" s="3" t="s">
        <v>58</v>
      </c>
    </row>
    <row r="41" spans="1:8">
      <c r="B41" s="113" t="s">
        <v>61</v>
      </c>
      <c r="C41" s="114"/>
      <c r="D41" s="114"/>
      <c r="E41" s="114"/>
      <c r="F41" s="114"/>
      <c r="G41" s="114"/>
      <c r="H41" s="3" t="s">
        <v>59</v>
      </c>
    </row>
    <row r="42" spans="1:8">
      <c r="B42" s="113" t="s">
        <v>39</v>
      </c>
      <c r="C42" s="114"/>
      <c r="D42" s="114"/>
      <c r="E42" s="114"/>
      <c r="F42" s="114"/>
      <c r="G42" s="114"/>
      <c r="H42" s="3" t="s">
        <v>0</v>
      </c>
    </row>
    <row r="43" spans="1:8">
      <c r="B43" s="113" t="s">
        <v>81</v>
      </c>
      <c r="C43" s="114"/>
      <c r="D43" s="114"/>
      <c r="E43" s="114"/>
      <c r="F43" s="114"/>
      <c r="G43" s="114"/>
      <c r="H43" s="3" t="s">
        <v>82</v>
      </c>
    </row>
    <row r="44" spans="1:8">
      <c r="B44" s="113" t="s">
        <v>40</v>
      </c>
      <c r="C44" s="114"/>
      <c r="D44" s="114"/>
      <c r="E44" s="114"/>
      <c r="F44" s="114"/>
      <c r="G44" s="114"/>
      <c r="H44" s="3" t="s">
        <v>79</v>
      </c>
    </row>
    <row r="45" spans="1:8">
      <c r="B45" s="113" t="s">
        <v>41</v>
      </c>
      <c r="C45" s="114"/>
      <c r="D45" s="114"/>
      <c r="E45" s="114"/>
      <c r="F45" s="114"/>
      <c r="G45" s="114"/>
      <c r="H45" s="3" t="s">
        <v>42</v>
      </c>
    </row>
    <row r="46" spans="1:8" ht="15.75" thickBot="1">
      <c r="B46" s="125" t="s">
        <v>43</v>
      </c>
      <c r="C46" s="126"/>
      <c r="D46" s="126"/>
      <c r="E46" s="126"/>
      <c r="F46" s="126"/>
      <c r="G46" s="126"/>
      <c r="H46" s="4" t="s">
        <v>44</v>
      </c>
    </row>
    <row r="48" spans="1:8" ht="17.25" thickBot="1">
      <c r="A48" s="5"/>
    </row>
    <row r="49" spans="1:20" ht="17.25" thickBot="1">
      <c r="A49" s="5"/>
      <c r="B49" s="108" t="s">
        <v>442</v>
      </c>
      <c r="C49" s="119" t="s">
        <v>87</v>
      </c>
      <c r="D49" s="120"/>
      <c r="N49" s="5"/>
      <c r="O49" s="5"/>
      <c r="P49" s="5"/>
      <c r="Q49" s="5"/>
      <c r="R49" s="5"/>
      <c r="S49" s="5"/>
      <c r="T49" s="5"/>
    </row>
    <row r="50" spans="1:20" ht="16.5">
      <c r="A50" s="5"/>
      <c r="B50" s="109"/>
      <c r="C50" s="109"/>
      <c r="D50" s="10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6.5">
      <c r="A51" s="5"/>
      <c r="B51" s="110" t="s">
        <v>66</v>
      </c>
      <c r="C51" s="121" t="s">
        <v>544</v>
      </c>
      <c r="D51" s="121"/>
      <c r="E51" s="5"/>
      <c r="N51" s="5"/>
      <c r="O51" s="5"/>
      <c r="P51" s="5"/>
      <c r="Q51" s="5"/>
      <c r="R51" s="5"/>
      <c r="S51" s="5"/>
      <c r="T51" s="5"/>
    </row>
    <row r="52" spans="1:20" ht="16.5">
      <c r="A52" s="5"/>
      <c r="B52" s="122" t="s">
        <v>63</v>
      </c>
      <c r="C52" s="123"/>
      <c r="D52" s="123"/>
      <c r="E52" s="5"/>
      <c r="N52" s="5"/>
      <c r="O52" s="5"/>
      <c r="P52" s="5"/>
      <c r="Q52" s="5"/>
      <c r="R52" s="5"/>
      <c r="S52" s="5"/>
      <c r="T52" s="5"/>
    </row>
    <row r="53" spans="1:20" ht="16.5">
      <c r="A53" s="5"/>
      <c r="B53" s="101" t="s">
        <v>437</v>
      </c>
      <c r="C53" s="102">
        <f>VLOOKUP(C51,IC资料!E2:K10,2,0)</f>
        <v>180</v>
      </c>
      <c r="D53" s="103" t="s">
        <v>439</v>
      </c>
      <c r="E53" s="5"/>
      <c r="N53" s="5"/>
      <c r="O53" s="5"/>
      <c r="P53" s="5"/>
      <c r="Q53" s="5"/>
      <c r="R53" s="5"/>
      <c r="S53" s="5"/>
      <c r="T53" s="5"/>
    </row>
    <row r="54" spans="1:20" ht="16.5">
      <c r="A54" s="5"/>
      <c r="B54" s="101" t="s">
        <v>487</v>
      </c>
      <c r="C54" s="102">
        <f>VLOOKUP(C51,IC资料!E2:K10,3,0)</f>
        <v>630</v>
      </c>
      <c r="D54" s="103" t="s">
        <v>494</v>
      </c>
      <c r="E54" s="5"/>
      <c r="N54" s="5"/>
      <c r="O54" s="5"/>
      <c r="P54" s="5"/>
      <c r="Q54" s="5"/>
      <c r="R54" s="5"/>
      <c r="S54" s="5"/>
      <c r="T54" s="5"/>
    </row>
    <row r="55" spans="1:20" ht="16.5">
      <c r="A55" s="5"/>
      <c r="B55" s="101" t="s">
        <v>488</v>
      </c>
      <c r="C55" s="102">
        <f>VLOOKUP(C51,IC资料!E2:K10,4,0)</f>
        <v>2.4</v>
      </c>
      <c r="D55" s="103" t="s">
        <v>495</v>
      </c>
      <c r="E55" s="5"/>
      <c r="N55" s="5"/>
      <c r="O55" s="5"/>
      <c r="P55" s="5"/>
      <c r="Q55" s="5"/>
      <c r="R55" s="5"/>
      <c r="S55" s="5"/>
      <c r="T55" s="5"/>
    </row>
    <row r="56" spans="1:20" ht="16.5">
      <c r="A56" s="5"/>
      <c r="B56" s="101" t="s">
        <v>489</v>
      </c>
      <c r="C56" s="102">
        <f>VLOOKUP(C51,IC资料!E2:K10,5,0)</f>
        <v>1.35</v>
      </c>
      <c r="D56" s="103" t="s">
        <v>496</v>
      </c>
      <c r="E56" s="5"/>
      <c r="N56" s="5"/>
      <c r="O56" s="5"/>
      <c r="P56" s="5"/>
      <c r="Q56" s="5"/>
      <c r="R56" s="5"/>
      <c r="S56" s="5"/>
      <c r="T56" s="5"/>
    </row>
    <row r="57" spans="1:20" ht="16.5">
      <c r="A57" s="5"/>
      <c r="B57" s="101" t="s">
        <v>490</v>
      </c>
      <c r="C57" s="102" t="str">
        <f>VLOOKUP(C51,IC资料!E2:K10,6,0)</f>
        <v>Ratio 85%</v>
      </c>
      <c r="D57" s="103" t="s">
        <v>497</v>
      </c>
      <c r="E57" s="5"/>
      <c r="N57" s="5"/>
      <c r="O57" s="5"/>
      <c r="P57" s="5"/>
      <c r="Q57" s="5"/>
      <c r="R57" s="5"/>
      <c r="S57" s="5"/>
      <c r="T57" s="5"/>
    </row>
    <row r="58" spans="1:20" ht="16.5">
      <c r="A58" s="5"/>
      <c r="B58" s="101" t="s">
        <v>491</v>
      </c>
      <c r="C58" s="102">
        <f>VLOOKUP(C51,IC资料!E2:K10,7,0)</f>
        <v>0.5</v>
      </c>
      <c r="D58" s="103"/>
      <c r="E58" s="5"/>
      <c r="N58" s="5"/>
      <c r="O58" s="5"/>
      <c r="P58" s="5"/>
      <c r="Q58" s="5"/>
      <c r="R58" s="5"/>
      <c r="S58" s="5"/>
      <c r="T58" s="5"/>
    </row>
    <row r="59" spans="1:20" ht="16.5">
      <c r="A59" s="5"/>
      <c r="B59" s="101" t="s">
        <v>492</v>
      </c>
      <c r="C59" s="102">
        <f>VLOOKUP(C51,IC资料!E2:N10,8,0)</f>
        <v>16</v>
      </c>
      <c r="D59" s="103" t="s">
        <v>497</v>
      </c>
      <c r="E59" s="5"/>
      <c r="N59" s="5"/>
      <c r="O59" s="5"/>
      <c r="P59" s="5"/>
      <c r="Q59" s="5"/>
      <c r="R59" s="5"/>
      <c r="S59" s="5"/>
      <c r="T59" s="5"/>
    </row>
    <row r="60" spans="1:20" ht="16.5">
      <c r="A60" s="5"/>
      <c r="B60" s="101" t="s">
        <v>498</v>
      </c>
      <c r="C60" s="102">
        <f>VLOOKUP(C51,IC资料!E2:N10,9,0)</f>
        <v>80</v>
      </c>
      <c r="D60" s="103" t="s">
        <v>493</v>
      </c>
      <c r="E60" s="5"/>
      <c r="N60" s="5"/>
      <c r="O60" s="5"/>
      <c r="P60" s="5"/>
      <c r="Q60" s="5"/>
      <c r="R60" s="5"/>
      <c r="S60" s="5"/>
      <c r="T60" s="5"/>
    </row>
    <row r="61" spans="1:20" ht="16.5">
      <c r="A61" s="5"/>
      <c r="B61" s="77"/>
      <c r="C61" s="76"/>
      <c r="D61" s="75"/>
      <c r="E61" s="5"/>
      <c r="N61" s="5"/>
      <c r="O61" s="5"/>
      <c r="P61" s="5"/>
      <c r="Q61" s="5"/>
      <c r="R61" s="5"/>
      <c r="S61" s="5"/>
      <c r="T61" s="5"/>
    </row>
    <row r="62" spans="1:20" ht="16.5">
      <c r="A62" s="5"/>
      <c r="B62" s="77"/>
      <c r="C62" s="76"/>
      <c r="D62" s="75"/>
      <c r="E62" s="5"/>
      <c r="N62" s="5"/>
      <c r="O62" s="5"/>
      <c r="P62" s="5"/>
      <c r="Q62" s="5"/>
      <c r="R62" s="5"/>
      <c r="S62" s="5"/>
      <c r="T62" s="5"/>
    </row>
    <row r="63" spans="1:20" ht="16.5">
      <c r="A63" s="5"/>
      <c r="E63" s="5"/>
      <c r="F63" s="100"/>
      <c r="G63" s="100"/>
      <c r="H63" s="100"/>
      <c r="I63" s="5"/>
      <c r="J63" s="19"/>
      <c r="K63" s="19"/>
      <c r="L63" s="19"/>
      <c r="M63" s="19"/>
      <c r="N63" s="19"/>
      <c r="O63" s="5"/>
      <c r="P63" s="5"/>
      <c r="Q63" s="5"/>
      <c r="R63" s="5"/>
      <c r="S63" s="5"/>
      <c r="T63" s="5"/>
    </row>
    <row r="64" spans="1:20" ht="16.5">
      <c r="A64" s="5"/>
      <c r="B64" s="116" t="s">
        <v>484</v>
      </c>
      <c r="C64" s="117"/>
      <c r="D64" s="118"/>
      <c r="E64" s="5"/>
      <c r="F64" s="116" t="s">
        <v>458</v>
      </c>
      <c r="G64" s="124"/>
      <c r="H64" s="118"/>
      <c r="I64" s="5"/>
      <c r="J64" s="90"/>
      <c r="K64" s="115"/>
      <c r="L64" s="115"/>
      <c r="M64" s="115"/>
      <c r="N64" s="19"/>
      <c r="O64" s="5"/>
    </row>
    <row r="65" spans="1:15" ht="16.5">
      <c r="A65" s="5"/>
      <c r="B65" s="104" t="s">
        <v>443</v>
      </c>
      <c r="C65" s="79">
        <v>90</v>
      </c>
      <c r="D65" s="103" t="s">
        <v>440</v>
      </c>
      <c r="E65" s="5"/>
      <c r="F65" s="104" t="s">
        <v>462</v>
      </c>
      <c r="G65" s="105">
        <f>(2*Vout*Io)/(η*Ipk*Ipk*fsw)</f>
        <v>1.2783913043478261</v>
      </c>
      <c r="H65" s="103" t="s">
        <v>463</v>
      </c>
      <c r="I65" s="5"/>
      <c r="J65" s="97"/>
      <c r="K65" s="98"/>
      <c r="L65" s="99"/>
      <c r="M65" s="91"/>
      <c r="N65" s="19"/>
      <c r="O65" s="5"/>
    </row>
    <row r="66" spans="1:15" ht="16.5">
      <c r="A66" s="5"/>
      <c r="B66" s="104" t="s">
        <v>444</v>
      </c>
      <c r="C66" s="79">
        <v>264</v>
      </c>
      <c r="D66" s="103" t="s">
        <v>440</v>
      </c>
      <c r="E66" s="5"/>
      <c r="F66" s="104" t="s">
        <v>499</v>
      </c>
      <c r="G66" s="105">
        <f>4*Tons_Tsw*η*VACMin*1.1/(2*Vout)</f>
        <v>16.631999999999998</v>
      </c>
      <c r="H66" s="106"/>
      <c r="J66" s="97"/>
      <c r="K66" s="98"/>
      <c r="L66" s="92"/>
      <c r="M66" s="91"/>
      <c r="N66" s="20"/>
    </row>
    <row r="67" spans="1:15" ht="16.5">
      <c r="A67" s="5"/>
      <c r="B67" s="104" t="s">
        <v>445</v>
      </c>
      <c r="C67" s="79">
        <v>5</v>
      </c>
      <c r="D67" s="103" t="s">
        <v>440</v>
      </c>
      <c r="E67" s="5"/>
      <c r="F67" s="104" t="s">
        <v>465</v>
      </c>
      <c r="G67" s="105">
        <f>(Ipk*Lp)*1000/(B_max*Ae)</f>
        <v>73.660714285714292</v>
      </c>
      <c r="H67" s="103" t="s">
        <v>466</v>
      </c>
      <c r="J67" s="97"/>
      <c r="K67" s="98"/>
      <c r="L67" s="99"/>
      <c r="M67" s="91"/>
      <c r="N67" s="20"/>
    </row>
    <row r="68" spans="1:15" ht="16.5">
      <c r="A68" s="5"/>
      <c r="B68" s="104" t="s">
        <v>446</v>
      </c>
      <c r="C68" s="79">
        <v>2.2999999999999998</v>
      </c>
      <c r="D68" s="103" t="s">
        <v>454</v>
      </c>
      <c r="E68" s="5"/>
      <c r="F68" s="104" t="s">
        <v>467</v>
      </c>
      <c r="G68" s="105">
        <f>Np/n</f>
        <v>4.4288548752834478</v>
      </c>
      <c r="H68" s="103" t="s">
        <v>466</v>
      </c>
      <c r="J68" s="97"/>
      <c r="K68" s="98"/>
      <c r="L68" s="99"/>
      <c r="M68" s="91"/>
      <c r="N68" s="20"/>
    </row>
    <row r="69" spans="1:15" ht="16.5">
      <c r="A69" s="5"/>
      <c r="B69" s="104" t="s">
        <v>447</v>
      </c>
      <c r="C69" s="79">
        <v>0.84</v>
      </c>
      <c r="D69" s="103"/>
      <c r="E69" s="5"/>
      <c r="F69" s="104" t="s">
        <v>468</v>
      </c>
      <c r="G69" s="105">
        <f>Vcc*NS/(Vout+VF)</f>
        <v>10.66205803308978</v>
      </c>
      <c r="H69" s="103" t="s">
        <v>466</v>
      </c>
      <c r="J69" s="97"/>
      <c r="K69" s="98"/>
      <c r="L69" s="99"/>
      <c r="M69" s="91"/>
      <c r="N69" s="20"/>
    </row>
    <row r="70" spans="1:15" ht="16.5">
      <c r="A70" s="5"/>
      <c r="B70" s="104" t="s">
        <v>448</v>
      </c>
      <c r="C70" s="79">
        <v>0.4</v>
      </c>
      <c r="D70" s="103" t="s">
        <v>440</v>
      </c>
      <c r="E70" s="5"/>
      <c r="F70" s="104" t="s">
        <v>461</v>
      </c>
      <c r="G70" s="105">
        <f>Ipks/n</f>
        <v>0.55315055315055317</v>
      </c>
      <c r="H70" s="103" t="s">
        <v>454</v>
      </c>
      <c r="J70" s="97"/>
      <c r="K70" s="98"/>
      <c r="L70" s="99"/>
      <c r="M70" s="91"/>
      <c r="N70" s="20"/>
    </row>
    <row r="71" spans="1:15" ht="16.5">
      <c r="B71" s="104" t="s">
        <v>449</v>
      </c>
      <c r="C71" s="79">
        <v>70</v>
      </c>
      <c r="D71" s="103" t="s">
        <v>455</v>
      </c>
      <c r="E71" s="5"/>
      <c r="F71" s="104" t="s">
        <v>460</v>
      </c>
      <c r="G71" s="105">
        <f>Io*2/Tons_Tsw</f>
        <v>9.1999999999999993</v>
      </c>
      <c r="H71" s="103" t="s">
        <v>454</v>
      </c>
      <c r="J71" s="97"/>
      <c r="K71" s="98"/>
      <c r="L71" s="99"/>
      <c r="M71" s="91"/>
      <c r="N71" s="20"/>
    </row>
    <row r="72" spans="1:15" ht="16.5">
      <c r="B72" s="104" t="s">
        <v>450</v>
      </c>
      <c r="C72" s="79">
        <v>0.3</v>
      </c>
      <c r="D72" s="103" t="s">
        <v>456</v>
      </c>
      <c r="E72" s="5"/>
      <c r="F72" s="104" t="s">
        <v>464</v>
      </c>
      <c r="G72" s="105">
        <f>Vcs_H/Ipk/1000</f>
        <v>1.1389304347826088</v>
      </c>
      <c r="H72" s="103" t="s">
        <v>84</v>
      </c>
      <c r="J72" s="97"/>
      <c r="K72" s="98"/>
      <c r="L72" s="99"/>
      <c r="M72" s="91"/>
      <c r="N72" s="20"/>
    </row>
    <row r="73" spans="1:15" ht="16.5">
      <c r="B73" s="104" t="s">
        <v>438</v>
      </c>
      <c r="C73" s="79">
        <v>0.5</v>
      </c>
      <c r="D73" s="103"/>
      <c r="E73" s="5"/>
      <c r="F73" s="78"/>
      <c r="G73" s="82"/>
      <c r="H73" s="75"/>
      <c r="J73" s="92"/>
      <c r="K73" s="93"/>
      <c r="L73" s="94"/>
      <c r="M73" s="91"/>
      <c r="N73" s="20"/>
    </row>
    <row r="74" spans="1:15" ht="16.5">
      <c r="B74" s="104" t="s">
        <v>451</v>
      </c>
      <c r="C74" s="79">
        <v>13</v>
      </c>
      <c r="D74" s="103" t="s">
        <v>440</v>
      </c>
      <c r="E74" s="5"/>
      <c r="F74" s="78"/>
      <c r="G74" s="82"/>
      <c r="H74" s="75"/>
      <c r="J74" s="92"/>
      <c r="K74" s="93"/>
      <c r="L74" s="94"/>
      <c r="M74" s="91"/>
      <c r="N74" s="20"/>
    </row>
    <row r="75" spans="1:15" ht="16.5">
      <c r="B75" s="104" t="s">
        <v>452</v>
      </c>
      <c r="C75" s="79">
        <v>150</v>
      </c>
      <c r="D75" s="103" t="s">
        <v>440</v>
      </c>
      <c r="E75" s="5"/>
      <c r="F75" s="78"/>
      <c r="G75" s="83"/>
      <c r="H75" s="75"/>
      <c r="J75" s="92"/>
      <c r="K75" s="95"/>
      <c r="L75" s="96"/>
      <c r="M75" s="91"/>
      <c r="N75" s="20"/>
    </row>
    <row r="76" spans="1:15" ht="16.5">
      <c r="B76" s="104" t="s">
        <v>453</v>
      </c>
      <c r="C76" s="79">
        <v>32</v>
      </c>
      <c r="D76" s="103" t="s">
        <v>457</v>
      </c>
      <c r="E76" s="5"/>
      <c r="F76" s="78"/>
      <c r="G76" s="82"/>
      <c r="H76" s="75"/>
      <c r="J76" s="20"/>
      <c r="K76" s="80"/>
      <c r="L76" s="81"/>
      <c r="M76" s="17"/>
      <c r="N76" s="20"/>
    </row>
    <row r="77" spans="1:15">
      <c r="F77" s="21"/>
      <c r="J77" s="20"/>
      <c r="K77" s="20"/>
      <c r="L77" s="20"/>
      <c r="M77" s="20"/>
      <c r="N77" s="20"/>
    </row>
    <row r="78" spans="1:15" ht="16.5">
      <c r="B78" s="116" t="s">
        <v>474</v>
      </c>
      <c r="C78" s="117"/>
      <c r="D78" s="118"/>
      <c r="E78" s="5"/>
      <c r="F78" s="116" t="s">
        <v>483</v>
      </c>
      <c r="G78" s="117"/>
      <c r="H78" s="118"/>
      <c r="I78" s="15"/>
      <c r="J78" s="20"/>
      <c r="K78" s="20"/>
      <c r="L78" s="20"/>
      <c r="M78" s="20"/>
      <c r="N78" s="20"/>
    </row>
    <row r="79" spans="1:15" ht="16.5">
      <c r="B79" s="104" t="s">
        <v>465</v>
      </c>
      <c r="C79" s="79">
        <v>82</v>
      </c>
      <c r="D79" s="103" t="s">
        <v>466</v>
      </c>
      <c r="E79" s="5"/>
      <c r="F79" s="104" t="s">
        <v>459</v>
      </c>
      <c r="G79" s="105">
        <f>act_Np/act_NS</f>
        <v>16.399999999999999</v>
      </c>
      <c r="H79" s="103"/>
      <c r="I79" s="15"/>
      <c r="J79" s="20"/>
      <c r="K79" s="17"/>
      <c r="L79" s="18"/>
      <c r="M79" s="17"/>
      <c r="N79" s="20"/>
    </row>
    <row r="80" spans="1:15" ht="16.5">
      <c r="B80" s="104" t="s">
        <v>467</v>
      </c>
      <c r="C80" s="79">
        <v>5</v>
      </c>
      <c r="D80" s="103" t="s">
        <v>466</v>
      </c>
      <c r="E80" s="5"/>
      <c r="F80" s="104" t="s">
        <v>475</v>
      </c>
      <c r="G80" s="105">
        <f>act_Lp*act_Ipk*act_Fswmax/(VACMin*1.1)</f>
        <v>0.49302549302549298</v>
      </c>
      <c r="H80" s="103"/>
      <c r="I80" s="14"/>
      <c r="J80" s="20"/>
      <c r="K80" s="17"/>
      <c r="L80" s="16"/>
      <c r="M80" s="17"/>
      <c r="N80" s="20"/>
    </row>
    <row r="81" spans="2:14" ht="16.5">
      <c r="B81" s="104" t="s">
        <v>469</v>
      </c>
      <c r="C81" s="79">
        <v>12</v>
      </c>
      <c r="D81" s="103" t="s">
        <v>466</v>
      </c>
      <c r="E81" s="5"/>
      <c r="F81" s="104" t="s">
        <v>476</v>
      </c>
      <c r="G81" s="105">
        <f>act_Lp*act_Ipk*act_Fswmax/(VACMax*1.414)</f>
        <v>0.1307528712054879</v>
      </c>
      <c r="H81" s="103"/>
      <c r="I81" s="14"/>
      <c r="J81" s="20"/>
      <c r="K81" s="17"/>
      <c r="L81" s="16"/>
      <c r="M81" s="17"/>
      <c r="N81" s="20"/>
    </row>
    <row r="82" spans="2:14" ht="16.5">
      <c r="B82" s="104" t="s">
        <v>462</v>
      </c>
      <c r="C82" s="79">
        <v>1.4</v>
      </c>
      <c r="D82" s="103" t="s">
        <v>463</v>
      </c>
      <c r="E82" s="5"/>
      <c r="F82" s="104" t="s">
        <v>461</v>
      </c>
      <c r="G82" s="105">
        <f>Vcs_H/act_Rcs/1000</f>
        <v>0.57272727272727264</v>
      </c>
      <c r="H82" s="103" t="s">
        <v>454</v>
      </c>
      <c r="I82" s="14"/>
      <c r="J82" s="20"/>
      <c r="K82" s="17"/>
      <c r="L82" s="16"/>
      <c r="M82" s="17"/>
      <c r="N82" s="20"/>
    </row>
    <row r="83" spans="2:14" ht="16.5">
      <c r="B83" s="104" t="s">
        <v>464</v>
      </c>
      <c r="C83" s="79">
        <v>1.1000000000000001</v>
      </c>
      <c r="D83" s="103" t="s">
        <v>84</v>
      </c>
      <c r="E83" s="5"/>
      <c r="F83" s="104" t="s">
        <v>460</v>
      </c>
      <c r="G83" s="105">
        <f>act_Ipk*act_n</f>
        <v>9.3927272727272708</v>
      </c>
      <c r="H83" s="103" t="s">
        <v>454</v>
      </c>
      <c r="I83" s="14"/>
      <c r="J83" s="20"/>
      <c r="K83" s="17"/>
      <c r="L83" s="16"/>
      <c r="M83" s="17"/>
      <c r="N83" s="20"/>
    </row>
    <row r="84" spans="2:14" ht="16.5">
      <c r="B84" s="104" t="s">
        <v>453</v>
      </c>
      <c r="C84" s="79">
        <v>32</v>
      </c>
      <c r="D84" s="103" t="s">
        <v>457</v>
      </c>
      <c r="E84" s="5"/>
      <c r="F84" s="104" t="s">
        <v>477</v>
      </c>
      <c r="G84" s="105">
        <f>1/2*act_Ipks*Tons_Tsw</f>
        <v>2.3481818181818177</v>
      </c>
      <c r="H84" s="103" t="s">
        <v>454</v>
      </c>
      <c r="I84" s="14"/>
      <c r="J84" s="20"/>
      <c r="K84" s="17"/>
      <c r="L84" s="16"/>
      <c r="M84" s="17"/>
      <c r="N84" s="20"/>
    </row>
    <row r="85" spans="2:14" ht="16.5">
      <c r="B85" s="104" t="s">
        <v>470</v>
      </c>
      <c r="C85" s="84">
        <v>47</v>
      </c>
      <c r="D85" s="103" t="s">
        <v>471</v>
      </c>
      <c r="E85" s="5"/>
      <c r="F85" s="104" t="s">
        <v>478</v>
      </c>
      <c r="G85" s="105">
        <f>2*Vout*act_Iomax/(η*act_Ipk*act_Ipk*act_Lp)</f>
        <v>60.873555771514965</v>
      </c>
      <c r="H85" s="103" t="s">
        <v>455</v>
      </c>
      <c r="I85" s="14"/>
      <c r="J85" s="20"/>
      <c r="K85" s="17"/>
      <c r="L85" s="16"/>
      <c r="M85" s="17"/>
      <c r="N85" s="20"/>
    </row>
    <row r="86" spans="2:14" ht="16.5">
      <c r="B86" s="104" t="s">
        <v>472</v>
      </c>
      <c r="C86" s="105">
        <f>act_RFB_up/RFB_rate</f>
        <v>10.681818181818178</v>
      </c>
      <c r="D86" s="103" t="s">
        <v>471</v>
      </c>
      <c r="E86" s="5"/>
      <c r="F86" s="104" t="s">
        <v>479</v>
      </c>
      <c r="G86" s="105">
        <f>act_Lp*act_Ipk*1000/(act_Np*act_Ae)</f>
        <v>0.30557095343680701</v>
      </c>
      <c r="H86" s="103" t="s">
        <v>456</v>
      </c>
      <c r="I86" s="14"/>
      <c r="J86" s="20"/>
      <c r="K86" s="17"/>
      <c r="L86" s="16"/>
      <c r="M86" s="17"/>
      <c r="N86" s="20"/>
    </row>
    <row r="87" spans="2:14" ht="16.5">
      <c r="B87" s="104" t="s">
        <v>473</v>
      </c>
      <c r="C87" s="105">
        <f>(act_Vcc-FB)/FB</f>
        <v>4.4000000000000012</v>
      </c>
      <c r="D87" s="103" t="s">
        <v>88</v>
      </c>
      <c r="E87" s="5"/>
      <c r="F87" s="104" t="s">
        <v>480</v>
      </c>
      <c r="G87" s="107">
        <f>VACMax*1.414+(Vout+VF)*act_n+100</f>
        <v>561.85599999999999</v>
      </c>
      <c r="H87" s="103" t="s">
        <v>440</v>
      </c>
      <c r="I87" s="14"/>
      <c r="J87" s="20"/>
      <c r="K87" s="17"/>
      <c r="L87" s="16"/>
      <c r="M87" s="17"/>
      <c r="N87" s="20"/>
    </row>
    <row r="88" spans="2:14" ht="16.5">
      <c r="B88" s="78"/>
      <c r="C88" s="75"/>
      <c r="D88" s="75"/>
      <c r="E88" s="5"/>
      <c r="F88" s="104" t="s">
        <v>452</v>
      </c>
      <c r="G88" s="107">
        <f>VACMax*1.414/act_n+Vout+VF</f>
        <v>28.161951219512193</v>
      </c>
      <c r="H88" s="103" t="s">
        <v>440</v>
      </c>
      <c r="I88" s="14"/>
      <c r="J88" s="20"/>
      <c r="K88" s="17"/>
      <c r="L88" s="16"/>
      <c r="M88" s="17"/>
      <c r="N88" s="20"/>
    </row>
    <row r="89" spans="2:14" ht="16.5">
      <c r="B89" s="78"/>
      <c r="C89" s="75"/>
      <c r="D89" s="75"/>
      <c r="E89" s="5"/>
      <c r="F89" s="104" t="s">
        <v>481</v>
      </c>
      <c r="G89" s="105">
        <f>G88/act_NS*act_NAUX</f>
        <v>67.588682926829264</v>
      </c>
      <c r="H89" s="103" t="s">
        <v>440</v>
      </c>
      <c r="I89" s="14"/>
      <c r="J89" s="20"/>
      <c r="K89" s="17"/>
      <c r="L89" s="16"/>
      <c r="M89" s="17"/>
      <c r="N89" s="20"/>
    </row>
    <row r="90" spans="2:14" ht="16.5">
      <c r="B90" s="78"/>
      <c r="C90" s="75"/>
      <c r="D90" s="75"/>
      <c r="E90" s="5"/>
      <c r="F90" s="104" t="s">
        <v>451</v>
      </c>
      <c r="G90" s="105">
        <f>(Vout+VF)*act_NAUX/act_NS</f>
        <v>12.960000000000003</v>
      </c>
      <c r="H90" s="103" t="s">
        <v>440</v>
      </c>
      <c r="I90" s="14"/>
      <c r="J90" s="20"/>
      <c r="K90" s="17"/>
      <c r="L90" s="16"/>
      <c r="M90" s="17"/>
      <c r="N90" s="20"/>
    </row>
    <row r="91" spans="2:14" ht="16.5">
      <c r="B91" s="78"/>
      <c r="C91" s="75"/>
      <c r="D91" s="75"/>
      <c r="E91" s="5"/>
      <c r="F91" s="104" t="s">
        <v>482</v>
      </c>
      <c r="G91" s="105">
        <f>act_Lp*act_NS*act_Ipk*1000/(act_Np*Vout+act_Np*0.5)</f>
        <v>8.8893368272525706</v>
      </c>
      <c r="H91" s="103" t="s">
        <v>441</v>
      </c>
      <c r="I91" s="14"/>
      <c r="J91" s="20"/>
      <c r="K91" s="19"/>
      <c r="L91" s="16"/>
      <c r="M91" s="17"/>
      <c r="N91" s="20"/>
    </row>
    <row r="92" spans="2:14">
      <c r="J92" s="20"/>
      <c r="K92" s="20"/>
      <c r="L92" s="20"/>
      <c r="M92" s="20"/>
      <c r="N92" s="20"/>
    </row>
  </sheetData>
  <sheetProtection algorithmName="SHA-512" hashValue="gxE6JXW6r8hCBkeM4Q0Xm7mu1Rz7yq7goGFCXpj6nFNkLLiXhiG+Gr96lPuCzLjhvzQ1rVmO18pfOIM3M0gH+w==" saltValue="n/bir5rXSmG6vNU3gOyTUA==" spinCount="100000" sheet="1" objects="1" scenarios="1" selectLockedCells="1"/>
  <mergeCells count="49">
    <mergeCell ref="D4:I4"/>
    <mergeCell ref="B33:G33"/>
    <mergeCell ref="B42:G42"/>
    <mergeCell ref="B44:G44"/>
    <mergeCell ref="B45:G45"/>
    <mergeCell ref="B34:G34"/>
    <mergeCell ref="B35:G35"/>
    <mergeCell ref="B36:G36"/>
    <mergeCell ref="B37:G37"/>
    <mergeCell ref="B28:G28"/>
    <mergeCell ref="B29:G29"/>
    <mergeCell ref="B30:G30"/>
    <mergeCell ref="B19:G19"/>
    <mergeCell ref="B20:G20"/>
    <mergeCell ref="B6:H6"/>
    <mergeCell ref="B7:G7"/>
    <mergeCell ref="B11:G11"/>
    <mergeCell ref="B12:G12"/>
    <mergeCell ref="B15:G15"/>
    <mergeCell ref="B13:G13"/>
    <mergeCell ref="B14:G14"/>
    <mergeCell ref="B21:G21"/>
    <mergeCell ref="C51:D51"/>
    <mergeCell ref="B64:D64"/>
    <mergeCell ref="B52:D52"/>
    <mergeCell ref="F64:H64"/>
    <mergeCell ref="B46:G46"/>
    <mergeCell ref="K64:M64"/>
    <mergeCell ref="B78:D78"/>
    <mergeCell ref="F78:H78"/>
    <mergeCell ref="C49:D49"/>
    <mergeCell ref="B31:G31"/>
    <mergeCell ref="B32:G32"/>
    <mergeCell ref="B8:G8"/>
    <mergeCell ref="B9:G9"/>
    <mergeCell ref="B10:G10"/>
    <mergeCell ref="B43:G43"/>
    <mergeCell ref="B16:G16"/>
    <mergeCell ref="B22:G22"/>
    <mergeCell ref="B23:G23"/>
    <mergeCell ref="B24:G24"/>
    <mergeCell ref="B27:G27"/>
    <mergeCell ref="B25:G25"/>
    <mergeCell ref="B26:G26"/>
    <mergeCell ref="B38:G38"/>
    <mergeCell ref="B40:G40"/>
    <mergeCell ref="B41:G41"/>
    <mergeCell ref="B18:G18"/>
    <mergeCell ref="B17:G17"/>
  </mergeCells>
  <phoneticPr fontId="1" type="noConversion"/>
  <pageMargins left="0.7" right="0.7" top="0.75" bottom="0.75" header="0.3" footer="0.3"/>
  <pageSetup paperSize="9" orientation="portrait" r:id="rId1"/>
  <ignoredErrors>
    <ignoredError sqref="C86:C87 G80 G82:G9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IC资料!$E$2:$E$10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5" sqref="D5"/>
    </sheetView>
  </sheetViews>
  <sheetFormatPr defaultColWidth="9" defaultRowHeight="15"/>
  <cols>
    <col min="1" max="1" width="9" style="22"/>
    <col min="2" max="2" width="19.42578125" style="22" customWidth="1"/>
    <col min="3" max="3" width="44" style="22" customWidth="1"/>
    <col min="4" max="4" width="28.7109375" style="22" customWidth="1"/>
    <col min="5" max="5" width="13.7109375" style="22" customWidth="1"/>
    <col min="6" max="16384" width="9" style="22"/>
  </cols>
  <sheetData>
    <row r="1" spans="1:11" ht="23.25">
      <c r="A1" s="142" t="s">
        <v>540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4" spans="1:11">
      <c r="B4" s="143" t="s">
        <v>539</v>
      </c>
      <c r="C4" s="143"/>
      <c r="D4" s="34">
        <v>10</v>
      </c>
      <c r="E4" s="88" t="s">
        <v>538</v>
      </c>
    </row>
    <row r="5" spans="1:11">
      <c r="B5" s="143" t="s">
        <v>537</v>
      </c>
      <c r="C5" s="143"/>
      <c r="D5" s="34">
        <v>1</v>
      </c>
      <c r="E5" s="88" t="s">
        <v>536</v>
      </c>
    </row>
    <row r="6" spans="1:11">
      <c r="B6" s="143" t="s">
        <v>535</v>
      </c>
      <c r="C6" s="143"/>
      <c r="D6" s="34">
        <f>D4*D5</f>
        <v>10</v>
      </c>
      <c r="E6" s="88" t="s">
        <v>533</v>
      </c>
    </row>
    <row r="7" spans="1:11">
      <c r="B7" s="139"/>
      <c r="C7" s="140"/>
      <c r="D7" s="140"/>
      <c r="E7" s="141"/>
    </row>
    <row r="8" spans="1:11">
      <c r="B8" s="144" t="s">
        <v>534</v>
      </c>
      <c r="C8" s="144"/>
      <c r="D8" s="89">
        <f>IF(Po&gt;250,0.5,IF(Po&gt;49,0.21,0.1))</f>
        <v>0.1</v>
      </c>
      <c r="E8" s="89" t="s">
        <v>533</v>
      </c>
    </row>
    <row r="9" spans="1:11">
      <c r="B9" s="138" t="s">
        <v>532</v>
      </c>
      <c r="C9" s="138"/>
      <c r="D9" s="33">
        <f>IF(Vo&lt;6,IF(Io&gt;0.55,IF(Po&gt;250,87.5%,IF(Po&gt;49,87%,IF(Po&gt;1,0.0834*LN(Po)-0.0014*Po+0.609,0.517*Po+0.087))),IF(Po&gt;250,87.5%,IF(Po&gt;49,88%,IF(Po&gt;1,0.071*LN(Po)-0.0014*Po+0.67,0.5*Po+0.16)))),IF(Po&gt;250,87.5%,IF(Po&gt;49,88%,IF(Po&gt;1,0.071*LN(Po)-0.0014*Po+0.67,0.5*Po+0.16))))</f>
        <v>0.8194835416025773</v>
      </c>
      <c r="E9" s="87" t="s">
        <v>522</v>
      </c>
    </row>
    <row r="10" spans="1:11">
      <c r="B10" s="138" t="s">
        <v>531</v>
      </c>
      <c r="C10" s="138"/>
      <c r="D10" s="33">
        <f>IF(Vo&lt;6,IF(Io&gt;0.55,IF(Po&gt;250,88%,IF(Po&gt;49,88%,IF(Po&gt;1,0.0834*LN(Po)-0.0014*Po+0.609,0.517*Po+0.087))),IF(Po&gt;250,89%,IF(Po&gt;49,89%,IF(Po&gt;1,0.071*LN(Po)-0.0014*Po+0.67,0.5*Po+0.16)))),IF(Po&gt;250,89%,IF(Po&gt;49,89%,IF(Po&gt;1,0.071*LN(Po)-0.0014*Po+0.67,0.5*Po+0.16))))</f>
        <v>0.8194835416025773</v>
      </c>
      <c r="E10" s="87" t="s">
        <v>522</v>
      </c>
      <c r="F10" s="22" t="s">
        <v>525</v>
      </c>
    </row>
    <row r="11" spans="1:11">
      <c r="B11" s="137" t="s">
        <v>530</v>
      </c>
      <c r="C11" s="137"/>
      <c r="D11" s="23">
        <f>IF(Vo&lt;6,IF(Io&gt;0.55,IF(Po&gt;250,86%,IF(Po&gt;49,86%,IF(Po&gt;1,0.075*LN(Po)+0.561,0.497*Po+0.067))),IF(Po&gt;250,87%,IF(Po&gt;49,87%,IF(Po&gt;1,0.0626*LN(Po)+0.622,0.48*Po+0.14)))),IF(Po&gt;250,87%,IF(Po&gt;49,87%,IF(Po&gt;1,0.0626*LN(Po)+0.622,0.48*Po+0.14))))</f>
        <v>0.76614182682142729</v>
      </c>
      <c r="E11" s="86" t="s">
        <v>522</v>
      </c>
    </row>
    <row r="12" spans="1:11">
      <c r="B12" s="137" t="s">
        <v>529</v>
      </c>
      <c r="C12" s="137"/>
      <c r="D12" s="23">
        <f>IF(Vo&lt;6,IF(Io&gt;0.55,IF(Po&gt;250,88%,IF(Po&gt;49,88%,IF(Po&gt;1,0.0755*LN(Po)+0.585,0.5*Po+0.085))),IF(Po&gt;250,89%,IF(Po&gt;49,89%,IF(Po&gt;1,0.0626*LN(Po)+0.645,0.5*Po+0.145)))),IF(Po&gt;250,89%,IF(Po&gt;49,89%,IF(Po&gt;1,0.0626*LN(Po)+0.645,0.5*Po+0.145))))</f>
        <v>0.78914182682142731</v>
      </c>
      <c r="E12" s="86" t="s">
        <v>522</v>
      </c>
      <c r="F12" s="22" t="s">
        <v>528</v>
      </c>
    </row>
    <row r="13" spans="1:11">
      <c r="B13" s="133" t="s">
        <v>527</v>
      </c>
      <c r="C13" s="134"/>
      <c r="D13" s="32">
        <f>IF(Vo&lt;6,IF(Io&gt;0.55,IF(Po&gt;250,78%,IF(Po&gt;49,78%,IF(Po&gt;1,0.0834*LN(Po)-0.0014*Po+0.509,0.517*Po))),IF(Po&gt;250,79%,IF(Po&gt;49,79%,IF(Po&gt;1,0.071*LN(Po)-0.0014*Po+0.57,0.5*Po+0.06)))),IF(Po&gt;250,79%,IF(Po&gt;49,79%,IF(Po&gt;1,0.071*LN(Po)-0.0014*Po+0.57,0.5*Po+0.06))))</f>
        <v>0.71948354160257721</v>
      </c>
      <c r="E13" s="89" t="s">
        <v>522</v>
      </c>
    </row>
    <row r="14" spans="1:11">
      <c r="B14" s="133" t="s">
        <v>526</v>
      </c>
      <c r="C14" s="134"/>
      <c r="D14" s="32">
        <f>IF(Vo&lt;6,IF(Io&gt;0.55,IF(Po&gt;250,78%,IF(Po&gt;49,78%,IF(Po&gt;1,0.0755*LN(Po)+0.485,0.5*Po))),IF(Po&gt;250,79%,IF(Po&gt;49,79%,IF(Po&gt;1,0.0626*LN(Po)+0.545,0.5*Po+0.045)))),IF(Po&gt;250,79%,IF(Po&gt;49,79%,IF(Po&gt;1,0.0626*LN(Po)+0.545,0.5*Po+0.045))))</f>
        <v>0.68914182682142733</v>
      </c>
      <c r="E14" s="89" t="s">
        <v>522</v>
      </c>
      <c r="F14" s="22" t="s">
        <v>525</v>
      </c>
    </row>
    <row r="15" spans="1:11">
      <c r="B15" s="135" t="s">
        <v>524</v>
      </c>
      <c r="C15" s="136"/>
      <c r="D15" s="31">
        <f>5*D13-4*D10</f>
        <v>0.31948354160257697</v>
      </c>
      <c r="E15" s="30" t="s">
        <v>522</v>
      </c>
    </row>
    <row r="16" spans="1:11">
      <c r="B16" s="135" t="s">
        <v>523</v>
      </c>
      <c r="C16" s="136"/>
      <c r="D16" s="31">
        <f>5*D14-4*D10</f>
        <v>0.16777496769682765</v>
      </c>
      <c r="E16" s="30" t="s">
        <v>522</v>
      </c>
    </row>
    <row r="17" spans="2:5" s="27" customFormat="1">
      <c r="B17" s="28"/>
      <c r="C17" s="28"/>
      <c r="D17" s="29"/>
      <c r="E17" s="28"/>
    </row>
    <row r="18" spans="2:5">
      <c r="B18" s="22" t="s">
        <v>521</v>
      </c>
    </row>
    <row r="20" spans="2:5">
      <c r="B20" s="26" t="s">
        <v>520</v>
      </c>
      <c r="C20" s="26" t="s">
        <v>519</v>
      </c>
      <c r="D20" s="26" t="s">
        <v>518</v>
      </c>
    </row>
    <row r="21" spans="2:5">
      <c r="B21" s="25" t="s">
        <v>517</v>
      </c>
      <c r="C21" s="24">
        <v>0.73799999999999999</v>
      </c>
      <c r="D21" s="23">
        <v>0.68530000000000002</v>
      </c>
    </row>
    <row r="22" spans="2:5">
      <c r="B22" s="25" t="s">
        <v>516</v>
      </c>
      <c r="C22" s="24">
        <v>0.71399999999999997</v>
      </c>
      <c r="D22" s="23">
        <v>0.66010000000000002</v>
      </c>
    </row>
    <row r="23" spans="2:5">
      <c r="B23" s="25" t="s">
        <v>515</v>
      </c>
      <c r="C23" s="24">
        <v>0.72370000000000001</v>
      </c>
      <c r="D23" s="23">
        <v>0.66949999999999998</v>
      </c>
    </row>
    <row r="24" spans="2:5">
      <c r="B24" s="25" t="s">
        <v>514</v>
      </c>
      <c r="C24" s="24">
        <v>0.72809999999999997</v>
      </c>
      <c r="D24" s="23">
        <v>0.67379999999999995</v>
      </c>
    </row>
    <row r="25" spans="2:5">
      <c r="B25" s="25" t="s">
        <v>513</v>
      </c>
      <c r="C25" s="24">
        <v>0.73619999999999997</v>
      </c>
      <c r="D25" s="23">
        <v>0.68169999999999997</v>
      </c>
    </row>
    <row r="26" spans="2:5">
      <c r="B26" s="25" t="s">
        <v>512</v>
      </c>
      <c r="C26" s="24">
        <v>0.76649999999999996</v>
      </c>
      <c r="D26" s="23">
        <v>0.71209999999999996</v>
      </c>
    </row>
    <row r="27" spans="2:5">
      <c r="B27" s="25" t="s">
        <v>511</v>
      </c>
      <c r="C27" s="24">
        <v>0.78700000000000003</v>
      </c>
      <c r="D27" s="23">
        <v>0.73370000000000002</v>
      </c>
    </row>
    <row r="28" spans="2:5">
      <c r="B28" s="25" t="s">
        <v>510</v>
      </c>
      <c r="C28" s="24">
        <v>0.80210000000000004</v>
      </c>
      <c r="D28" s="23">
        <v>0.75039999999999996</v>
      </c>
    </row>
    <row r="29" spans="2:5">
      <c r="B29" s="25" t="s">
        <v>509</v>
      </c>
      <c r="C29" s="24">
        <v>0.81389999999999996</v>
      </c>
      <c r="D29" s="23">
        <v>0.7641</v>
      </c>
    </row>
    <row r="30" spans="2:5">
      <c r="B30" s="25" t="s">
        <v>508</v>
      </c>
      <c r="C30" s="24">
        <v>0.78879999999999995</v>
      </c>
      <c r="D30" s="23">
        <v>0.73419999999999996</v>
      </c>
    </row>
    <row r="31" spans="2:5">
      <c r="B31" s="25" t="s">
        <v>507</v>
      </c>
      <c r="C31" s="24">
        <v>0.81340000000000001</v>
      </c>
      <c r="D31" s="23">
        <v>0.75949999999999995</v>
      </c>
    </row>
    <row r="32" spans="2:5">
      <c r="B32" s="25" t="s">
        <v>506</v>
      </c>
      <c r="C32" s="24">
        <v>0.8296</v>
      </c>
      <c r="D32" s="23">
        <v>0.77759999999999996</v>
      </c>
    </row>
    <row r="33" spans="2:4">
      <c r="B33" s="25" t="s">
        <v>505</v>
      </c>
      <c r="C33" s="24">
        <v>0.85</v>
      </c>
      <c r="D33" s="23">
        <v>0.80289999999999995</v>
      </c>
    </row>
    <row r="34" spans="2:4">
      <c r="B34" s="25" t="s">
        <v>504</v>
      </c>
      <c r="C34" s="24">
        <v>0.86199999999999999</v>
      </c>
      <c r="D34" s="23">
        <v>0.82089999999999996</v>
      </c>
    </row>
    <row r="35" spans="2:4">
      <c r="B35" s="25" t="s">
        <v>503</v>
      </c>
      <c r="C35" s="24">
        <v>0.86950000000000005</v>
      </c>
      <c r="D35" s="23">
        <v>0.83489999999999998</v>
      </c>
    </row>
    <row r="36" spans="2:4">
      <c r="B36" s="25" t="s">
        <v>502</v>
      </c>
      <c r="C36" s="24">
        <v>0.874</v>
      </c>
      <c r="D36" s="23">
        <v>0.84630000000000005</v>
      </c>
    </row>
  </sheetData>
  <mergeCells count="14">
    <mergeCell ref="B7:E7"/>
    <mergeCell ref="B11:C11"/>
    <mergeCell ref="B9:C9"/>
    <mergeCell ref="B13:C13"/>
    <mergeCell ref="A1:K1"/>
    <mergeCell ref="B4:C4"/>
    <mergeCell ref="B5:C5"/>
    <mergeCell ref="B6:C6"/>
    <mergeCell ref="B8:C8"/>
    <mergeCell ref="B14:C14"/>
    <mergeCell ref="B15:C15"/>
    <mergeCell ref="B16:C16"/>
    <mergeCell ref="B12:C12"/>
    <mergeCell ref="B10:C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10"/>
  <sheetViews>
    <sheetView topLeftCell="E1" workbookViewId="0">
      <selection activeCell="E8" sqref="A8:XFD11"/>
    </sheetView>
  </sheetViews>
  <sheetFormatPr defaultColWidth="9" defaultRowHeight="15"/>
  <cols>
    <col min="1" max="5" width="9" style="6"/>
    <col min="6" max="6" width="18.28515625" style="6" customWidth="1"/>
    <col min="7" max="7" width="15.42578125" style="6" customWidth="1"/>
    <col min="8" max="8" width="9" style="6"/>
    <col min="9" max="9" width="15.42578125" style="6" customWidth="1"/>
    <col min="10" max="10" width="20" style="6" customWidth="1"/>
    <col min="11" max="11" width="16.42578125" style="6" customWidth="1"/>
    <col min="12" max="13" width="16.42578125" style="7" customWidth="1"/>
    <col min="14" max="14" width="15.85546875" style="6" customWidth="1"/>
    <col min="15" max="16384" width="9" style="6"/>
  </cols>
  <sheetData>
    <row r="1" spans="5:14">
      <c r="E1" s="9"/>
      <c r="F1" s="10" t="s">
        <v>78</v>
      </c>
      <c r="G1" s="10" t="s">
        <v>77</v>
      </c>
      <c r="H1" s="10" t="s">
        <v>74</v>
      </c>
      <c r="I1" s="10" t="s">
        <v>75</v>
      </c>
      <c r="J1" s="10" t="s">
        <v>76</v>
      </c>
      <c r="K1" s="11" t="s">
        <v>45</v>
      </c>
      <c r="L1" s="8" t="s">
        <v>83</v>
      </c>
      <c r="M1" s="8" t="s">
        <v>486</v>
      </c>
      <c r="N1" s="10" t="s">
        <v>62</v>
      </c>
    </row>
    <row r="2" spans="5:14">
      <c r="E2" s="85" t="s">
        <v>485</v>
      </c>
      <c r="F2" s="85">
        <v>250</v>
      </c>
      <c r="G2" s="85">
        <v>900</v>
      </c>
      <c r="H2" s="85">
        <v>4.01</v>
      </c>
      <c r="I2" s="85">
        <v>2.6</v>
      </c>
      <c r="J2" s="85">
        <v>6.4</v>
      </c>
      <c r="K2" s="85">
        <v>0.5</v>
      </c>
      <c r="L2" s="85">
        <v>13.5</v>
      </c>
      <c r="M2" s="85">
        <v>70</v>
      </c>
      <c r="N2" s="85">
        <v>60</v>
      </c>
    </row>
    <row r="3" spans="5:14">
      <c r="E3" s="12" t="s">
        <v>46</v>
      </c>
      <c r="F3" s="8">
        <v>500</v>
      </c>
      <c r="G3" s="8">
        <v>900</v>
      </c>
      <c r="H3" s="8">
        <v>4.01</v>
      </c>
      <c r="I3" s="8">
        <v>2.6</v>
      </c>
      <c r="J3" s="8">
        <v>4.5999999999999996</v>
      </c>
      <c r="K3" s="13">
        <v>0.5</v>
      </c>
      <c r="L3" s="8">
        <v>13</v>
      </c>
      <c r="M3" s="85">
        <v>70</v>
      </c>
      <c r="N3" s="8">
        <v>4.2</v>
      </c>
    </row>
    <row r="4" spans="5:14">
      <c r="E4" s="85" t="s">
        <v>541</v>
      </c>
      <c r="F4" s="85">
        <v>270</v>
      </c>
      <c r="G4" s="85">
        <v>600</v>
      </c>
      <c r="H4" s="85">
        <v>2.5</v>
      </c>
      <c r="I4" s="85">
        <v>1.5</v>
      </c>
      <c r="J4" s="85">
        <v>5.7</v>
      </c>
      <c r="K4" s="85">
        <v>0.5</v>
      </c>
      <c r="L4" s="85">
        <v>14</v>
      </c>
      <c r="M4" s="85">
        <v>80</v>
      </c>
      <c r="N4" s="85">
        <v>80</v>
      </c>
    </row>
    <row r="5" spans="5:14">
      <c r="E5" s="85" t="s">
        <v>542</v>
      </c>
      <c r="F5" s="85" t="s">
        <v>501</v>
      </c>
      <c r="G5" s="85">
        <v>645</v>
      </c>
      <c r="H5" s="85">
        <v>2.4</v>
      </c>
      <c r="I5" s="85">
        <v>1.35</v>
      </c>
      <c r="J5" s="85" t="s">
        <v>436</v>
      </c>
      <c r="K5" s="85">
        <v>0.5</v>
      </c>
      <c r="L5" s="85">
        <v>16</v>
      </c>
      <c r="M5" s="85">
        <v>80</v>
      </c>
      <c r="N5" s="85"/>
    </row>
    <row r="6" spans="5:14">
      <c r="E6" s="85" t="s">
        <v>500</v>
      </c>
      <c r="F6" s="85" t="s">
        <v>501</v>
      </c>
      <c r="G6" s="85">
        <v>645</v>
      </c>
      <c r="H6" s="85">
        <v>2.4</v>
      </c>
      <c r="I6" s="85">
        <v>1.35</v>
      </c>
      <c r="J6" s="85" t="s">
        <v>436</v>
      </c>
      <c r="K6" s="85">
        <v>0.5</v>
      </c>
      <c r="L6" s="85">
        <v>16</v>
      </c>
      <c r="M6" s="85">
        <v>80</v>
      </c>
      <c r="N6" s="85"/>
    </row>
    <row r="7" spans="5:14">
      <c r="E7" s="85" t="s">
        <v>543</v>
      </c>
      <c r="F7" s="85">
        <v>180</v>
      </c>
      <c r="G7" s="85">
        <v>630</v>
      </c>
      <c r="H7" s="85">
        <v>2.4</v>
      </c>
      <c r="I7" s="85">
        <v>1.35</v>
      </c>
      <c r="J7" s="85" t="s">
        <v>436</v>
      </c>
      <c r="K7" s="85">
        <v>0.5</v>
      </c>
      <c r="L7" s="85">
        <v>16</v>
      </c>
      <c r="M7" s="85">
        <v>80</v>
      </c>
      <c r="N7" s="85"/>
    </row>
    <row r="8" spans="5:14">
      <c r="E8" s="12"/>
      <c r="F8" s="8"/>
      <c r="G8" s="8"/>
      <c r="H8" s="8"/>
      <c r="I8" s="8"/>
      <c r="J8" s="8"/>
      <c r="K8" s="13"/>
      <c r="L8" s="8"/>
      <c r="M8" s="8"/>
      <c r="N8" s="8"/>
    </row>
    <row r="9" spans="5:14">
      <c r="E9" s="12"/>
      <c r="F9" s="8"/>
      <c r="G9" s="8"/>
      <c r="H9" s="8"/>
      <c r="I9" s="8"/>
      <c r="J9" s="8"/>
      <c r="K9" s="13"/>
      <c r="L9" s="8"/>
      <c r="M9" s="85"/>
      <c r="N9" s="8"/>
    </row>
    <row r="10" spans="5:14">
      <c r="E10" s="12"/>
      <c r="F10" s="8"/>
      <c r="G10" s="8"/>
      <c r="H10" s="8"/>
      <c r="I10" s="8"/>
      <c r="J10" s="8"/>
      <c r="K10" s="13"/>
      <c r="L10" s="8"/>
      <c r="M10" s="85"/>
      <c r="N10" s="8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opLeftCell="A22" workbookViewId="0">
      <selection activeCell="B12" sqref="B12:F12"/>
    </sheetView>
  </sheetViews>
  <sheetFormatPr defaultColWidth="9" defaultRowHeight="14.25"/>
  <cols>
    <col min="1" max="16384" width="9" style="35"/>
  </cols>
  <sheetData>
    <row r="1" spans="1:17">
      <c r="A1" s="74"/>
      <c r="B1" s="72" t="s">
        <v>435</v>
      </c>
      <c r="C1" s="72"/>
      <c r="D1" s="72"/>
      <c r="E1" s="72"/>
      <c r="F1" s="72"/>
      <c r="G1" s="72"/>
      <c r="H1" s="73"/>
      <c r="I1" s="72"/>
      <c r="J1" s="73"/>
      <c r="K1" s="72"/>
      <c r="L1" s="72"/>
      <c r="M1" s="72"/>
      <c r="N1" s="72"/>
      <c r="O1" s="72"/>
      <c r="P1" s="72"/>
      <c r="Q1" s="72"/>
    </row>
    <row r="2" spans="1:17" ht="37.5">
      <c r="A2" s="145" t="s">
        <v>434</v>
      </c>
      <c r="B2" s="146"/>
      <c r="C2" s="70" t="s">
        <v>433</v>
      </c>
      <c r="D2" s="69" t="s">
        <v>432</v>
      </c>
      <c r="E2" s="70" t="s">
        <v>431</v>
      </c>
      <c r="F2" s="70" t="s">
        <v>430</v>
      </c>
      <c r="G2" s="70" t="s">
        <v>429</v>
      </c>
      <c r="H2" s="71" t="s">
        <v>428</v>
      </c>
      <c r="I2" s="70" t="s">
        <v>427</v>
      </c>
      <c r="J2" s="71" t="s">
        <v>426</v>
      </c>
      <c r="K2" s="70" t="s">
        <v>425</v>
      </c>
      <c r="L2" s="70" t="s">
        <v>424</v>
      </c>
      <c r="M2" s="70" t="s">
        <v>423</v>
      </c>
      <c r="N2" s="70" t="s">
        <v>422</v>
      </c>
      <c r="O2" s="70" t="s">
        <v>421</v>
      </c>
      <c r="P2" s="69" t="s">
        <v>420</v>
      </c>
      <c r="Q2" s="69" t="s">
        <v>419</v>
      </c>
    </row>
    <row r="3" spans="1:17">
      <c r="A3" s="147"/>
      <c r="B3" s="148"/>
      <c r="C3" s="68"/>
      <c r="D3" s="67" t="s">
        <v>418</v>
      </c>
      <c r="E3" s="65" t="s">
        <v>417</v>
      </c>
      <c r="F3" s="65" t="s">
        <v>416</v>
      </c>
      <c r="G3" s="65" t="s">
        <v>415</v>
      </c>
      <c r="H3" s="66" t="s">
        <v>414</v>
      </c>
      <c r="I3" s="65" t="s">
        <v>413</v>
      </c>
      <c r="J3" s="66" t="s">
        <v>412</v>
      </c>
      <c r="K3" s="65" t="s">
        <v>411</v>
      </c>
      <c r="L3" s="65" t="s">
        <v>410</v>
      </c>
      <c r="M3" s="64" t="s">
        <v>409</v>
      </c>
      <c r="N3" s="63"/>
      <c r="O3" s="62" t="s">
        <v>408</v>
      </c>
      <c r="P3" s="61"/>
      <c r="Q3" s="60"/>
    </row>
    <row r="4" spans="1:17">
      <c r="A4" s="149" t="s">
        <v>407</v>
      </c>
      <c r="B4" s="51" t="s">
        <v>406</v>
      </c>
      <c r="C4" s="51" t="s">
        <v>139</v>
      </c>
      <c r="D4" s="51" t="s">
        <v>405</v>
      </c>
      <c r="E4" s="55">
        <v>1.37409</v>
      </c>
      <c r="F4" s="53">
        <v>84.3</v>
      </c>
      <c r="G4" s="53">
        <v>163</v>
      </c>
      <c r="H4" s="54">
        <v>2100</v>
      </c>
      <c r="I4" s="53">
        <v>77.400000000000006</v>
      </c>
      <c r="J4" s="54">
        <v>6530</v>
      </c>
      <c r="K4" s="53">
        <v>38</v>
      </c>
      <c r="L4" s="52"/>
      <c r="M4" s="52"/>
      <c r="N4" s="52">
        <v>21.5</v>
      </c>
      <c r="O4" s="52"/>
      <c r="P4" s="52">
        <v>8</v>
      </c>
      <c r="Q4" s="51" t="s">
        <v>186</v>
      </c>
    </row>
    <row r="5" spans="1:17">
      <c r="A5" s="150"/>
      <c r="B5" s="36" t="s">
        <v>404</v>
      </c>
      <c r="C5" s="36" t="s">
        <v>139</v>
      </c>
      <c r="D5" s="36" t="s">
        <v>403</v>
      </c>
      <c r="E5" s="40">
        <v>2.5893999999999999</v>
      </c>
      <c r="F5" s="38">
        <v>121</v>
      </c>
      <c r="G5" s="38">
        <v>214</v>
      </c>
      <c r="H5" s="39">
        <v>2700</v>
      </c>
      <c r="I5" s="38">
        <v>89.3</v>
      </c>
      <c r="J5" s="39">
        <v>10800</v>
      </c>
      <c r="K5" s="38">
        <v>60</v>
      </c>
      <c r="L5" s="37"/>
      <c r="M5" s="37"/>
      <c r="N5" s="37">
        <v>24.5</v>
      </c>
      <c r="O5" s="37"/>
      <c r="P5" s="37">
        <v>8</v>
      </c>
      <c r="Q5" s="36" t="s">
        <v>186</v>
      </c>
    </row>
    <row r="6" spans="1:17">
      <c r="A6" s="150"/>
      <c r="B6" s="36" t="s">
        <v>402</v>
      </c>
      <c r="C6" s="36" t="s">
        <v>139</v>
      </c>
      <c r="D6" s="36" t="s">
        <v>401</v>
      </c>
      <c r="E6" s="40">
        <v>5.5979999999999999</v>
      </c>
      <c r="F6" s="38">
        <v>180</v>
      </c>
      <c r="G6" s="38">
        <v>311</v>
      </c>
      <c r="H6" s="39">
        <v>3600</v>
      </c>
      <c r="I6" s="38">
        <v>105</v>
      </c>
      <c r="J6" s="39">
        <v>18800</v>
      </c>
      <c r="K6" s="38">
        <v>112</v>
      </c>
      <c r="L6" s="37"/>
      <c r="M6" s="37"/>
      <c r="N6" s="37">
        <v>28.3</v>
      </c>
      <c r="O6" s="37"/>
      <c r="P6" s="37">
        <v>12</v>
      </c>
      <c r="Q6" s="36" t="s">
        <v>186</v>
      </c>
    </row>
    <row r="7" spans="1:17">
      <c r="A7" s="150"/>
      <c r="B7" s="46" t="s">
        <v>400</v>
      </c>
      <c r="C7" s="46" t="s">
        <v>139</v>
      </c>
      <c r="D7" s="46" t="s">
        <v>399</v>
      </c>
      <c r="E7" s="50">
        <v>17.828099999999999</v>
      </c>
      <c r="F7" s="48">
        <v>279</v>
      </c>
      <c r="G7" s="48">
        <v>639</v>
      </c>
      <c r="H7" s="49">
        <v>3900</v>
      </c>
      <c r="I7" s="48">
        <v>144</v>
      </c>
      <c r="J7" s="49">
        <v>40100</v>
      </c>
      <c r="K7" s="48">
        <v>254</v>
      </c>
      <c r="L7" s="47"/>
      <c r="M7" s="47"/>
      <c r="N7" s="47">
        <v>41.4</v>
      </c>
      <c r="O7" s="47"/>
      <c r="P7" s="47" t="s">
        <v>398</v>
      </c>
      <c r="Q7" s="46" t="s">
        <v>186</v>
      </c>
    </row>
    <row r="8" spans="1:17">
      <c r="A8" s="149" t="s">
        <v>397</v>
      </c>
      <c r="B8" s="51" t="s">
        <v>396</v>
      </c>
      <c r="C8" s="51" t="s">
        <v>91</v>
      </c>
      <c r="D8" s="51" t="s">
        <v>395</v>
      </c>
      <c r="E8" s="55">
        <v>1.315E-3</v>
      </c>
      <c r="F8" s="53">
        <v>2.63</v>
      </c>
      <c r="G8" s="53">
        <v>5</v>
      </c>
      <c r="H8" s="54">
        <v>285</v>
      </c>
      <c r="I8" s="53">
        <v>12.6</v>
      </c>
      <c r="J8" s="54">
        <v>33.1</v>
      </c>
      <c r="K8" s="53">
        <v>0.16</v>
      </c>
      <c r="L8" s="52">
        <v>0.02</v>
      </c>
      <c r="M8" s="52">
        <v>1.1000000000000001</v>
      </c>
      <c r="N8" s="52">
        <v>2.7</v>
      </c>
      <c r="O8" s="52"/>
      <c r="P8" s="59" t="s">
        <v>301</v>
      </c>
      <c r="Q8" s="51" t="s">
        <v>186</v>
      </c>
    </row>
    <row r="9" spans="1:17">
      <c r="A9" s="150"/>
      <c r="B9" s="36" t="s">
        <v>394</v>
      </c>
      <c r="C9" s="36" t="s">
        <v>91</v>
      </c>
      <c r="D9" s="36" t="s">
        <v>393</v>
      </c>
      <c r="E9" s="40">
        <v>1.4762600000000001E-3</v>
      </c>
      <c r="F9" s="38">
        <v>3.31</v>
      </c>
      <c r="G9" s="38">
        <v>4.46</v>
      </c>
      <c r="H9" s="39">
        <v>405</v>
      </c>
      <c r="I9" s="38">
        <v>12.2</v>
      </c>
      <c r="J9" s="39">
        <v>40.4</v>
      </c>
      <c r="K9" s="38">
        <v>0.24</v>
      </c>
      <c r="L9" s="37">
        <v>0.02</v>
      </c>
      <c r="M9" s="37"/>
      <c r="N9" s="37">
        <v>2.7</v>
      </c>
      <c r="O9" s="37"/>
      <c r="P9" s="37">
        <v>6</v>
      </c>
      <c r="Q9" s="36" t="s">
        <v>186</v>
      </c>
    </row>
    <row r="10" spans="1:17">
      <c r="A10" s="150"/>
      <c r="B10" s="36" t="s">
        <v>392</v>
      </c>
      <c r="C10" s="36" t="s">
        <v>91</v>
      </c>
      <c r="D10" s="36" t="s">
        <v>391</v>
      </c>
      <c r="E10" s="40">
        <v>9.1350000000000008E-3</v>
      </c>
      <c r="F10" s="38">
        <v>7</v>
      </c>
      <c r="G10" s="38">
        <v>13.05</v>
      </c>
      <c r="H10" s="39">
        <v>590</v>
      </c>
      <c r="I10" s="38">
        <v>19.47</v>
      </c>
      <c r="J10" s="39">
        <v>139</v>
      </c>
      <c r="K10" s="38">
        <v>0.7</v>
      </c>
      <c r="L10" s="37">
        <v>0.06</v>
      </c>
      <c r="M10" s="37">
        <v>1.9</v>
      </c>
      <c r="N10" s="37">
        <v>4.78</v>
      </c>
      <c r="O10" s="37">
        <v>5.3</v>
      </c>
      <c r="P10" s="37">
        <v>6</v>
      </c>
      <c r="Q10" s="36" t="s">
        <v>186</v>
      </c>
    </row>
    <row r="11" spans="1:17">
      <c r="A11" s="150"/>
      <c r="B11" s="36" t="s">
        <v>390</v>
      </c>
      <c r="C11" s="36" t="s">
        <v>91</v>
      </c>
      <c r="D11" s="36" t="s">
        <v>389</v>
      </c>
      <c r="E11" s="40">
        <v>2.8677000000000001E-2</v>
      </c>
      <c r="F11" s="38">
        <v>12.1</v>
      </c>
      <c r="G11" s="38">
        <v>23.7</v>
      </c>
      <c r="H11" s="39">
        <v>850</v>
      </c>
      <c r="I11" s="38">
        <v>26.6</v>
      </c>
      <c r="J11" s="39">
        <v>302</v>
      </c>
      <c r="K11" s="38">
        <v>1.5</v>
      </c>
      <c r="L11" s="37">
        <v>0.16</v>
      </c>
      <c r="M11" s="37"/>
      <c r="N11" s="37">
        <v>6.6</v>
      </c>
      <c r="O11" s="37">
        <v>12.2</v>
      </c>
      <c r="P11" s="37">
        <v>8</v>
      </c>
      <c r="Q11" s="36" t="s">
        <v>89</v>
      </c>
    </row>
    <row r="12" spans="1:17">
      <c r="A12" s="150"/>
      <c r="B12" s="36" t="s">
        <v>388</v>
      </c>
      <c r="C12" s="36" t="s">
        <v>91</v>
      </c>
      <c r="D12" s="36" t="s">
        <v>387</v>
      </c>
      <c r="E12" s="40">
        <v>5.702850000000001E-2</v>
      </c>
      <c r="F12" s="38">
        <v>17.100000000000001</v>
      </c>
      <c r="G12" s="38">
        <v>33.35</v>
      </c>
      <c r="H12" s="39">
        <v>1130</v>
      </c>
      <c r="I12" s="38">
        <v>30.2</v>
      </c>
      <c r="J12" s="39">
        <v>517</v>
      </c>
      <c r="K12" s="38">
        <v>2.7</v>
      </c>
      <c r="L12" s="37">
        <v>0.23499999999999999</v>
      </c>
      <c r="M12" s="37"/>
      <c r="N12" s="37">
        <v>7.4</v>
      </c>
      <c r="O12" s="37">
        <v>22.2</v>
      </c>
      <c r="P12" s="37">
        <v>10</v>
      </c>
      <c r="Q12" s="36" t="s">
        <v>89</v>
      </c>
    </row>
    <row r="13" spans="1:17">
      <c r="A13" s="150"/>
      <c r="B13" s="36" t="s">
        <v>386</v>
      </c>
      <c r="C13" s="36" t="s">
        <v>91</v>
      </c>
      <c r="D13" s="36" t="s">
        <v>385</v>
      </c>
      <c r="E13" s="40">
        <v>7.6512000000000011E-2</v>
      </c>
      <c r="F13" s="38">
        <v>19.2</v>
      </c>
      <c r="G13" s="38">
        <v>39.85</v>
      </c>
      <c r="H13" s="39">
        <v>1140</v>
      </c>
      <c r="I13" s="38">
        <v>35</v>
      </c>
      <c r="J13" s="39">
        <v>672</v>
      </c>
      <c r="K13" s="38">
        <v>3.3</v>
      </c>
      <c r="L13" s="37">
        <v>0.31</v>
      </c>
      <c r="M13" s="37"/>
      <c r="N13" s="37">
        <v>8.5</v>
      </c>
      <c r="O13" s="37">
        <v>27.3</v>
      </c>
      <c r="P13" s="58" t="s">
        <v>304</v>
      </c>
      <c r="Q13" s="36" t="s">
        <v>380</v>
      </c>
    </row>
    <row r="14" spans="1:17">
      <c r="A14" s="150"/>
      <c r="B14" s="36" t="s">
        <v>384</v>
      </c>
      <c r="C14" s="36" t="s">
        <v>91</v>
      </c>
      <c r="D14" s="36" t="s">
        <v>383</v>
      </c>
      <c r="E14" s="40">
        <v>0.12429200000000001</v>
      </c>
      <c r="F14" s="38">
        <v>23</v>
      </c>
      <c r="G14" s="38">
        <v>54.04</v>
      </c>
      <c r="H14" s="39">
        <v>1250</v>
      </c>
      <c r="I14" s="38">
        <v>39.4</v>
      </c>
      <c r="J14" s="39">
        <v>900</v>
      </c>
      <c r="K14" s="38">
        <v>4.8</v>
      </c>
      <c r="L14" s="37">
        <v>0.42</v>
      </c>
      <c r="M14" s="37"/>
      <c r="N14" s="37">
        <v>9</v>
      </c>
      <c r="O14" s="37">
        <v>33.1</v>
      </c>
      <c r="P14" s="58" t="s">
        <v>301</v>
      </c>
      <c r="Q14" s="36" t="s">
        <v>380</v>
      </c>
    </row>
    <row r="15" spans="1:17">
      <c r="A15" s="150"/>
      <c r="B15" s="36" t="s">
        <v>382</v>
      </c>
      <c r="C15" s="36" t="s">
        <v>91</v>
      </c>
      <c r="D15" s="36" t="s">
        <v>381</v>
      </c>
      <c r="E15" s="40">
        <v>0.119056</v>
      </c>
      <c r="F15" s="38">
        <v>22.4</v>
      </c>
      <c r="G15" s="38">
        <v>53.15</v>
      </c>
      <c r="H15" s="39">
        <v>1350</v>
      </c>
      <c r="I15" s="38">
        <v>39.1</v>
      </c>
      <c r="J15" s="39">
        <v>882</v>
      </c>
      <c r="K15" s="38">
        <v>4.8</v>
      </c>
      <c r="L15" s="37">
        <v>0.41</v>
      </c>
      <c r="M15" s="37"/>
      <c r="N15" s="37">
        <v>9</v>
      </c>
      <c r="O15" s="37">
        <v>33.1</v>
      </c>
      <c r="P15" s="58" t="s">
        <v>301</v>
      </c>
      <c r="Q15" s="36" t="s">
        <v>380</v>
      </c>
    </row>
    <row r="16" spans="1:17">
      <c r="A16" s="150"/>
      <c r="B16" s="36" t="s">
        <v>379</v>
      </c>
      <c r="C16" s="36" t="s">
        <v>91</v>
      </c>
      <c r="D16" s="36" t="s">
        <v>378</v>
      </c>
      <c r="E16" s="40">
        <v>0.119056</v>
      </c>
      <c r="F16" s="38">
        <v>31</v>
      </c>
      <c r="G16" s="38">
        <v>50.7</v>
      </c>
      <c r="H16" s="39">
        <v>1460</v>
      </c>
      <c r="I16" s="38">
        <v>43</v>
      </c>
      <c r="J16" s="39">
        <v>1340</v>
      </c>
      <c r="K16" s="38">
        <v>7.5</v>
      </c>
      <c r="L16" s="37">
        <v>0.51</v>
      </c>
      <c r="M16" s="37"/>
      <c r="N16" s="37"/>
      <c r="O16" s="37"/>
      <c r="P16" s="37"/>
      <c r="Q16" s="36"/>
    </row>
    <row r="17" spans="1:17">
      <c r="A17" s="150"/>
      <c r="B17" s="36" t="s">
        <v>377</v>
      </c>
      <c r="C17" s="36" t="s">
        <v>91</v>
      </c>
      <c r="D17" s="36" t="s">
        <v>376</v>
      </c>
      <c r="E17" s="40">
        <v>0.119056</v>
      </c>
      <c r="F17" s="38">
        <v>41</v>
      </c>
      <c r="G17" s="38">
        <v>38.79</v>
      </c>
      <c r="H17" s="39">
        <v>2180</v>
      </c>
      <c r="I17" s="38">
        <v>39.4</v>
      </c>
      <c r="J17" s="39">
        <v>1610</v>
      </c>
      <c r="K17" s="38">
        <v>8.8000000000000007</v>
      </c>
      <c r="L17" s="37">
        <v>0.61</v>
      </c>
      <c r="M17" s="37"/>
      <c r="N17" s="37">
        <v>8.4499999999999993</v>
      </c>
      <c r="O17" s="37">
        <v>20</v>
      </c>
      <c r="P17" s="37">
        <v>8</v>
      </c>
      <c r="Q17" s="36" t="s">
        <v>89</v>
      </c>
    </row>
    <row r="18" spans="1:17">
      <c r="A18" s="150"/>
      <c r="B18" s="36" t="s">
        <v>375</v>
      </c>
      <c r="C18" s="36" t="s">
        <v>91</v>
      </c>
      <c r="D18" s="36" t="s">
        <v>374</v>
      </c>
      <c r="E18" s="40">
        <v>0.119056</v>
      </c>
      <c r="F18" s="38">
        <v>35.799999999999997</v>
      </c>
      <c r="G18" s="38">
        <v>122</v>
      </c>
      <c r="H18" s="39">
        <v>1250</v>
      </c>
      <c r="I18" s="38">
        <v>64.900000000000006</v>
      </c>
      <c r="J18" s="39">
        <v>2320</v>
      </c>
      <c r="K18" s="38">
        <v>12</v>
      </c>
      <c r="L18" s="37">
        <v>1.1599999999999999</v>
      </c>
      <c r="M18" s="37"/>
      <c r="N18" s="37"/>
      <c r="O18" s="37"/>
      <c r="P18" s="37"/>
      <c r="Q18" s="36"/>
    </row>
    <row r="19" spans="1:17">
      <c r="A19" s="150"/>
      <c r="B19" s="36" t="s">
        <v>373</v>
      </c>
      <c r="C19" s="36" t="s">
        <v>91</v>
      </c>
      <c r="D19" s="36" t="s">
        <v>372</v>
      </c>
      <c r="E19" s="40">
        <v>0.119056</v>
      </c>
      <c r="F19" s="38">
        <v>40</v>
      </c>
      <c r="G19" s="38">
        <v>78.2</v>
      </c>
      <c r="H19" s="39">
        <v>2000</v>
      </c>
      <c r="I19" s="38">
        <v>48.7</v>
      </c>
      <c r="J19" s="39">
        <v>1940</v>
      </c>
      <c r="K19" s="38">
        <v>9.1</v>
      </c>
      <c r="L19" s="37">
        <v>0.9</v>
      </c>
      <c r="M19" s="37"/>
      <c r="N19" s="37">
        <v>9.8000000000000007</v>
      </c>
      <c r="O19" s="37">
        <v>42.5</v>
      </c>
      <c r="P19" s="37"/>
      <c r="Q19" s="36"/>
    </row>
    <row r="20" spans="1:17">
      <c r="A20" s="150"/>
      <c r="B20" s="36" t="s">
        <v>371</v>
      </c>
      <c r="C20" s="36" t="s">
        <v>91</v>
      </c>
      <c r="D20" s="36" t="s">
        <v>370</v>
      </c>
      <c r="E20" s="40">
        <v>0.119056</v>
      </c>
      <c r="F20" s="38">
        <v>40.299999999999997</v>
      </c>
      <c r="G20" s="38">
        <v>78.73</v>
      </c>
      <c r="H20" s="39">
        <v>2000</v>
      </c>
      <c r="I20" s="38">
        <v>48.7</v>
      </c>
      <c r="J20" s="39">
        <v>1963</v>
      </c>
      <c r="K20" s="38">
        <v>10</v>
      </c>
      <c r="L20" s="37">
        <v>0.9</v>
      </c>
      <c r="M20" s="37"/>
      <c r="N20" s="37"/>
      <c r="O20" s="37"/>
      <c r="P20" s="37"/>
      <c r="Q20" s="36"/>
    </row>
    <row r="21" spans="1:17">
      <c r="A21" s="150"/>
      <c r="B21" s="36" t="s">
        <v>369</v>
      </c>
      <c r="C21" s="36" t="s">
        <v>91</v>
      </c>
      <c r="D21" s="36" t="s">
        <v>368</v>
      </c>
      <c r="E21" s="40">
        <v>0.119056</v>
      </c>
      <c r="F21" s="38">
        <v>86.9</v>
      </c>
      <c r="G21" s="38">
        <v>98.1</v>
      </c>
      <c r="H21" s="39">
        <v>3300</v>
      </c>
      <c r="I21" s="38">
        <v>57.7</v>
      </c>
      <c r="J21" s="39">
        <v>5010</v>
      </c>
      <c r="K21" s="38">
        <v>26</v>
      </c>
      <c r="L21" s="37">
        <v>2.5099999999999998</v>
      </c>
      <c r="M21" s="37"/>
      <c r="N21" s="37">
        <v>9.6</v>
      </c>
      <c r="O21" s="37">
        <v>39.4</v>
      </c>
      <c r="P21" s="37">
        <v>10</v>
      </c>
      <c r="Q21" s="36" t="s">
        <v>89</v>
      </c>
    </row>
    <row r="22" spans="1:17">
      <c r="A22" s="150"/>
      <c r="B22" s="36" t="s">
        <v>367</v>
      </c>
      <c r="C22" s="36" t="s">
        <v>91</v>
      </c>
      <c r="D22" s="36" t="s">
        <v>366</v>
      </c>
      <c r="E22" s="40">
        <v>0.119056</v>
      </c>
      <c r="F22" s="38">
        <v>109</v>
      </c>
      <c r="G22" s="38">
        <v>73.349999999999994</v>
      </c>
      <c r="H22" s="39">
        <v>4690</v>
      </c>
      <c r="I22" s="38">
        <v>57.7</v>
      </c>
      <c r="J22" s="39">
        <v>6310</v>
      </c>
      <c r="K22" s="38">
        <v>32</v>
      </c>
      <c r="L22" s="37">
        <v>2.9</v>
      </c>
      <c r="M22" s="37"/>
      <c r="N22" s="37">
        <v>13.7</v>
      </c>
      <c r="O22" s="37">
        <v>43.2</v>
      </c>
      <c r="P22" s="58" t="s">
        <v>153</v>
      </c>
      <c r="Q22" s="36" t="s">
        <v>89</v>
      </c>
    </row>
    <row r="23" spans="1:17">
      <c r="A23" s="150"/>
      <c r="B23" s="36" t="s">
        <v>365</v>
      </c>
      <c r="C23" s="36" t="s">
        <v>91</v>
      </c>
      <c r="D23" s="36" t="s">
        <v>364</v>
      </c>
      <c r="E23" s="40">
        <v>0.119056</v>
      </c>
      <c r="F23" s="38">
        <v>59.7</v>
      </c>
      <c r="G23" s="38">
        <v>124.87</v>
      </c>
      <c r="H23" s="39">
        <v>2100</v>
      </c>
      <c r="I23" s="38">
        <v>66.900000000000006</v>
      </c>
      <c r="J23" s="39">
        <v>4000</v>
      </c>
      <c r="K23" s="38">
        <v>22</v>
      </c>
      <c r="L23" s="37">
        <v>1.51</v>
      </c>
      <c r="M23" s="37"/>
      <c r="N23" s="37"/>
      <c r="O23" s="37"/>
      <c r="P23" s="37"/>
      <c r="Q23" s="36"/>
    </row>
    <row r="24" spans="1:17">
      <c r="A24" s="150"/>
      <c r="B24" s="36" t="s">
        <v>363</v>
      </c>
      <c r="C24" s="36" t="s">
        <v>91</v>
      </c>
      <c r="D24" s="36" t="s">
        <v>362</v>
      </c>
      <c r="E24" s="40">
        <v>0.119056</v>
      </c>
      <c r="F24" s="38">
        <v>84.8</v>
      </c>
      <c r="G24" s="38">
        <v>158</v>
      </c>
      <c r="H24" s="39">
        <v>2600</v>
      </c>
      <c r="I24" s="38">
        <v>69.7</v>
      </c>
      <c r="J24" s="39">
        <v>5910</v>
      </c>
      <c r="K24" s="38">
        <v>29</v>
      </c>
      <c r="L24" s="37">
        <v>2.96</v>
      </c>
      <c r="M24" s="37"/>
      <c r="N24" s="37">
        <v>15.7</v>
      </c>
      <c r="O24" s="37">
        <v>88.7</v>
      </c>
      <c r="P24" s="58">
        <v>12</v>
      </c>
      <c r="Q24" s="36" t="s">
        <v>89</v>
      </c>
    </row>
    <row r="25" spans="1:17">
      <c r="A25" s="150"/>
      <c r="B25" s="36" t="s">
        <v>361</v>
      </c>
      <c r="C25" s="36" t="s">
        <v>91</v>
      </c>
      <c r="D25" s="36" t="s">
        <v>360</v>
      </c>
      <c r="E25" s="40">
        <v>0.119056</v>
      </c>
      <c r="F25" s="38">
        <v>127</v>
      </c>
      <c r="G25" s="38">
        <v>173.23</v>
      </c>
      <c r="H25" s="39">
        <v>4150</v>
      </c>
      <c r="I25" s="38">
        <v>77</v>
      </c>
      <c r="J25" s="39">
        <v>9810</v>
      </c>
      <c r="K25" s="38">
        <v>50</v>
      </c>
      <c r="L25" s="37">
        <v>4.2</v>
      </c>
      <c r="M25" s="37"/>
      <c r="N25" s="37">
        <v>17.3</v>
      </c>
      <c r="O25" s="37">
        <v>108</v>
      </c>
      <c r="P25" s="37">
        <v>12</v>
      </c>
      <c r="Q25" s="36" t="s">
        <v>89</v>
      </c>
    </row>
    <row r="26" spans="1:17">
      <c r="A26" s="150"/>
      <c r="B26" s="36" t="s">
        <v>359</v>
      </c>
      <c r="C26" s="36" t="s">
        <v>91</v>
      </c>
      <c r="D26" s="36" t="s">
        <v>358</v>
      </c>
      <c r="E26" s="40">
        <v>0.119056</v>
      </c>
      <c r="F26" s="38">
        <v>157</v>
      </c>
      <c r="G26" s="38">
        <v>180</v>
      </c>
      <c r="H26" s="39">
        <v>4200</v>
      </c>
      <c r="I26" s="38">
        <v>79</v>
      </c>
      <c r="J26" s="39">
        <v>12470</v>
      </c>
      <c r="K26" s="38">
        <v>64</v>
      </c>
      <c r="L26" s="37">
        <v>6.25</v>
      </c>
      <c r="M26" s="37"/>
      <c r="N26" s="37"/>
      <c r="O26" s="37"/>
      <c r="P26" s="58"/>
      <c r="Q26" s="36"/>
    </row>
    <row r="27" spans="1:17">
      <c r="A27" s="150"/>
      <c r="B27" s="36" t="s">
        <v>357</v>
      </c>
      <c r="C27" s="36" t="s">
        <v>91</v>
      </c>
      <c r="D27" s="36" t="s">
        <v>356</v>
      </c>
      <c r="E27" s="40">
        <v>0.119056</v>
      </c>
      <c r="F27" s="38">
        <v>178</v>
      </c>
      <c r="G27" s="38">
        <v>278</v>
      </c>
      <c r="H27" s="39">
        <v>3800</v>
      </c>
      <c r="I27" s="38">
        <v>97.9</v>
      </c>
      <c r="J27" s="39">
        <v>19510</v>
      </c>
      <c r="K27" s="38">
        <v>88</v>
      </c>
      <c r="L27" s="37">
        <v>8.8000000000000007</v>
      </c>
      <c r="M27" s="37"/>
      <c r="N27" s="37"/>
      <c r="O27" s="37"/>
      <c r="P27" s="37"/>
      <c r="Q27" s="36"/>
    </row>
    <row r="28" spans="1:17">
      <c r="A28" s="150"/>
      <c r="B28" s="36" t="s">
        <v>355</v>
      </c>
      <c r="C28" s="36" t="s">
        <v>91</v>
      </c>
      <c r="D28" s="36" t="s">
        <v>354</v>
      </c>
      <c r="E28" s="40">
        <v>0.119056</v>
      </c>
      <c r="F28" s="38">
        <v>235</v>
      </c>
      <c r="G28" s="38">
        <v>275</v>
      </c>
      <c r="H28" s="39">
        <v>5000</v>
      </c>
      <c r="I28" s="38">
        <v>97.8</v>
      </c>
      <c r="J28" s="39">
        <v>23000</v>
      </c>
      <c r="K28" s="38">
        <v>116</v>
      </c>
      <c r="L28" s="37">
        <v>11.6</v>
      </c>
      <c r="M28" s="37"/>
      <c r="N28" s="37"/>
      <c r="O28" s="37"/>
      <c r="P28" s="58"/>
      <c r="Q28" s="36"/>
    </row>
    <row r="29" spans="1:17">
      <c r="A29" s="150"/>
      <c r="B29" s="36" t="s">
        <v>353</v>
      </c>
      <c r="C29" s="36" t="s">
        <v>91</v>
      </c>
      <c r="D29" s="36" t="s">
        <v>352</v>
      </c>
      <c r="E29" s="40">
        <v>0.119056</v>
      </c>
      <c r="F29" s="38">
        <v>242</v>
      </c>
      <c r="G29" s="38">
        <v>196.4</v>
      </c>
      <c r="H29" s="39">
        <v>6660</v>
      </c>
      <c r="I29" s="38">
        <v>90.6</v>
      </c>
      <c r="J29" s="39">
        <v>21930</v>
      </c>
      <c r="K29" s="38">
        <v>108</v>
      </c>
      <c r="L29" s="37">
        <v>9.6999999999999993</v>
      </c>
      <c r="M29" s="37"/>
      <c r="N29" s="37"/>
      <c r="O29" s="37"/>
      <c r="P29" s="37"/>
      <c r="Q29" s="36"/>
    </row>
    <row r="30" spans="1:17">
      <c r="A30" s="150"/>
      <c r="B30" s="36" t="s">
        <v>351</v>
      </c>
      <c r="C30" s="36" t="s">
        <v>91</v>
      </c>
      <c r="D30" s="36" t="s">
        <v>350</v>
      </c>
      <c r="E30" s="40">
        <v>0.119056</v>
      </c>
      <c r="F30" s="38">
        <v>226</v>
      </c>
      <c r="G30" s="38">
        <v>253.73</v>
      </c>
      <c r="H30" s="39">
        <v>6110</v>
      </c>
      <c r="I30" s="38">
        <v>95.8</v>
      </c>
      <c r="J30" s="39">
        <v>21600</v>
      </c>
      <c r="K30" s="38">
        <v>116</v>
      </c>
      <c r="L30" s="37">
        <v>9.4</v>
      </c>
      <c r="M30" s="37"/>
      <c r="N30" s="37">
        <v>21.3</v>
      </c>
      <c r="O30" s="37">
        <v>170</v>
      </c>
      <c r="P30" s="58">
        <v>12</v>
      </c>
      <c r="Q30" s="36" t="s">
        <v>89</v>
      </c>
    </row>
    <row r="31" spans="1:17">
      <c r="A31" s="150"/>
      <c r="B31" s="36" t="s">
        <v>349</v>
      </c>
      <c r="C31" s="36" t="s">
        <v>91</v>
      </c>
      <c r="D31" s="36" t="s">
        <v>348</v>
      </c>
      <c r="E31" s="40">
        <v>0.119056</v>
      </c>
      <c r="F31" s="38">
        <v>354</v>
      </c>
      <c r="G31" s="38">
        <v>386.34</v>
      </c>
      <c r="H31" s="39">
        <v>7100</v>
      </c>
      <c r="I31" s="38">
        <v>123</v>
      </c>
      <c r="J31" s="39">
        <v>43700</v>
      </c>
      <c r="K31" s="38">
        <v>234</v>
      </c>
      <c r="L31" s="37" t="s">
        <v>347</v>
      </c>
      <c r="M31" s="37"/>
      <c r="N31" s="37"/>
      <c r="O31" s="37"/>
      <c r="P31" s="37"/>
      <c r="Q31" s="36"/>
    </row>
    <row r="32" spans="1:17">
      <c r="A32" s="150"/>
      <c r="B32" s="36" t="s">
        <v>346</v>
      </c>
      <c r="C32" s="36" t="s">
        <v>91</v>
      </c>
      <c r="D32" s="36" t="s">
        <v>345</v>
      </c>
      <c r="E32" s="40">
        <v>0.119056</v>
      </c>
      <c r="F32" s="38">
        <v>344</v>
      </c>
      <c r="G32" s="38">
        <v>282.36</v>
      </c>
      <c r="H32" s="39">
        <v>8530</v>
      </c>
      <c r="I32" s="38">
        <v>102</v>
      </c>
      <c r="J32" s="39">
        <v>35100</v>
      </c>
      <c r="K32" s="38">
        <v>190</v>
      </c>
      <c r="L32" s="37">
        <v>8.5</v>
      </c>
      <c r="M32" s="37"/>
      <c r="N32" s="37"/>
      <c r="O32" s="37"/>
      <c r="P32" s="58"/>
      <c r="Q32" s="36"/>
    </row>
    <row r="33" spans="1:17">
      <c r="A33" s="150"/>
      <c r="B33" s="36" t="s">
        <v>344</v>
      </c>
      <c r="C33" s="36" t="s">
        <v>91</v>
      </c>
      <c r="D33" s="36" t="s">
        <v>343</v>
      </c>
      <c r="E33" s="40">
        <v>0.119056</v>
      </c>
      <c r="F33" s="38">
        <v>247</v>
      </c>
      <c r="G33" s="38">
        <v>399.02</v>
      </c>
      <c r="H33" s="39">
        <v>5670</v>
      </c>
      <c r="I33" s="38">
        <v>110</v>
      </c>
      <c r="J33" s="39">
        <v>27100</v>
      </c>
      <c r="K33" s="38">
        <v>135</v>
      </c>
      <c r="L33" s="37">
        <v>12.5</v>
      </c>
      <c r="M33" s="37"/>
      <c r="N33" s="37">
        <v>23.8</v>
      </c>
      <c r="O33" s="37">
        <v>294</v>
      </c>
      <c r="P33" s="37">
        <v>12</v>
      </c>
      <c r="Q33" s="36" t="s">
        <v>89</v>
      </c>
    </row>
    <row r="34" spans="1:17">
      <c r="A34" s="150"/>
      <c r="B34" s="36" t="s">
        <v>342</v>
      </c>
      <c r="C34" s="36" t="s">
        <v>91</v>
      </c>
      <c r="D34" s="36" t="s">
        <v>341</v>
      </c>
      <c r="E34" s="40">
        <v>0.119056</v>
      </c>
      <c r="F34" s="38">
        <v>120.85</v>
      </c>
      <c r="G34" s="38">
        <v>152.63999999999999</v>
      </c>
      <c r="H34" s="39">
        <v>2900</v>
      </c>
      <c r="I34" s="38">
        <v>104.9</v>
      </c>
      <c r="J34" s="39">
        <v>12676</v>
      </c>
      <c r="K34" s="38">
        <v>68</v>
      </c>
      <c r="L34" s="37">
        <v>5.83</v>
      </c>
      <c r="M34" s="37"/>
      <c r="N34" s="37">
        <v>28.25</v>
      </c>
      <c r="O34" s="37">
        <v>96.05</v>
      </c>
      <c r="P34" s="37">
        <v>12</v>
      </c>
      <c r="Q34" s="36" t="s">
        <v>186</v>
      </c>
    </row>
    <row r="35" spans="1:17">
      <c r="A35" s="150"/>
      <c r="B35" s="36" t="s">
        <v>340</v>
      </c>
      <c r="C35" s="36" t="s">
        <v>91</v>
      </c>
      <c r="D35" s="36" t="s">
        <v>339</v>
      </c>
      <c r="E35" s="40">
        <v>0.119056</v>
      </c>
      <c r="F35" s="38">
        <v>153.01</v>
      </c>
      <c r="G35" s="38">
        <v>198.22</v>
      </c>
      <c r="H35" s="39">
        <v>3100</v>
      </c>
      <c r="I35" s="38">
        <v>125.74</v>
      </c>
      <c r="J35" s="39">
        <v>19240</v>
      </c>
      <c r="K35" s="38">
        <v>102</v>
      </c>
      <c r="L35" s="37">
        <v>8.85</v>
      </c>
      <c r="M35" s="37"/>
      <c r="N35" s="37">
        <v>33.85</v>
      </c>
      <c r="O35" s="37">
        <v>115.09</v>
      </c>
      <c r="P35" s="37">
        <v>12</v>
      </c>
      <c r="Q35" s="36" t="s">
        <v>186</v>
      </c>
    </row>
    <row r="36" spans="1:17">
      <c r="A36" s="150"/>
      <c r="B36" s="46" t="s">
        <v>338</v>
      </c>
      <c r="C36" s="46" t="s">
        <v>91</v>
      </c>
      <c r="D36" s="46" t="s">
        <v>337</v>
      </c>
      <c r="E36" s="40">
        <v>0.119056</v>
      </c>
      <c r="F36" s="48">
        <v>535</v>
      </c>
      <c r="G36" s="48">
        <v>575</v>
      </c>
      <c r="H36" s="49">
        <v>8000</v>
      </c>
      <c r="I36" s="48">
        <v>147</v>
      </c>
      <c r="J36" s="49">
        <v>78700</v>
      </c>
      <c r="K36" s="48">
        <v>399</v>
      </c>
      <c r="L36" s="47" t="s">
        <v>336</v>
      </c>
      <c r="M36" s="47"/>
      <c r="N36" s="47"/>
      <c r="O36" s="47"/>
      <c r="P36" s="47"/>
      <c r="Q36" s="46"/>
    </row>
    <row r="37" spans="1:17">
      <c r="A37" s="150" t="s">
        <v>335</v>
      </c>
      <c r="B37" s="51" t="s">
        <v>334</v>
      </c>
      <c r="C37" s="51" t="s">
        <v>91</v>
      </c>
      <c r="D37" s="51" t="s">
        <v>333</v>
      </c>
      <c r="E37" s="55">
        <v>3.107E-2</v>
      </c>
      <c r="F37" s="53">
        <v>13</v>
      </c>
      <c r="G37" s="53">
        <v>23.9</v>
      </c>
      <c r="H37" s="54">
        <v>810</v>
      </c>
      <c r="I37" s="53">
        <v>29.6</v>
      </c>
      <c r="J37" s="54">
        <v>385</v>
      </c>
      <c r="K37" s="53">
        <v>2</v>
      </c>
      <c r="L37" s="52">
        <v>0.17</v>
      </c>
      <c r="M37" s="52"/>
      <c r="N37" s="52">
        <v>3.5</v>
      </c>
      <c r="O37" s="52"/>
      <c r="P37" s="52">
        <v>10</v>
      </c>
      <c r="Q37" s="51" t="s">
        <v>89</v>
      </c>
    </row>
    <row r="38" spans="1:17">
      <c r="A38" s="150"/>
      <c r="B38" s="36" t="s">
        <v>332</v>
      </c>
      <c r="C38" s="36" t="s">
        <v>91</v>
      </c>
      <c r="D38" s="36" t="s">
        <v>331</v>
      </c>
      <c r="E38" s="40">
        <v>8.0038200000000004E-2</v>
      </c>
      <c r="F38" s="38">
        <v>20.100000000000001</v>
      </c>
      <c r="G38" s="38">
        <v>39.82</v>
      </c>
      <c r="H38" s="39">
        <v>1100</v>
      </c>
      <c r="I38" s="38">
        <v>37.6</v>
      </c>
      <c r="J38" s="39">
        <v>754</v>
      </c>
      <c r="K38" s="38">
        <v>3.9</v>
      </c>
      <c r="L38" s="37">
        <v>0.32</v>
      </c>
      <c r="M38" s="37"/>
      <c r="N38" s="37"/>
      <c r="O38" s="37"/>
      <c r="P38" s="37"/>
      <c r="Q38" s="36"/>
    </row>
    <row r="39" spans="1:17">
      <c r="A39" s="150"/>
      <c r="B39" s="36" t="s">
        <v>330</v>
      </c>
      <c r="C39" s="36" t="s">
        <v>91</v>
      </c>
      <c r="D39" s="36" t="s">
        <v>329</v>
      </c>
      <c r="E39" s="40">
        <v>0.10130399999999999</v>
      </c>
      <c r="F39" s="38">
        <v>33.5</v>
      </c>
      <c r="G39" s="38">
        <v>30.24</v>
      </c>
      <c r="H39" s="39">
        <v>1570</v>
      </c>
      <c r="I39" s="38">
        <v>44.9</v>
      </c>
      <c r="J39" s="39">
        <v>1500</v>
      </c>
      <c r="K39" s="38">
        <v>7.4</v>
      </c>
      <c r="L39" s="37">
        <v>0.69</v>
      </c>
      <c r="M39" s="37"/>
      <c r="N39" s="37"/>
      <c r="O39" s="37"/>
      <c r="P39" s="37"/>
      <c r="Q39" s="36"/>
    </row>
    <row r="40" spans="1:17">
      <c r="A40" s="150"/>
      <c r="B40" s="36" t="s">
        <v>328</v>
      </c>
      <c r="C40" s="36" t="s">
        <v>91</v>
      </c>
      <c r="D40" s="36" t="s">
        <v>327</v>
      </c>
      <c r="E40" s="40">
        <v>0.237600125</v>
      </c>
      <c r="F40" s="38">
        <v>51.8</v>
      </c>
      <c r="G40" s="38">
        <v>45.868749999999999</v>
      </c>
      <c r="H40" s="39">
        <v>2000</v>
      </c>
      <c r="I40" s="38">
        <v>57.8</v>
      </c>
      <c r="J40" s="39">
        <v>2990</v>
      </c>
      <c r="K40" s="38">
        <v>15</v>
      </c>
      <c r="L40" s="37">
        <v>1.4</v>
      </c>
      <c r="M40" s="37"/>
      <c r="N40" s="37"/>
      <c r="O40" s="37"/>
      <c r="P40" s="37"/>
      <c r="Q40" s="36"/>
    </row>
    <row r="41" spans="1:17">
      <c r="A41" s="150"/>
      <c r="B41" s="46" t="s">
        <v>326</v>
      </c>
      <c r="C41" s="46" t="s">
        <v>91</v>
      </c>
      <c r="D41" s="46" t="s">
        <v>325</v>
      </c>
      <c r="E41" s="50">
        <v>0.65145600000000004</v>
      </c>
      <c r="F41" s="48">
        <v>83.2</v>
      </c>
      <c r="G41" s="48">
        <v>78.3</v>
      </c>
      <c r="H41" s="49">
        <v>2590</v>
      </c>
      <c r="I41" s="48">
        <v>74.3</v>
      </c>
      <c r="J41" s="49">
        <v>6180</v>
      </c>
      <c r="K41" s="48">
        <v>32</v>
      </c>
      <c r="L41" s="47">
        <v>2.9</v>
      </c>
      <c r="M41" s="47"/>
      <c r="N41" s="47"/>
      <c r="O41" s="47"/>
      <c r="P41" s="47"/>
      <c r="Q41" s="46"/>
    </row>
    <row r="42" spans="1:17">
      <c r="A42" s="150" t="s">
        <v>324</v>
      </c>
      <c r="B42" s="51" t="s">
        <v>323</v>
      </c>
      <c r="C42" s="51" t="s">
        <v>318</v>
      </c>
      <c r="D42" s="51" t="s">
        <v>322</v>
      </c>
      <c r="E42" s="55">
        <v>8.352E-3</v>
      </c>
      <c r="F42" s="53">
        <v>7.2</v>
      </c>
      <c r="G42" s="53">
        <v>11.6</v>
      </c>
      <c r="H42" s="54">
        <v>500</v>
      </c>
      <c r="I42" s="53">
        <v>23.7</v>
      </c>
      <c r="J42" s="54">
        <v>171</v>
      </c>
      <c r="K42" s="53">
        <v>0.45</v>
      </c>
      <c r="L42" s="52">
        <v>0.02</v>
      </c>
      <c r="M42" s="52"/>
      <c r="N42" s="52">
        <v>6</v>
      </c>
      <c r="O42" s="52"/>
      <c r="P42" s="52">
        <v>8</v>
      </c>
      <c r="Q42" s="51" t="s">
        <v>186</v>
      </c>
    </row>
    <row r="43" spans="1:17">
      <c r="A43" s="150"/>
      <c r="B43" s="36" t="s">
        <v>321</v>
      </c>
      <c r="C43" s="36" t="s">
        <v>318</v>
      </c>
      <c r="D43" s="36" t="s">
        <v>320</v>
      </c>
      <c r="E43" s="40">
        <v>1.8673200000000001E-2</v>
      </c>
      <c r="F43" s="38">
        <v>11.4</v>
      </c>
      <c r="G43" s="38">
        <v>16.38</v>
      </c>
      <c r="H43" s="39">
        <v>700</v>
      </c>
      <c r="I43" s="38">
        <v>28.5</v>
      </c>
      <c r="J43" s="39">
        <v>325</v>
      </c>
      <c r="K43" s="38">
        <v>0.9</v>
      </c>
      <c r="L43" s="37">
        <v>0.04</v>
      </c>
      <c r="M43" s="37"/>
      <c r="N43" s="37">
        <v>7.6</v>
      </c>
      <c r="O43" s="37"/>
      <c r="P43" s="37">
        <v>8</v>
      </c>
      <c r="Q43" s="36" t="s">
        <v>186</v>
      </c>
    </row>
    <row r="44" spans="1:17">
      <c r="A44" s="150"/>
      <c r="B44" s="36" t="s">
        <v>319</v>
      </c>
      <c r="C44" s="36" t="s">
        <v>318</v>
      </c>
      <c r="D44" s="36" t="s">
        <v>317</v>
      </c>
      <c r="E44" s="40">
        <v>4.7025000000000004E-2</v>
      </c>
      <c r="F44" s="38">
        <v>15</v>
      </c>
      <c r="G44" s="38">
        <v>31.35</v>
      </c>
      <c r="H44" s="39">
        <v>780</v>
      </c>
      <c r="I44" s="38">
        <v>34</v>
      </c>
      <c r="J44" s="39">
        <v>510</v>
      </c>
      <c r="K44" s="38">
        <v>1.4</v>
      </c>
      <c r="L44" s="37">
        <v>0.06</v>
      </c>
      <c r="M44" s="37"/>
      <c r="N44" s="37">
        <v>8.8000000000000007</v>
      </c>
      <c r="O44" s="37"/>
      <c r="P44" s="37">
        <v>8</v>
      </c>
      <c r="Q44" s="36" t="s">
        <v>186</v>
      </c>
    </row>
    <row r="45" spans="1:17">
      <c r="A45" s="150"/>
      <c r="B45" s="36" t="s">
        <v>316</v>
      </c>
      <c r="C45" s="36" t="s">
        <v>139</v>
      </c>
      <c r="D45" s="36" t="s">
        <v>315</v>
      </c>
      <c r="E45" s="40">
        <v>0.155</v>
      </c>
      <c r="F45" s="38">
        <v>31</v>
      </c>
      <c r="G45" s="38">
        <v>50</v>
      </c>
      <c r="H45" s="39">
        <v>1300</v>
      </c>
      <c r="I45" s="38">
        <v>47</v>
      </c>
      <c r="J45" s="39">
        <v>1460</v>
      </c>
      <c r="K45" s="38">
        <v>3.5</v>
      </c>
      <c r="L45" s="37">
        <v>0.27</v>
      </c>
      <c r="M45" s="37"/>
      <c r="N45" s="37">
        <v>13.5</v>
      </c>
      <c r="O45" s="37"/>
      <c r="P45" s="37">
        <v>8</v>
      </c>
      <c r="Q45" s="36" t="s">
        <v>186</v>
      </c>
    </row>
    <row r="46" spans="1:17">
      <c r="A46" s="150"/>
      <c r="B46" s="36" t="s">
        <v>314</v>
      </c>
      <c r="C46" s="36" t="s">
        <v>311</v>
      </c>
      <c r="D46" s="36" t="s">
        <v>313</v>
      </c>
      <c r="E46" s="40">
        <v>0.393762</v>
      </c>
      <c r="F46" s="38">
        <v>58</v>
      </c>
      <c r="G46" s="38">
        <v>67.89</v>
      </c>
      <c r="H46" s="39">
        <v>2200</v>
      </c>
      <c r="I46" s="38">
        <v>57</v>
      </c>
      <c r="J46" s="39">
        <v>3300</v>
      </c>
      <c r="K46" s="38">
        <v>8</v>
      </c>
      <c r="L46" s="37">
        <v>0.38</v>
      </c>
      <c r="M46" s="37"/>
      <c r="N46" s="37">
        <v>16.399999999999999</v>
      </c>
      <c r="O46" s="37">
        <v>43.4</v>
      </c>
      <c r="P46" s="37">
        <v>10</v>
      </c>
      <c r="Q46" s="36" t="s">
        <v>186</v>
      </c>
    </row>
    <row r="47" spans="1:17">
      <c r="A47" s="150"/>
      <c r="B47" s="46" t="s">
        <v>312</v>
      </c>
      <c r="C47" s="46" t="s">
        <v>311</v>
      </c>
      <c r="D47" s="46" t="s">
        <v>310</v>
      </c>
      <c r="E47" s="50">
        <v>0.6027840000000001</v>
      </c>
      <c r="F47" s="48">
        <v>69</v>
      </c>
      <c r="G47" s="48">
        <v>87.36</v>
      </c>
      <c r="H47" s="49">
        <v>2100</v>
      </c>
      <c r="I47" s="48">
        <v>68</v>
      </c>
      <c r="J47" s="49">
        <v>4700</v>
      </c>
      <c r="K47" s="48">
        <v>12</v>
      </c>
      <c r="L47" s="47">
        <v>0.54</v>
      </c>
      <c r="M47" s="47"/>
      <c r="N47" s="47">
        <v>20.100000000000001</v>
      </c>
      <c r="O47" s="47"/>
      <c r="P47" s="47">
        <v>12</v>
      </c>
      <c r="Q47" s="46" t="s">
        <v>186</v>
      </c>
    </row>
    <row r="48" spans="1:17">
      <c r="A48" s="150" t="s">
        <v>309</v>
      </c>
      <c r="B48" s="51" t="s">
        <v>308</v>
      </c>
      <c r="C48" s="51" t="s">
        <v>91</v>
      </c>
      <c r="D48" s="51" t="s">
        <v>307</v>
      </c>
      <c r="E48" s="55">
        <v>2.3500800000000002E-2</v>
      </c>
      <c r="F48" s="53">
        <v>14.4</v>
      </c>
      <c r="G48" s="53">
        <v>16.32</v>
      </c>
      <c r="H48" s="54">
        <v>1200</v>
      </c>
      <c r="I48" s="53">
        <v>21.3</v>
      </c>
      <c r="J48" s="54">
        <v>308</v>
      </c>
      <c r="K48" s="53">
        <v>1.9</v>
      </c>
      <c r="L48" s="52">
        <v>0.12</v>
      </c>
      <c r="M48" s="52"/>
      <c r="N48" s="52">
        <v>3.5</v>
      </c>
      <c r="O48" s="52">
        <v>8.6</v>
      </c>
      <c r="P48" s="52">
        <v>10</v>
      </c>
      <c r="Q48" s="51" t="s">
        <v>89</v>
      </c>
    </row>
    <row r="49" spans="1:17">
      <c r="A49" s="150"/>
      <c r="B49" s="36" t="s">
        <v>306</v>
      </c>
      <c r="C49" s="36" t="s">
        <v>91</v>
      </c>
      <c r="D49" s="36" t="s">
        <v>305</v>
      </c>
      <c r="E49" s="40">
        <v>8.3892599999999998E-2</v>
      </c>
      <c r="F49" s="38">
        <v>19.8</v>
      </c>
      <c r="G49" s="38">
        <v>42.37</v>
      </c>
      <c r="H49" s="39">
        <v>1100</v>
      </c>
      <c r="I49" s="38">
        <v>34.6</v>
      </c>
      <c r="J49" s="39">
        <v>670</v>
      </c>
      <c r="K49" s="38">
        <v>3.3</v>
      </c>
      <c r="L49" s="37">
        <v>0.31</v>
      </c>
      <c r="M49" s="37"/>
      <c r="N49" s="37">
        <v>8.5</v>
      </c>
      <c r="O49" s="37">
        <v>27.3</v>
      </c>
      <c r="P49" s="57" t="s">
        <v>304</v>
      </c>
      <c r="Q49" s="36" t="s">
        <v>300</v>
      </c>
    </row>
    <row r="50" spans="1:17">
      <c r="A50" s="150"/>
      <c r="B50" s="51" t="s">
        <v>303</v>
      </c>
      <c r="C50" s="51" t="s">
        <v>91</v>
      </c>
      <c r="D50" s="51" t="s">
        <v>302</v>
      </c>
      <c r="E50" s="55">
        <v>0.130464</v>
      </c>
      <c r="F50" s="53">
        <v>24</v>
      </c>
      <c r="G50" s="53">
        <v>54.36</v>
      </c>
      <c r="H50" s="54">
        <v>1400</v>
      </c>
      <c r="I50" s="53">
        <v>39.6</v>
      </c>
      <c r="J50" s="54">
        <v>950</v>
      </c>
      <c r="K50" s="53">
        <v>5.0999999999999996</v>
      </c>
      <c r="L50" s="52">
        <v>0.42</v>
      </c>
      <c r="M50" s="52"/>
      <c r="N50" s="52">
        <v>9.0500000000000007</v>
      </c>
      <c r="O50" s="52">
        <v>36.4</v>
      </c>
      <c r="P50" s="52" t="s">
        <v>301</v>
      </c>
      <c r="Q50" s="51" t="s">
        <v>300</v>
      </c>
    </row>
    <row r="51" spans="1:17">
      <c r="A51" s="150"/>
      <c r="B51" s="36" t="s">
        <v>299</v>
      </c>
      <c r="C51" s="36" t="s">
        <v>91</v>
      </c>
      <c r="D51" s="36" t="s">
        <v>298</v>
      </c>
      <c r="E51" s="40">
        <v>0.16060800000000003</v>
      </c>
      <c r="F51" s="38">
        <v>42</v>
      </c>
      <c r="G51" s="38">
        <v>38.24</v>
      </c>
      <c r="H51" s="39">
        <v>2400</v>
      </c>
      <c r="I51" s="38">
        <v>39.299999999999997</v>
      </c>
      <c r="J51" s="39">
        <v>1630</v>
      </c>
      <c r="K51" s="38">
        <v>9.8000000000000007</v>
      </c>
      <c r="L51" s="37">
        <v>0.6</v>
      </c>
      <c r="M51" s="37"/>
      <c r="N51" s="37">
        <v>8.4499999999999993</v>
      </c>
      <c r="O51" s="37">
        <v>20</v>
      </c>
      <c r="P51" s="57">
        <v>8</v>
      </c>
      <c r="Q51" s="36" t="s">
        <v>89</v>
      </c>
    </row>
    <row r="52" spans="1:17">
      <c r="A52" s="150"/>
      <c r="B52" s="51" t="s">
        <v>297</v>
      </c>
      <c r="C52" s="51" t="s">
        <v>91</v>
      </c>
      <c r="D52" s="51" t="s">
        <v>296</v>
      </c>
      <c r="E52" s="55">
        <v>0.31647900000000001</v>
      </c>
      <c r="F52" s="53">
        <v>41</v>
      </c>
      <c r="G52" s="53">
        <v>77.19</v>
      </c>
      <c r="H52" s="54">
        <v>2140</v>
      </c>
      <c r="I52" s="53">
        <v>47</v>
      </c>
      <c r="J52" s="54">
        <v>1927</v>
      </c>
      <c r="K52" s="53">
        <v>9.8000000000000007</v>
      </c>
      <c r="L52" s="52">
        <v>0.79</v>
      </c>
      <c r="M52" s="52"/>
      <c r="N52" s="52">
        <v>9.8000000000000007</v>
      </c>
      <c r="O52" s="52">
        <v>42.5</v>
      </c>
      <c r="P52" s="52">
        <v>8</v>
      </c>
      <c r="Q52" s="51" t="s">
        <v>89</v>
      </c>
    </row>
    <row r="53" spans="1:17">
      <c r="A53" s="150"/>
      <c r="B53" s="36" t="s">
        <v>295</v>
      </c>
      <c r="C53" s="36" t="s">
        <v>91</v>
      </c>
      <c r="D53" s="36" t="s">
        <v>294</v>
      </c>
      <c r="E53" s="40">
        <v>0.19795000000000001</v>
      </c>
      <c r="F53" s="38">
        <v>37</v>
      </c>
      <c r="G53" s="38">
        <v>53.5</v>
      </c>
      <c r="H53" s="39">
        <v>2000</v>
      </c>
      <c r="I53" s="38">
        <v>41.8</v>
      </c>
      <c r="J53" s="39">
        <v>1550</v>
      </c>
      <c r="K53" s="38">
        <v>8.5</v>
      </c>
      <c r="L53" s="37">
        <v>0.64</v>
      </c>
      <c r="M53" s="37"/>
      <c r="N53" s="37">
        <v>8.4499999999999993</v>
      </c>
      <c r="O53" s="37">
        <v>31.5</v>
      </c>
      <c r="P53" s="57">
        <v>8</v>
      </c>
      <c r="Q53" s="36" t="s">
        <v>89</v>
      </c>
    </row>
    <row r="54" spans="1:17">
      <c r="A54" s="150"/>
      <c r="B54" s="51" t="s">
        <v>293</v>
      </c>
      <c r="C54" s="51" t="s">
        <v>91</v>
      </c>
      <c r="D54" s="51" t="s">
        <v>292</v>
      </c>
      <c r="E54" s="55">
        <v>0.60053800000000002</v>
      </c>
      <c r="F54" s="53">
        <v>86</v>
      </c>
      <c r="G54" s="53">
        <v>69.83</v>
      </c>
      <c r="H54" s="54">
        <v>4300</v>
      </c>
      <c r="I54" s="53">
        <v>48.2</v>
      </c>
      <c r="J54" s="54">
        <v>4145</v>
      </c>
      <c r="K54" s="53">
        <v>22</v>
      </c>
      <c r="L54" s="52">
        <v>1.65</v>
      </c>
      <c r="M54" s="52"/>
      <c r="N54" s="52">
        <v>9.6</v>
      </c>
      <c r="O54" s="52">
        <v>39.4</v>
      </c>
      <c r="P54" s="52">
        <v>10</v>
      </c>
      <c r="Q54" s="51" t="s">
        <v>89</v>
      </c>
    </row>
    <row r="55" spans="1:17">
      <c r="A55" s="150"/>
      <c r="B55" s="36" t="s">
        <v>291</v>
      </c>
      <c r="C55" s="36" t="s">
        <v>91</v>
      </c>
      <c r="D55" s="36" t="s">
        <v>290</v>
      </c>
      <c r="E55" s="40">
        <v>0.82073400000000007</v>
      </c>
      <c r="F55" s="38">
        <v>111</v>
      </c>
      <c r="G55" s="38">
        <v>73.94</v>
      </c>
      <c r="H55" s="39">
        <v>4690</v>
      </c>
      <c r="I55" s="38">
        <v>58</v>
      </c>
      <c r="J55" s="39">
        <v>6440</v>
      </c>
      <c r="K55" s="38">
        <v>34</v>
      </c>
      <c r="L55" s="37">
        <v>3.1</v>
      </c>
      <c r="M55" s="37"/>
      <c r="N55" s="37">
        <v>13.7</v>
      </c>
      <c r="O55" s="37">
        <v>44.5</v>
      </c>
      <c r="P55" s="57" t="s">
        <v>153</v>
      </c>
      <c r="Q55" s="36" t="s">
        <v>89</v>
      </c>
    </row>
    <row r="56" spans="1:17">
      <c r="A56" s="150"/>
      <c r="B56" s="51" t="s">
        <v>289</v>
      </c>
      <c r="C56" s="51" t="s">
        <v>91</v>
      </c>
      <c r="D56" s="51" t="s">
        <v>288</v>
      </c>
      <c r="E56" s="55">
        <v>1.5854115</v>
      </c>
      <c r="F56" s="53">
        <v>118.5</v>
      </c>
      <c r="G56" s="53">
        <v>133.79</v>
      </c>
      <c r="H56" s="54">
        <v>4400</v>
      </c>
      <c r="I56" s="53">
        <v>67.5</v>
      </c>
      <c r="J56" s="54">
        <v>8002</v>
      </c>
      <c r="K56" s="53">
        <v>41</v>
      </c>
      <c r="L56" s="52">
        <v>3.5</v>
      </c>
      <c r="M56" s="52"/>
      <c r="N56" s="52">
        <v>16.600000000000001</v>
      </c>
      <c r="O56" s="52">
        <v>88.8</v>
      </c>
      <c r="P56" s="52" t="s">
        <v>287</v>
      </c>
      <c r="Q56" s="51" t="s">
        <v>89</v>
      </c>
    </row>
    <row r="57" spans="1:17">
      <c r="A57" s="150"/>
      <c r="B57" s="36" t="s">
        <v>286</v>
      </c>
      <c r="C57" s="36" t="s">
        <v>91</v>
      </c>
      <c r="D57" s="36" t="s">
        <v>285</v>
      </c>
      <c r="E57" s="40">
        <v>1.3343226000000001</v>
      </c>
      <c r="F57" s="38">
        <v>101.4</v>
      </c>
      <c r="G57" s="38">
        <v>131.59</v>
      </c>
      <c r="H57" s="39">
        <v>3800</v>
      </c>
      <c r="I57" s="38">
        <v>67.099999999999994</v>
      </c>
      <c r="J57" s="39">
        <v>6804</v>
      </c>
      <c r="K57" s="38">
        <v>36</v>
      </c>
      <c r="L57" s="37">
        <v>2.85</v>
      </c>
      <c r="M57" s="37"/>
      <c r="N57" s="37">
        <v>15.7</v>
      </c>
      <c r="O57" s="37">
        <v>88.7</v>
      </c>
      <c r="P57" s="57">
        <v>12</v>
      </c>
      <c r="Q57" s="36" t="s">
        <v>89</v>
      </c>
    </row>
    <row r="58" spans="1:17">
      <c r="A58" s="150"/>
      <c r="B58" s="51" t="s">
        <v>284</v>
      </c>
      <c r="C58" s="51" t="s">
        <v>91</v>
      </c>
      <c r="D58" s="51" t="s">
        <v>283</v>
      </c>
      <c r="E58" s="55">
        <v>1.6592</v>
      </c>
      <c r="F58" s="53">
        <v>122</v>
      </c>
      <c r="G58" s="53">
        <v>136</v>
      </c>
      <c r="H58" s="54">
        <v>3950</v>
      </c>
      <c r="I58" s="53">
        <v>68</v>
      </c>
      <c r="J58" s="54">
        <v>8350</v>
      </c>
      <c r="K58" s="53">
        <v>43</v>
      </c>
      <c r="L58" s="52">
        <v>4.2</v>
      </c>
      <c r="M58" s="52"/>
      <c r="N58" s="52"/>
      <c r="O58" s="52"/>
      <c r="P58" s="52"/>
      <c r="Q58" s="51"/>
    </row>
    <row r="59" spans="1:17">
      <c r="A59" s="150"/>
      <c r="B59" s="36" t="s">
        <v>282</v>
      </c>
      <c r="C59" s="36" t="s">
        <v>91</v>
      </c>
      <c r="D59" s="36" t="s">
        <v>281</v>
      </c>
      <c r="E59" s="40">
        <v>2.3301120000000002</v>
      </c>
      <c r="F59" s="38">
        <v>148</v>
      </c>
      <c r="G59" s="38">
        <v>157.44</v>
      </c>
      <c r="H59" s="39">
        <v>4860</v>
      </c>
      <c r="I59" s="38">
        <v>77</v>
      </c>
      <c r="J59" s="39">
        <v>11300</v>
      </c>
      <c r="K59" s="38">
        <v>60</v>
      </c>
      <c r="L59" s="37">
        <v>4.8</v>
      </c>
      <c r="M59" s="37"/>
      <c r="N59" s="37">
        <v>17.3</v>
      </c>
      <c r="O59" s="37">
        <v>108</v>
      </c>
      <c r="P59" s="57">
        <v>12</v>
      </c>
      <c r="Q59" s="36" t="s">
        <v>89</v>
      </c>
    </row>
    <row r="60" spans="1:17">
      <c r="A60" s="150"/>
      <c r="B60" s="51" t="s">
        <v>280</v>
      </c>
      <c r="C60" s="51" t="s">
        <v>91</v>
      </c>
      <c r="D60" s="51" t="s">
        <v>279</v>
      </c>
      <c r="E60" s="55">
        <v>5.5218400000000001</v>
      </c>
      <c r="F60" s="53">
        <v>230</v>
      </c>
      <c r="G60" s="53">
        <v>240.08</v>
      </c>
      <c r="H60" s="54">
        <v>6110</v>
      </c>
      <c r="I60" s="53">
        <v>94</v>
      </c>
      <c r="J60" s="54">
        <v>21600</v>
      </c>
      <c r="K60" s="53">
        <v>115</v>
      </c>
      <c r="L60" s="52">
        <v>9.1999999999999993</v>
      </c>
      <c r="M60" s="52"/>
      <c r="N60" s="52">
        <v>21.3</v>
      </c>
      <c r="O60" s="52">
        <v>170</v>
      </c>
      <c r="P60" s="52">
        <v>12</v>
      </c>
      <c r="Q60" s="51" t="s">
        <v>89</v>
      </c>
    </row>
    <row r="61" spans="1:17">
      <c r="A61" s="150"/>
      <c r="B61" s="36" t="s">
        <v>278</v>
      </c>
      <c r="C61" s="36" t="s">
        <v>91</v>
      </c>
      <c r="D61" s="36" t="s">
        <v>277</v>
      </c>
      <c r="E61" s="40">
        <v>9.802442000000001</v>
      </c>
      <c r="F61" s="38">
        <v>247</v>
      </c>
      <c r="G61" s="38">
        <v>396.86</v>
      </c>
      <c r="H61" s="39">
        <v>5670</v>
      </c>
      <c r="I61" s="38">
        <v>109</v>
      </c>
      <c r="J61" s="39">
        <v>27100</v>
      </c>
      <c r="K61" s="38">
        <v>139</v>
      </c>
      <c r="L61" s="37">
        <v>1.25</v>
      </c>
      <c r="M61" s="37"/>
      <c r="N61" s="37">
        <v>23.8</v>
      </c>
      <c r="O61" s="37">
        <v>294</v>
      </c>
      <c r="P61" s="57">
        <v>12</v>
      </c>
      <c r="Q61" s="36" t="s">
        <v>89</v>
      </c>
    </row>
    <row r="62" spans="1:17">
      <c r="A62" s="150"/>
      <c r="B62" s="41" t="s">
        <v>276</v>
      </c>
      <c r="C62" s="41" t="s">
        <v>91</v>
      </c>
      <c r="D62" s="41" t="s">
        <v>275</v>
      </c>
      <c r="E62" s="45">
        <v>37.761800000000001</v>
      </c>
      <c r="F62" s="43">
        <v>698</v>
      </c>
      <c r="G62" s="43">
        <v>541</v>
      </c>
      <c r="H62" s="44">
        <v>10500</v>
      </c>
      <c r="I62" s="43">
        <v>145</v>
      </c>
      <c r="J62" s="44">
        <v>101530</v>
      </c>
      <c r="K62" s="43">
        <v>519</v>
      </c>
      <c r="L62" s="42" t="s">
        <v>274</v>
      </c>
      <c r="M62" s="42"/>
      <c r="N62" s="42"/>
      <c r="O62" s="42"/>
      <c r="P62" s="42"/>
      <c r="Q62" s="41"/>
    </row>
    <row r="63" spans="1:17">
      <c r="A63" s="150" t="s">
        <v>273</v>
      </c>
      <c r="B63" s="51" t="s">
        <v>272</v>
      </c>
      <c r="C63" s="51" t="s">
        <v>139</v>
      </c>
      <c r="D63" s="51" t="s">
        <v>271</v>
      </c>
      <c r="E63" s="55">
        <v>1.0165E-2</v>
      </c>
      <c r="F63" s="53">
        <v>10.7</v>
      </c>
      <c r="G63" s="53">
        <v>9.5</v>
      </c>
      <c r="H63" s="54">
        <v>1120</v>
      </c>
      <c r="I63" s="53">
        <v>15.5</v>
      </c>
      <c r="J63" s="54">
        <v>165</v>
      </c>
      <c r="K63" s="53">
        <v>0.8</v>
      </c>
      <c r="L63" s="52">
        <v>0.03</v>
      </c>
      <c r="M63" s="52"/>
      <c r="N63" s="52">
        <v>3.4</v>
      </c>
      <c r="O63" s="52"/>
      <c r="P63" s="52">
        <v>6</v>
      </c>
      <c r="Q63" s="51" t="s">
        <v>186</v>
      </c>
    </row>
    <row r="64" spans="1:17">
      <c r="A64" s="150"/>
      <c r="B64" s="36" t="s">
        <v>270</v>
      </c>
      <c r="C64" s="36" t="s">
        <v>139</v>
      </c>
      <c r="D64" s="36" t="s">
        <v>269</v>
      </c>
      <c r="E64" s="40">
        <v>2.5504100000000005E-2</v>
      </c>
      <c r="F64" s="38">
        <v>11.3</v>
      </c>
      <c r="G64" s="38">
        <v>22.57</v>
      </c>
      <c r="H64" s="39">
        <v>1025</v>
      </c>
      <c r="I64" s="38">
        <v>19.3</v>
      </c>
      <c r="J64" s="39">
        <v>215</v>
      </c>
      <c r="K64" s="38">
        <v>1.1000000000000001</v>
      </c>
      <c r="L64" s="37">
        <v>0.04</v>
      </c>
      <c r="M64" s="37"/>
      <c r="N64" s="37">
        <v>5.6</v>
      </c>
      <c r="O64" s="37"/>
      <c r="P64" s="37">
        <v>8</v>
      </c>
      <c r="Q64" s="36" t="s">
        <v>186</v>
      </c>
    </row>
    <row r="65" spans="1:17">
      <c r="A65" s="150"/>
      <c r="B65" s="51" t="s">
        <v>268</v>
      </c>
      <c r="C65" s="51" t="s">
        <v>139</v>
      </c>
      <c r="D65" s="51" t="s">
        <v>267</v>
      </c>
      <c r="E65" s="55">
        <v>4.5629999999999997E-2</v>
      </c>
      <c r="F65" s="53">
        <v>19.5</v>
      </c>
      <c r="G65" s="53">
        <v>23.4</v>
      </c>
      <c r="H65" s="54">
        <v>1475</v>
      </c>
      <c r="I65" s="53">
        <v>24.2</v>
      </c>
      <c r="J65" s="54">
        <v>472</v>
      </c>
      <c r="K65" s="53">
        <v>2.4</v>
      </c>
      <c r="L65" s="52">
        <v>0.09</v>
      </c>
      <c r="M65" s="52"/>
      <c r="N65" s="52">
        <v>7.6</v>
      </c>
      <c r="O65" s="52"/>
      <c r="P65" s="52">
        <v>10</v>
      </c>
      <c r="Q65" s="51" t="s">
        <v>186</v>
      </c>
    </row>
    <row r="66" spans="1:17">
      <c r="A66" s="150"/>
      <c r="B66" s="36" t="s">
        <v>266</v>
      </c>
      <c r="C66" s="36" t="s">
        <v>139</v>
      </c>
      <c r="D66" s="36" t="s">
        <v>265</v>
      </c>
      <c r="E66" s="40">
        <v>0.12098300000000002</v>
      </c>
      <c r="F66" s="38">
        <v>33.700000000000003</v>
      </c>
      <c r="G66" s="38">
        <v>35.9</v>
      </c>
      <c r="H66" s="39">
        <v>2230</v>
      </c>
      <c r="I66" s="38">
        <v>29.5</v>
      </c>
      <c r="J66" s="39">
        <v>999</v>
      </c>
      <c r="K66" s="38">
        <v>5</v>
      </c>
      <c r="L66" s="37">
        <v>0.16</v>
      </c>
      <c r="M66" s="37"/>
      <c r="N66" s="37">
        <v>9.4499999999999993</v>
      </c>
      <c r="O66" s="37"/>
      <c r="P66" s="37">
        <v>8</v>
      </c>
      <c r="Q66" s="36" t="s">
        <v>186</v>
      </c>
    </row>
    <row r="67" spans="1:17">
      <c r="A67" s="150"/>
      <c r="B67" s="41" t="s">
        <v>264</v>
      </c>
      <c r="C67" s="41" t="s">
        <v>139</v>
      </c>
      <c r="D67" s="41" t="s">
        <v>263</v>
      </c>
      <c r="E67" s="45">
        <v>0.49974499999999999</v>
      </c>
      <c r="F67" s="43">
        <v>78.7</v>
      </c>
      <c r="G67" s="43">
        <v>63.5</v>
      </c>
      <c r="H67" s="44">
        <v>3950</v>
      </c>
      <c r="I67" s="43">
        <v>41.1</v>
      </c>
      <c r="J67" s="44">
        <v>3230</v>
      </c>
      <c r="K67" s="43">
        <v>16</v>
      </c>
      <c r="L67" s="42">
        <v>0.5</v>
      </c>
      <c r="M67" s="42"/>
      <c r="N67" s="42">
        <v>12.45</v>
      </c>
      <c r="O67" s="42"/>
      <c r="P67" s="42">
        <v>10</v>
      </c>
      <c r="Q67" s="41" t="s">
        <v>186</v>
      </c>
    </row>
    <row r="68" spans="1:17">
      <c r="A68" s="150" t="s">
        <v>262</v>
      </c>
      <c r="B68" s="51" t="s">
        <v>261</v>
      </c>
      <c r="C68" s="51" t="s">
        <v>118</v>
      </c>
      <c r="D68" s="51" t="s">
        <v>260</v>
      </c>
      <c r="E68" s="55">
        <v>7.2209100000000014E-3</v>
      </c>
      <c r="F68" s="53">
        <v>9.39</v>
      </c>
      <c r="G68" s="53">
        <v>7.69</v>
      </c>
      <c r="H68" s="54">
        <v>1000</v>
      </c>
      <c r="I68" s="53">
        <v>17.8</v>
      </c>
      <c r="J68" s="54">
        <v>167</v>
      </c>
      <c r="K68" s="53">
        <v>1.1000000000000001</v>
      </c>
      <c r="L68" s="52">
        <v>7.1999999999999995E-2</v>
      </c>
      <c r="M68" s="52">
        <v>5.4</v>
      </c>
      <c r="N68" s="52"/>
      <c r="O68" s="52"/>
      <c r="P68" s="52"/>
      <c r="Q68" s="51"/>
    </row>
    <row r="69" spans="1:17">
      <c r="A69" s="150"/>
      <c r="B69" s="36" t="s">
        <v>259</v>
      </c>
      <c r="C69" s="36" t="s">
        <v>118</v>
      </c>
      <c r="D69" s="36" t="s">
        <v>258</v>
      </c>
      <c r="E69" s="40">
        <v>2.8750000000000001E-2</v>
      </c>
      <c r="F69" s="38">
        <v>12.5</v>
      </c>
      <c r="G69" s="38">
        <v>23</v>
      </c>
      <c r="H69" s="39">
        <v>870</v>
      </c>
      <c r="I69" s="38">
        <v>30.6</v>
      </c>
      <c r="J69" s="39">
        <v>382</v>
      </c>
      <c r="K69" s="38">
        <v>2.1</v>
      </c>
      <c r="L69" s="37">
        <v>0.14000000000000001</v>
      </c>
      <c r="M69" s="37">
        <v>8.6</v>
      </c>
      <c r="N69" s="37">
        <v>6.9</v>
      </c>
      <c r="O69" s="37"/>
      <c r="P69" s="37">
        <v>10</v>
      </c>
      <c r="Q69" s="36" t="s">
        <v>186</v>
      </c>
    </row>
    <row r="70" spans="1:17">
      <c r="A70" s="150"/>
      <c r="B70" s="51" t="s">
        <v>257</v>
      </c>
      <c r="C70" s="51" t="s">
        <v>118</v>
      </c>
      <c r="D70" s="51" t="s">
        <v>256</v>
      </c>
      <c r="E70" s="55">
        <v>4.2636E-2</v>
      </c>
      <c r="F70" s="53">
        <v>22.8</v>
      </c>
      <c r="G70" s="53">
        <v>18.7</v>
      </c>
      <c r="H70" s="54">
        <v>1150</v>
      </c>
      <c r="I70" s="53">
        <v>40.200000000000003</v>
      </c>
      <c r="J70" s="54">
        <v>917</v>
      </c>
      <c r="K70" s="53">
        <v>4.5</v>
      </c>
      <c r="L70" s="52">
        <v>0.35</v>
      </c>
      <c r="M70" s="52">
        <v>20</v>
      </c>
      <c r="N70" s="52"/>
      <c r="O70" s="52"/>
      <c r="P70" s="52"/>
      <c r="Q70" s="51"/>
    </row>
    <row r="71" spans="1:17">
      <c r="A71" s="150"/>
      <c r="B71" s="36" t="s">
        <v>255</v>
      </c>
      <c r="C71" s="36" t="s">
        <v>118</v>
      </c>
      <c r="D71" s="36" t="s">
        <v>254</v>
      </c>
      <c r="E71" s="40">
        <v>0.123488</v>
      </c>
      <c r="F71" s="38">
        <v>22.7</v>
      </c>
      <c r="G71" s="38">
        <v>54.4</v>
      </c>
      <c r="H71" s="39">
        <v>940</v>
      </c>
      <c r="I71" s="38">
        <v>46.1</v>
      </c>
      <c r="J71" s="39">
        <v>10473</v>
      </c>
      <c r="K71" s="38">
        <v>5.3</v>
      </c>
      <c r="L71" s="37">
        <v>0.4</v>
      </c>
      <c r="M71" s="37">
        <v>27</v>
      </c>
      <c r="N71" s="37">
        <v>12.2</v>
      </c>
      <c r="O71" s="37"/>
      <c r="P71" s="37">
        <v>12</v>
      </c>
      <c r="Q71" s="36" t="s">
        <v>186</v>
      </c>
    </row>
    <row r="72" spans="1:17">
      <c r="A72" s="150"/>
      <c r="B72" s="51" t="s">
        <v>253</v>
      </c>
      <c r="C72" s="51" t="s">
        <v>118</v>
      </c>
      <c r="D72" s="51" t="s">
        <v>252</v>
      </c>
      <c r="E72" s="55">
        <v>0.39672000000000002</v>
      </c>
      <c r="F72" s="53">
        <v>46.4</v>
      </c>
      <c r="G72" s="53">
        <v>85.5</v>
      </c>
      <c r="H72" s="54">
        <v>1560</v>
      </c>
      <c r="I72" s="53">
        <v>59.2</v>
      </c>
      <c r="J72" s="54">
        <v>2748</v>
      </c>
      <c r="K72" s="53">
        <v>13</v>
      </c>
      <c r="L72" s="52">
        <v>1.1100000000000001</v>
      </c>
      <c r="M72" s="52">
        <v>63</v>
      </c>
      <c r="N72" s="52">
        <v>14.7</v>
      </c>
      <c r="O72" s="52"/>
      <c r="P72" s="52">
        <v>12</v>
      </c>
      <c r="Q72" s="51" t="s">
        <v>186</v>
      </c>
    </row>
    <row r="73" spans="1:17">
      <c r="A73" s="150"/>
      <c r="B73" s="36" t="s">
        <v>251</v>
      </c>
      <c r="C73" s="36" t="s">
        <v>118</v>
      </c>
      <c r="D73" s="36" t="s">
        <v>250</v>
      </c>
      <c r="E73" s="40">
        <v>0.206793</v>
      </c>
      <c r="F73" s="38">
        <v>33.299999999999997</v>
      </c>
      <c r="G73" s="38">
        <v>62.1</v>
      </c>
      <c r="H73" s="39">
        <v>1560</v>
      </c>
      <c r="I73" s="38">
        <v>46.2</v>
      </c>
      <c r="J73" s="39">
        <v>1539</v>
      </c>
      <c r="K73" s="38">
        <v>11</v>
      </c>
      <c r="L73" s="37">
        <v>0.65</v>
      </c>
      <c r="M73" s="37">
        <v>45</v>
      </c>
      <c r="N73" s="37">
        <v>14.7</v>
      </c>
      <c r="O73" s="37"/>
      <c r="P73" s="37">
        <v>12</v>
      </c>
      <c r="Q73" s="36" t="s">
        <v>186</v>
      </c>
    </row>
    <row r="74" spans="1:17">
      <c r="A74" s="150"/>
      <c r="B74" s="51" t="s">
        <v>249</v>
      </c>
      <c r="C74" s="51" t="s">
        <v>118</v>
      </c>
      <c r="D74" s="51" t="s">
        <v>248</v>
      </c>
      <c r="E74" s="55">
        <v>0.58968000000000009</v>
      </c>
      <c r="F74" s="53">
        <v>54.6</v>
      </c>
      <c r="G74" s="53">
        <v>108</v>
      </c>
      <c r="H74" s="54">
        <v>1540</v>
      </c>
      <c r="I74" s="53">
        <v>73.099999999999994</v>
      </c>
      <c r="J74" s="54">
        <v>3995</v>
      </c>
      <c r="K74" s="53">
        <v>18</v>
      </c>
      <c r="L74" s="52">
        <v>1.56</v>
      </c>
      <c r="M74" s="52">
        <v>80</v>
      </c>
      <c r="N74" s="52">
        <v>20.5</v>
      </c>
      <c r="O74" s="52"/>
      <c r="P74" s="52">
        <v>12</v>
      </c>
      <c r="Q74" s="51" t="s">
        <v>186</v>
      </c>
    </row>
    <row r="75" spans="1:17">
      <c r="A75" s="150"/>
      <c r="B75" s="46" t="s">
        <v>247</v>
      </c>
      <c r="C75" s="46" t="s">
        <v>118</v>
      </c>
      <c r="D75" s="46" t="s">
        <v>246</v>
      </c>
      <c r="E75" s="50">
        <v>0.7137</v>
      </c>
      <c r="F75" s="48">
        <v>61</v>
      </c>
      <c r="G75" s="48">
        <v>117</v>
      </c>
      <c r="H75" s="49">
        <v>1570</v>
      </c>
      <c r="I75" s="48">
        <v>81.599999999999994</v>
      </c>
      <c r="J75" s="49">
        <v>5035</v>
      </c>
      <c r="K75" s="48">
        <v>23</v>
      </c>
      <c r="L75" s="47">
        <v>2.0299999999999998</v>
      </c>
      <c r="M75" s="47">
        <v>85</v>
      </c>
      <c r="N75" s="47">
        <v>22.8</v>
      </c>
      <c r="O75" s="47"/>
      <c r="P75" s="47">
        <v>12</v>
      </c>
      <c r="Q75" s="46" t="s">
        <v>186</v>
      </c>
    </row>
    <row r="76" spans="1:17">
      <c r="A76" s="150" t="s">
        <v>245</v>
      </c>
      <c r="B76" s="51" t="s">
        <v>244</v>
      </c>
      <c r="C76" s="51" t="s">
        <v>219</v>
      </c>
      <c r="D76" s="51" t="s">
        <v>243</v>
      </c>
      <c r="E76" s="55">
        <v>5.9367999999999999E-3</v>
      </c>
      <c r="F76" s="53">
        <v>8.1999999999999993</v>
      </c>
      <c r="G76" s="53">
        <v>7.24</v>
      </c>
      <c r="H76" s="54">
        <v>1270</v>
      </c>
      <c r="I76" s="53">
        <v>13.7</v>
      </c>
      <c r="J76" s="54">
        <v>111.8</v>
      </c>
      <c r="K76" s="53">
        <v>0.55000000000000004</v>
      </c>
      <c r="L76" s="52"/>
      <c r="M76" s="52"/>
      <c r="N76" s="52"/>
      <c r="O76" s="52"/>
      <c r="P76" s="52"/>
      <c r="Q76" s="51"/>
    </row>
    <row r="77" spans="1:17">
      <c r="A77" s="150"/>
      <c r="B77" s="36" t="s">
        <v>242</v>
      </c>
      <c r="C77" s="36" t="s">
        <v>118</v>
      </c>
      <c r="D77" s="36" t="s">
        <v>241</v>
      </c>
      <c r="E77" s="40">
        <v>5.4208000000000008E-3</v>
      </c>
      <c r="F77" s="38">
        <v>8.4700000000000006</v>
      </c>
      <c r="G77" s="38">
        <v>6.4</v>
      </c>
      <c r="H77" s="39">
        <v>610</v>
      </c>
      <c r="I77" s="38">
        <v>14.2</v>
      </c>
      <c r="J77" s="39">
        <v>120</v>
      </c>
      <c r="K77" s="38">
        <v>0.6</v>
      </c>
      <c r="L77" s="37"/>
      <c r="M77" s="37">
        <v>3.9</v>
      </c>
      <c r="N77" s="37">
        <v>2.2000000000000002</v>
      </c>
      <c r="O77" s="37"/>
      <c r="P77" s="37">
        <v>8</v>
      </c>
      <c r="Q77" s="36" t="s">
        <v>89</v>
      </c>
    </row>
    <row r="78" spans="1:17">
      <c r="A78" s="150"/>
      <c r="B78" s="51" t="s">
        <v>240</v>
      </c>
      <c r="C78" s="51" t="s">
        <v>118</v>
      </c>
      <c r="D78" s="51" t="s">
        <v>239</v>
      </c>
      <c r="E78" s="55">
        <v>7.8039000000000008E-3</v>
      </c>
      <c r="F78" s="53">
        <v>11.7</v>
      </c>
      <c r="G78" s="53">
        <v>6.67</v>
      </c>
      <c r="H78" s="54">
        <v>870</v>
      </c>
      <c r="I78" s="53">
        <v>14</v>
      </c>
      <c r="J78" s="54">
        <v>174</v>
      </c>
      <c r="K78" s="53">
        <v>0.85</v>
      </c>
      <c r="L78" s="52"/>
      <c r="M78" s="56">
        <v>5</v>
      </c>
      <c r="N78" s="52">
        <v>1.9</v>
      </c>
      <c r="O78" s="52"/>
      <c r="P78" s="52">
        <v>10</v>
      </c>
      <c r="Q78" s="51" t="s">
        <v>89</v>
      </c>
    </row>
    <row r="79" spans="1:17">
      <c r="A79" s="150"/>
      <c r="B79" s="36" t="s">
        <v>238</v>
      </c>
      <c r="C79" s="36" t="s">
        <v>118</v>
      </c>
      <c r="D79" s="36" t="s">
        <v>237</v>
      </c>
      <c r="E79" s="40">
        <v>1.9008000000000004E-2</v>
      </c>
      <c r="F79" s="38">
        <v>17.600000000000001</v>
      </c>
      <c r="G79" s="38">
        <v>10.8</v>
      </c>
      <c r="H79" s="39">
        <v>1280</v>
      </c>
      <c r="I79" s="38">
        <v>19</v>
      </c>
      <c r="J79" s="39">
        <v>333</v>
      </c>
      <c r="K79" s="38">
        <v>1</v>
      </c>
      <c r="L79" s="37"/>
      <c r="M79" s="37">
        <v>9.5</v>
      </c>
      <c r="N79" s="37">
        <v>1.9</v>
      </c>
      <c r="O79" s="37"/>
      <c r="P79" s="37">
        <v>10</v>
      </c>
      <c r="Q79" s="36"/>
    </row>
    <row r="80" spans="1:17">
      <c r="A80" s="150"/>
      <c r="B80" s="51" t="s">
        <v>236</v>
      </c>
      <c r="C80" s="51" t="s">
        <v>219</v>
      </c>
      <c r="D80" s="51" t="s">
        <v>235</v>
      </c>
      <c r="E80" s="55">
        <v>0.19851840000000004</v>
      </c>
      <c r="F80" s="53">
        <v>28.8</v>
      </c>
      <c r="G80" s="53">
        <v>68.930000000000007</v>
      </c>
      <c r="H80" s="54">
        <v>1140</v>
      </c>
      <c r="I80" s="53">
        <v>54.9</v>
      </c>
      <c r="J80" s="54">
        <v>1584.1</v>
      </c>
      <c r="K80" s="53">
        <v>1.8</v>
      </c>
      <c r="L80" s="52"/>
      <c r="M80" s="52"/>
      <c r="N80" s="52"/>
      <c r="O80" s="52"/>
      <c r="P80" s="52"/>
      <c r="Q80" s="51"/>
    </row>
    <row r="81" spans="1:17">
      <c r="A81" s="150"/>
      <c r="B81" s="36" t="s">
        <v>234</v>
      </c>
      <c r="C81" s="36" t="s">
        <v>91</v>
      </c>
      <c r="D81" s="36" t="s">
        <v>233</v>
      </c>
      <c r="E81" s="40">
        <v>0.35571200000000003</v>
      </c>
      <c r="F81" s="38">
        <v>44.8</v>
      </c>
      <c r="G81" s="38">
        <v>79.400000000000006</v>
      </c>
      <c r="H81" s="39">
        <v>1920</v>
      </c>
      <c r="I81" s="38">
        <v>48.2</v>
      </c>
      <c r="J81" s="39">
        <v>2160</v>
      </c>
      <c r="K81" s="38">
        <v>11</v>
      </c>
      <c r="L81" s="37">
        <v>0.98</v>
      </c>
      <c r="M81" s="37">
        <v>87</v>
      </c>
      <c r="N81" s="37">
        <v>10.6</v>
      </c>
      <c r="O81" s="37">
        <v>48.4</v>
      </c>
      <c r="P81" s="37">
        <v>10</v>
      </c>
      <c r="Q81" s="36" t="s">
        <v>89</v>
      </c>
    </row>
    <row r="82" spans="1:17">
      <c r="A82" s="150"/>
      <c r="B82" s="51" t="s">
        <v>232</v>
      </c>
      <c r="C82" s="51" t="s">
        <v>219</v>
      </c>
      <c r="D82" s="51" t="s">
        <v>231</v>
      </c>
      <c r="E82" s="55">
        <v>7.3444800000000005E-2</v>
      </c>
      <c r="F82" s="53">
        <v>52.8</v>
      </c>
      <c r="G82" s="53">
        <v>13.91</v>
      </c>
      <c r="H82" s="54">
        <v>4330</v>
      </c>
      <c r="I82" s="53">
        <v>27.2</v>
      </c>
      <c r="J82" s="54">
        <v>1435.7</v>
      </c>
      <c r="K82" s="53">
        <v>8.1</v>
      </c>
      <c r="L82" s="52"/>
      <c r="M82" s="52"/>
      <c r="N82" s="52"/>
      <c r="O82" s="52"/>
      <c r="P82" s="52"/>
      <c r="Q82" s="51"/>
    </row>
    <row r="83" spans="1:17">
      <c r="A83" s="150"/>
      <c r="B83" s="36" t="s">
        <v>230</v>
      </c>
      <c r="C83" s="36" t="s">
        <v>91</v>
      </c>
      <c r="D83" s="36" t="s">
        <v>229</v>
      </c>
      <c r="E83" s="40">
        <v>0.93593999999999999</v>
      </c>
      <c r="F83" s="38">
        <v>82.1</v>
      </c>
      <c r="G83" s="38">
        <v>114</v>
      </c>
      <c r="H83" s="39">
        <v>2870</v>
      </c>
      <c r="I83" s="38">
        <v>64</v>
      </c>
      <c r="J83" s="39">
        <v>5257</v>
      </c>
      <c r="K83" s="38">
        <v>28</v>
      </c>
      <c r="L83" s="37">
        <v>2.2999999999999998</v>
      </c>
      <c r="M83" s="37">
        <v>203</v>
      </c>
      <c r="N83" s="37">
        <v>16.100000000000001</v>
      </c>
      <c r="O83" s="37">
        <v>71.8</v>
      </c>
      <c r="P83" s="37" t="s">
        <v>226</v>
      </c>
      <c r="Q83" s="36" t="s">
        <v>225</v>
      </c>
    </row>
    <row r="84" spans="1:17">
      <c r="A84" s="150"/>
      <c r="B84" s="51" t="s">
        <v>228</v>
      </c>
      <c r="C84" s="51" t="s">
        <v>91</v>
      </c>
      <c r="D84" s="51" t="s">
        <v>227</v>
      </c>
      <c r="E84" s="55">
        <v>1.2047200000000002</v>
      </c>
      <c r="F84" s="53">
        <v>81.400000000000006</v>
      </c>
      <c r="G84" s="53">
        <v>148</v>
      </c>
      <c r="H84" s="54">
        <v>2520</v>
      </c>
      <c r="I84" s="53">
        <v>75.5</v>
      </c>
      <c r="J84" s="54">
        <v>6143</v>
      </c>
      <c r="K84" s="53">
        <v>33</v>
      </c>
      <c r="L84" s="52">
        <v>2.7</v>
      </c>
      <c r="M84" s="52">
        <v>228</v>
      </c>
      <c r="N84" s="52">
        <v>21.8</v>
      </c>
      <c r="O84" s="52">
        <v>96.3</v>
      </c>
      <c r="P84" s="52" t="s">
        <v>226</v>
      </c>
      <c r="Q84" s="51" t="s">
        <v>225</v>
      </c>
    </row>
    <row r="85" spans="1:17">
      <c r="A85" s="150"/>
      <c r="B85" s="36" t="s">
        <v>224</v>
      </c>
      <c r="C85" s="36" t="s">
        <v>219</v>
      </c>
      <c r="D85" s="36" t="s">
        <v>223</v>
      </c>
      <c r="E85" s="40">
        <v>0.85462500000000008</v>
      </c>
      <c r="F85" s="38">
        <v>107.5</v>
      </c>
      <c r="G85" s="38">
        <v>79.5</v>
      </c>
      <c r="H85" s="39">
        <v>4500</v>
      </c>
      <c r="I85" s="38">
        <v>45</v>
      </c>
      <c r="J85" s="39">
        <v>4833.8</v>
      </c>
      <c r="K85" s="38">
        <v>25</v>
      </c>
      <c r="L85" s="37"/>
      <c r="M85" s="37"/>
      <c r="N85" s="37"/>
      <c r="O85" s="37"/>
      <c r="P85" s="37"/>
      <c r="Q85" s="36"/>
    </row>
    <row r="86" spans="1:17">
      <c r="A86" s="150"/>
      <c r="B86" s="51" t="s">
        <v>222</v>
      </c>
      <c r="C86" s="51" t="s">
        <v>219</v>
      </c>
      <c r="D86" s="51" t="s">
        <v>221</v>
      </c>
      <c r="E86" s="55">
        <v>1.3568849999999999</v>
      </c>
      <c r="F86" s="53">
        <v>85.5</v>
      </c>
      <c r="G86" s="53">
        <v>158.69999999999999</v>
      </c>
      <c r="H86" s="54">
        <v>2160</v>
      </c>
      <c r="I86" s="53">
        <v>75.400000000000006</v>
      </c>
      <c r="J86" s="54">
        <v>6673</v>
      </c>
      <c r="K86" s="53">
        <v>32</v>
      </c>
      <c r="L86" s="52"/>
      <c r="M86" s="52"/>
      <c r="N86" s="52"/>
      <c r="O86" s="52"/>
      <c r="P86" s="52"/>
      <c r="Q86" s="51"/>
    </row>
    <row r="87" spans="1:17">
      <c r="A87" s="150"/>
      <c r="B87" s="36" t="s">
        <v>220</v>
      </c>
      <c r="C87" s="36" t="s">
        <v>219</v>
      </c>
      <c r="D87" s="36" t="s">
        <v>218</v>
      </c>
      <c r="E87" s="40">
        <v>1.6178399999999999</v>
      </c>
      <c r="F87" s="38">
        <v>107</v>
      </c>
      <c r="G87" s="38">
        <v>151.19999999999999</v>
      </c>
      <c r="H87" s="39">
        <v>3000</v>
      </c>
      <c r="I87" s="38">
        <v>72.8</v>
      </c>
      <c r="J87" s="39">
        <v>7790</v>
      </c>
      <c r="K87" s="38">
        <v>51</v>
      </c>
      <c r="L87" s="37"/>
      <c r="M87" s="37"/>
      <c r="N87" s="37">
        <v>26.4</v>
      </c>
      <c r="O87" s="37">
        <v>152.69999999999999</v>
      </c>
      <c r="P87" s="37">
        <v>12</v>
      </c>
      <c r="Q87" s="36" t="s">
        <v>89</v>
      </c>
    </row>
    <row r="88" spans="1:17">
      <c r="A88" s="150"/>
      <c r="B88" s="51" t="s">
        <v>217</v>
      </c>
      <c r="C88" s="51" t="s">
        <v>91</v>
      </c>
      <c r="D88" s="51" t="s">
        <v>216</v>
      </c>
      <c r="E88" s="55">
        <v>2.3326000000000002</v>
      </c>
      <c r="F88" s="53">
        <v>107</v>
      </c>
      <c r="G88" s="53">
        <v>218</v>
      </c>
      <c r="H88" s="54">
        <v>2770</v>
      </c>
      <c r="I88" s="53">
        <v>90.8</v>
      </c>
      <c r="J88" s="54">
        <v>9682</v>
      </c>
      <c r="K88" s="53">
        <v>52</v>
      </c>
      <c r="L88" s="52">
        <v>4.2</v>
      </c>
      <c r="M88" s="52">
        <v>325</v>
      </c>
      <c r="N88" s="52">
        <v>26.1</v>
      </c>
      <c r="O88" s="52">
        <v>154.4</v>
      </c>
      <c r="P88" s="52" t="s">
        <v>215</v>
      </c>
      <c r="Q88" s="51" t="s">
        <v>89</v>
      </c>
    </row>
    <row r="89" spans="1:17">
      <c r="A89" s="150"/>
      <c r="B89" s="36" t="s">
        <v>214</v>
      </c>
      <c r="C89" s="36" t="s">
        <v>211</v>
      </c>
      <c r="D89" s="36" t="s">
        <v>213</v>
      </c>
      <c r="E89" s="40">
        <v>2.7712500000000002</v>
      </c>
      <c r="F89" s="38">
        <v>125</v>
      </c>
      <c r="G89" s="38">
        <v>221.7</v>
      </c>
      <c r="H89" s="39">
        <v>3850</v>
      </c>
      <c r="I89" s="38">
        <v>84</v>
      </c>
      <c r="J89" s="39">
        <v>10530</v>
      </c>
      <c r="K89" s="38">
        <v>56</v>
      </c>
      <c r="L89" s="37"/>
      <c r="M89" s="37"/>
      <c r="N89" s="37">
        <v>28.2</v>
      </c>
      <c r="O89" s="37"/>
      <c r="P89" s="37">
        <v>12</v>
      </c>
      <c r="Q89" s="36" t="s">
        <v>89</v>
      </c>
    </row>
    <row r="90" spans="1:17">
      <c r="A90" s="150"/>
      <c r="B90" s="51" t="s">
        <v>212</v>
      </c>
      <c r="C90" s="51" t="s">
        <v>211</v>
      </c>
      <c r="D90" s="51" t="s">
        <v>210</v>
      </c>
      <c r="E90" s="55">
        <v>3.4975000000000001</v>
      </c>
      <c r="F90" s="53">
        <v>125</v>
      </c>
      <c r="G90" s="53">
        <v>279.8</v>
      </c>
      <c r="H90" s="54">
        <v>3200</v>
      </c>
      <c r="I90" s="53">
        <v>96</v>
      </c>
      <c r="J90" s="54">
        <v>12000</v>
      </c>
      <c r="K90" s="53">
        <v>57.1</v>
      </c>
      <c r="L90" s="52"/>
      <c r="M90" s="52"/>
      <c r="N90" s="52">
        <v>28.4</v>
      </c>
      <c r="O90" s="52"/>
      <c r="P90" s="52">
        <v>16</v>
      </c>
      <c r="Q90" s="51" t="s">
        <v>89</v>
      </c>
    </row>
    <row r="91" spans="1:17">
      <c r="A91" s="150"/>
      <c r="B91" s="36" t="s">
        <v>209</v>
      </c>
      <c r="C91" s="36" t="s">
        <v>91</v>
      </c>
      <c r="D91" s="36" t="s">
        <v>208</v>
      </c>
      <c r="E91" s="40">
        <v>3.7101000000000002</v>
      </c>
      <c r="F91" s="38">
        <v>149</v>
      </c>
      <c r="G91" s="38">
        <v>249</v>
      </c>
      <c r="H91" s="39">
        <v>3620</v>
      </c>
      <c r="I91" s="38">
        <v>98</v>
      </c>
      <c r="J91" s="39">
        <v>14587</v>
      </c>
      <c r="K91" s="38">
        <v>78</v>
      </c>
      <c r="L91" s="37">
        <v>6.3</v>
      </c>
      <c r="M91" s="37">
        <v>421</v>
      </c>
      <c r="N91" s="37">
        <v>27.8</v>
      </c>
      <c r="O91" s="37">
        <v>178.8</v>
      </c>
      <c r="P91" s="37">
        <v>16</v>
      </c>
      <c r="Q91" s="36" t="s">
        <v>89</v>
      </c>
    </row>
    <row r="92" spans="1:17">
      <c r="A92" s="150"/>
      <c r="B92" s="51" t="s">
        <v>207</v>
      </c>
      <c r="C92" s="51" t="s">
        <v>91</v>
      </c>
      <c r="D92" s="51" t="s">
        <v>206</v>
      </c>
      <c r="E92" s="55">
        <v>4.3262</v>
      </c>
      <c r="F92" s="53">
        <v>194</v>
      </c>
      <c r="G92" s="53">
        <v>223</v>
      </c>
      <c r="H92" s="54">
        <v>4690</v>
      </c>
      <c r="I92" s="53">
        <v>98.8</v>
      </c>
      <c r="J92" s="54">
        <v>19163</v>
      </c>
      <c r="K92" s="53">
        <v>102</v>
      </c>
      <c r="L92" s="52">
        <v>8.6</v>
      </c>
      <c r="M92" s="52">
        <v>433</v>
      </c>
      <c r="N92" s="52">
        <v>27.8</v>
      </c>
      <c r="O92" s="52">
        <v>153.30000000000001</v>
      </c>
      <c r="P92" s="52">
        <v>16</v>
      </c>
      <c r="Q92" s="51" t="s">
        <v>89</v>
      </c>
    </row>
    <row r="93" spans="1:17">
      <c r="A93" s="150"/>
      <c r="B93" s="36" t="s">
        <v>205</v>
      </c>
      <c r="C93" s="36" t="s">
        <v>91</v>
      </c>
      <c r="D93" s="36" t="s">
        <v>204</v>
      </c>
      <c r="E93" s="40">
        <v>5.4960000000000004</v>
      </c>
      <c r="F93" s="38">
        <v>240</v>
      </c>
      <c r="G93" s="38">
        <v>229</v>
      </c>
      <c r="H93" s="39">
        <v>5340</v>
      </c>
      <c r="I93" s="38">
        <v>98.6</v>
      </c>
      <c r="J93" s="39">
        <v>23635</v>
      </c>
      <c r="K93" s="38">
        <v>116</v>
      </c>
      <c r="L93" s="37">
        <v>10.7</v>
      </c>
      <c r="M93" s="37">
        <v>509</v>
      </c>
      <c r="N93" s="37">
        <v>27.3</v>
      </c>
      <c r="O93" s="37">
        <v>159.69999999999999</v>
      </c>
      <c r="P93" s="37">
        <v>16</v>
      </c>
      <c r="Q93" s="36" t="s">
        <v>186</v>
      </c>
    </row>
    <row r="94" spans="1:17">
      <c r="A94" s="150"/>
      <c r="B94" s="51" t="s">
        <v>203</v>
      </c>
      <c r="C94" s="51" t="s">
        <v>180</v>
      </c>
      <c r="D94" s="51" t="s">
        <v>202</v>
      </c>
      <c r="E94" s="55">
        <v>9.0152999999999999</v>
      </c>
      <c r="F94" s="53">
        <v>243</v>
      </c>
      <c r="G94" s="53">
        <v>371</v>
      </c>
      <c r="H94" s="54">
        <v>3500</v>
      </c>
      <c r="I94" s="53">
        <v>118</v>
      </c>
      <c r="J94" s="54">
        <v>28700</v>
      </c>
      <c r="K94" s="53">
        <v>146</v>
      </c>
      <c r="L94" s="52"/>
      <c r="M94" s="52"/>
      <c r="N94" s="52"/>
      <c r="O94" s="52">
        <v>167.8</v>
      </c>
      <c r="P94" s="52"/>
      <c r="Q94" s="51"/>
    </row>
    <row r="95" spans="1:17">
      <c r="A95" s="150"/>
      <c r="B95" s="46" t="s">
        <v>201</v>
      </c>
      <c r="C95" s="46" t="s">
        <v>139</v>
      </c>
      <c r="D95" s="46" t="s">
        <v>200</v>
      </c>
      <c r="E95" s="50">
        <v>3.15</v>
      </c>
      <c r="F95" s="48">
        <v>250</v>
      </c>
      <c r="G95" s="48">
        <v>126</v>
      </c>
      <c r="H95" s="49">
        <v>6100</v>
      </c>
      <c r="I95" s="48">
        <v>91.8</v>
      </c>
      <c r="J95" s="49">
        <v>23000</v>
      </c>
      <c r="K95" s="48">
        <v>61</v>
      </c>
      <c r="L95" s="47">
        <v>3.8</v>
      </c>
      <c r="M95" s="47"/>
      <c r="N95" s="47">
        <v>31</v>
      </c>
      <c r="O95" s="47"/>
      <c r="P95" s="47">
        <v>18</v>
      </c>
      <c r="Q95" s="46" t="s">
        <v>89</v>
      </c>
    </row>
    <row r="96" spans="1:17">
      <c r="A96" s="150" t="s">
        <v>199</v>
      </c>
      <c r="B96" s="51" t="s">
        <v>198</v>
      </c>
      <c r="C96" s="51" t="s">
        <v>91</v>
      </c>
      <c r="D96" s="51" t="s">
        <v>197</v>
      </c>
      <c r="E96" s="55">
        <v>0.29116499999999995</v>
      </c>
      <c r="F96" s="53">
        <v>41.3</v>
      </c>
      <c r="G96" s="53">
        <v>70.5</v>
      </c>
      <c r="H96" s="54">
        <v>1720</v>
      </c>
      <c r="I96" s="53">
        <v>54.6</v>
      </c>
      <c r="J96" s="54">
        <v>22530</v>
      </c>
      <c r="K96" s="53">
        <v>13.3</v>
      </c>
      <c r="L96" s="52">
        <v>1.1000000000000001</v>
      </c>
      <c r="M96" s="52">
        <v>79</v>
      </c>
      <c r="N96" s="52"/>
      <c r="O96" s="52">
        <v>37.4</v>
      </c>
      <c r="P96" s="52"/>
      <c r="Q96" s="51"/>
    </row>
    <row r="97" spans="1:17">
      <c r="A97" s="150"/>
      <c r="B97" s="36" t="s">
        <v>196</v>
      </c>
      <c r="C97" s="36" t="s">
        <v>91</v>
      </c>
      <c r="D97" s="36" t="s">
        <v>195</v>
      </c>
      <c r="E97" s="40">
        <v>0.57425999999999999</v>
      </c>
      <c r="F97" s="38">
        <v>56.3</v>
      </c>
      <c r="G97" s="38">
        <v>102</v>
      </c>
      <c r="H97" s="39">
        <v>2125</v>
      </c>
      <c r="I97" s="38">
        <v>61.9</v>
      </c>
      <c r="J97" s="39">
        <v>3480</v>
      </c>
      <c r="K97" s="38">
        <v>19.5</v>
      </c>
      <c r="L97" s="37">
        <v>1.6</v>
      </c>
      <c r="M97" s="37">
        <v>115</v>
      </c>
      <c r="N97" s="37"/>
      <c r="O97" s="37">
        <v>44.7</v>
      </c>
      <c r="P97" s="37"/>
      <c r="Q97" s="36"/>
    </row>
    <row r="98" spans="1:17">
      <c r="A98" s="150"/>
      <c r="B98" s="51" t="s">
        <v>194</v>
      </c>
      <c r="C98" s="51" t="s">
        <v>91</v>
      </c>
      <c r="D98" s="51" t="s">
        <v>193</v>
      </c>
      <c r="E98" s="55">
        <v>1.0686719999999998</v>
      </c>
      <c r="F98" s="53">
        <v>73.599999999999994</v>
      </c>
      <c r="G98" s="53">
        <v>145.19999999999999</v>
      </c>
      <c r="H98" s="54">
        <v>2500</v>
      </c>
      <c r="I98" s="53">
        <v>70.599999999999994</v>
      </c>
      <c r="J98" s="54">
        <v>5193</v>
      </c>
      <c r="K98" s="53">
        <v>28</v>
      </c>
      <c r="L98" s="52">
        <v>2.4</v>
      </c>
      <c r="M98" s="52">
        <v>170</v>
      </c>
      <c r="N98" s="52">
        <v>19.7</v>
      </c>
      <c r="O98" s="52"/>
      <c r="P98" s="52">
        <v>13</v>
      </c>
      <c r="Q98" s="51" t="s">
        <v>186</v>
      </c>
    </row>
    <row r="99" spans="1:17">
      <c r="A99" s="150"/>
      <c r="B99" s="36" t="s">
        <v>192</v>
      </c>
      <c r="C99" s="36" t="s">
        <v>91</v>
      </c>
      <c r="D99" s="36" t="s">
        <v>191</v>
      </c>
      <c r="E99" s="40">
        <v>1.82548</v>
      </c>
      <c r="F99" s="38">
        <v>97.1</v>
      </c>
      <c r="G99" s="38">
        <v>188</v>
      </c>
      <c r="H99" s="39">
        <v>2780</v>
      </c>
      <c r="I99" s="38">
        <v>78.599999999999994</v>
      </c>
      <c r="J99" s="39">
        <v>7640</v>
      </c>
      <c r="K99" s="38">
        <v>40</v>
      </c>
      <c r="L99" s="37">
        <v>3.55</v>
      </c>
      <c r="M99" s="37">
        <v>271</v>
      </c>
      <c r="N99" s="37">
        <v>21.5</v>
      </c>
      <c r="O99" s="37"/>
      <c r="P99" s="37">
        <v>14</v>
      </c>
      <c r="Q99" s="36" t="s">
        <v>186</v>
      </c>
    </row>
    <row r="100" spans="1:17">
      <c r="A100" s="150"/>
      <c r="B100" s="51" t="s">
        <v>190</v>
      </c>
      <c r="C100" s="51" t="s">
        <v>91</v>
      </c>
      <c r="D100" s="51" t="s">
        <v>189</v>
      </c>
      <c r="E100" s="55">
        <v>3.2124999999999999</v>
      </c>
      <c r="F100" s="53">
        <v>125</v>
      </c>
      <c r="G100" s="53">
        <v>257</v>
      </c>
      <c r="H100" s="54">
        <v>3150</v>
      </c>
      <c r="I100" s="53">
        <v>92.1</v>
      </c>
      <c r="J100" s="54">
        <v>11500</v>
      </c>
      <c r="K100" s="53">
        <v>60</v>
      </c>
      <c r="L100" s="52">
        <v>5.3</v>
      </c>
      <c r="M100" s="52">
        <v>382</v>
      </c>
      <c r="N100" s="52">
        <v>26</v>
      </c>
      <c r="O100" s="52"/>
      <c r="P100" s="52">
        <v>16</v>
      </c>
      <c r="Q100" s="51" t="s">
        <v>186</v>
      </c>
    </row>
    <row r="101" spans="1:17">
      <c r="A101" s="150"/>
      <c r="B101" s="36" t="s">
        <v>188</v>
      </c>
      <c r="C101" s="36" t="s">
        <v>91</v>
      </c>
      <c r="D101" s="36" t="s">
        <v>187</v>
      </c>
      <c r="E101" s="40">
        <v>5.3375000000000004</v>
      </c>
      <c r="F101" s="38">
        <v>175</v>
      </c>
      <c r="G101" s="38">
        <v>305</v>
      </c>
      <c r="H101" s="39">
        <v>4000</v>
      </c>
      <c r="I101" s="38">
        <v>103</v>
      </c>
      <c r="J101" s="39">
        <v>18000</v>
      </c>
      <c r="K101" s="38">
        <v>94</v>
      </c>
      <c r="L101" s="37">
        <v>8.3000000000000007</v>
      </c>
      <c r="M101" s="37">
        <v>523</v>
      </c>
      <c r="N101" s="37">
        <v>30</v>
      </c>
      <c r="O101" s="37"/>
      <c r="P101" s="37">
        <v>18</v>
      </c>
      <c r="Q101" s="36" t="s">
        <v>186</v>
      </c>
    </row>
    <row r="102" spans="1:17">
      <c r="A102" s="150"/>
      <c r="B102" s="51" t="s">
        <v>185</v>
      </c>
      <c r="C102" s="51" t="s">
        <v>91</v>
      </c>
      <c r="D102" s="51" t="s">
        <v>184</v>
      </c>
      <c r="E102" s="55">
        <v>7.9874999999999998</v>
      </c>
      <c r="F102" s="53">
        <v>213</v>
      </c>
      <c r="G102" s="53">
        <v>375</v>
      </c>
      <c r="H102" s="54">
        <v>4440</v>
      </c>
      <c r="I102" s="53">
        <v>114</v>
      </c>
      <c r="J102" s="54">
        <v>24200</v>
      </c>
      <c r="K102" s="53">
        <v>124</v>
      </c>
      <c r="L102" s="52">
        <v>11.2</v>
      </c>
      <c r="M102" s="52">
        <v>682</v>
      </c>
      <c r="N102" s="52"/>
      <c r="O102" s="52"/>
      <c r="P102" s="52"/>
      <c r="Q102" s="51"/>
    </row>
    <row r="103" spans="1:17">
      <c r="A103" s="150"/>
      <c r="B103" s="36" t="s">
        <v>183</v>
      </c>
      <c r="C103" s="36" t="s">
        <v>180</v>
      </c>
      <c r="D103" s="36" t="s">
        <v>182</v>
      </c>
      <c r="E103" s="40">
        <v>11.536000000000001</v>
      </c>
      <c r="F103" s="38">
        <v>280</v>
      </c>
      <c r="G103" s="38">
        <v>412</v>
      </c>
      <c r="H103" s="39">
        <v>4200</v>
      </c>
      <c r="I103" s="38">
        <v>127</v>
      </c>
      <c r="J103" s="39">
        <v>35600</v>
      </c>
      <c r="K103" s="38">
        <v>180</v>
      </c>
      <c r="L103" s="37">
        <v>26</v>
      </c>
      <c r="M103" s="37"/>
      <c r="N103" s="37"/>
      <c r="O103" s="37"/>
      <c r="P103" s="37"/>
      <c r="Q103" s="36"/>
    </row>
    <row r="104" spans="1:17">
      <c r="A104" s="150"/>
      <c r="B104" s="41" t="s">
        <v>181</v>
      </c>
      <c r="C104" s="41" t="s">
        <v>180</v>
      </c>
      <c r="D104" s="41" t="s">
        <v>179</v>
      </c>
      <c r="E104" s="45">
        <v>17.406400000000001</v>
      </c>
      <c r="F104" s="43">
        <v>368</v>
      </c>
      <c r="G104" s="43">
        <v>473</v>
      </c>
      <c r="H104" s="44">
        <v>5000</v>
      </c>
      <c r="I104" s="43">
        <v>139</v>
      </c>
      <c r="J104" s="44">
        <v>51200</v>
      </c>
      <c r="K104" s="43">
        <v>260</v>
      </c>
      <c r="L104" s="42"/>
      <c r="M104" s="42"/>
      <c r="N104" s="42"/>
      <c r="O104" s="42"/>
      <c r="P104" s="42"/>
      <c r="Q104" s="41"/>
    </row>
    <row r="105" spans="1:17">
      <c r="A105" s="150" t="s">
        <v>178</v>
      </c>
      <c r="B105" s="51" t="s">
        <v>177</v>
      </c>
      <c r="C105" s="51" t="s">
        <v>118</v>
      </c>
      <c r="D105" s="51" t="s">
        <v>176</v>
      </c>
      <c r="E105" s="55">
        <v>0.57171800000000006</v>
      </c>
      <c r="F105" s="53">
        <v>67.900000000000006</v>
      </c>
      <c r="G105" s="53">
        <v>84.2</v>
      </c>
      <c r="H105" s="54">
        <v>3310</v>
      </c>
      <c r="I105" s="53">
        <v>49</v>
      </c>
      <c r="J105" s="54">
        <v>3277</v>
      </c>
      <c r="K105" s="53">
        <v>21</v>
      </c>
      <c r="L105" s="52">
        <v>1.3</v>
      </c>
      <c r="M105" s="52">
        <v>121</v>
      </c>
      <c r="N105" s="52"/>
      <c r="O105" s="52"/>
      <c r="P105" s="52"/>
      <c r="Q105" s="51"/>
    </row>
    <row r="106" spans="1:17">
      <c r="A106" s="150"/>
      <c r="B106" s="36" t="s">
        <v>175</v>
      </c>
      <c r="C106" s="36" t="s">
        <v>118</v>
      </c>
      <c r="D106" s="36" t="s">
        <v>174</v>
      </c>
      <c r="E106" s="40">
        <v>0.18529600000000002</v>
      </c>
      <c r="F106" s="38">
        <v>31.3</v>
      </c>
      <c r="G106" s="38">
        <v>59.2</v>
      </c>
      <c r="H106" s="39">
        <v>1600</v>
      </c>
      <c r="I106" s="38">
        <v>44.1</v>
      </c>
      <c r="J106" s="39">
        <v>1377</v>
      </c>
      <c r="K106" s="38">
        <v>9.6</v>
      </c>
      <c r="L106" s="37">
        <v>0.52</v>
      </c>
      <c r="M106" s="37">
        <v>50</v>
      </c>
      <c r="N106" s="37"/>
      <c r="O106" s="37"/>
      <c r="P106" s="37"/>
      <c r="Q106" s="36"/>
    </row>
    <row r="107" spans="1:17">
      <c r="A107" s="150"/>
      <c r="B107" s="46" t="s">
        <v>173</v>
      </c>
      <c r="C107" s="46" t="s">
        <v>118</v>
      </c>
      <c r="D107" s="46" t="s">
        <v>172</v>
      </c>
      <c r="E107" s="50">
        <v>0.88085900000000006</v>
      </c>
      <c r="F107" s="48">
        <v>70.3</v>
      </c>
      <c r="G107" s="48">
        <v>125.3</v>
      </c>
      <c r="H107" s="49">
        <v>2630</v>
      </c>
      <c r="I107" s="48">
        <v>64</v>
      </c>
      <c r="J107" s="49">
        <v>4498</v>
      </c>
      <c r="K107" s="48">
        <v>30</v>
      </c>
      <c r="L107" s="47">
        <v>1.7</v>
      </c>
      <c r="M107" s="47">
        <v>164</v>
      </c>
      <c r="N107" s="47"/>
      <c r="O107" s="47"/>
      <c r="P107" s="47"/>
      <c r="Q107" s="46"/>
    </row>
    <row r="108" spans="1:17">
      <c r="A108" s="150" t="s">
        <v>171</v>
      </c>
      <c r="B108" s="51" t="s">
        <v>170</v>
      </c>
      <c r="C108" s="51" t="s">
        <v>91</v>
      </c>
      <c r="D108" s="51" t="s">
        <v>169</v>
      </c>
      <c r="E108" s="55">
        <v>2.1840000000000002E-2</v>
      </c>
      <c r="F108" s="53">
        <v>14</v>
      </c>
      <c r="G108" s="53">
        <v>15.6</v>
      </c>
      <c r="H108" s="54">
        <v>680</v>
      </c>
      <c r="I108" s="53">
        <v>22.7</v>
      </c>
      <c r="J108" s="54">
        <v>318</v>
      </c>
      <c r="K108" s="53">
        <v>1.7</v>
      </c>
      <c r="L108" s="52">
        <v>0.08</v>
      </c>
      <c r="M108" s="52">
        <v>6.9</v>
      </c>
      <c r="N108" s="52">
        <v>5.9</v>
      </c>
      <c r="O108" s="52"/>
      <c r="P108" s="52" t="s">
        <v>164</v>
      </c>
      <c r="Q108" s="51" t="s">
        <v>89</v>
      </c>
    </row>
    <row r="109" spans="1:17">
      <c r="A109" s="150"/>
      <c r="B109" s="36" t="s">
        <v>168</v>
      </c>
      <c r="C109" s="36" t="s">
        <v>91</v>
      </c>
      <c r="D109" s="36" t="s">
        <v>167</v>
      </c>
      <c r="E109" s="40">
        <v>4.3133999999999999E-2</v>
      </c>
      <c r="F109" s="38">
        <v>23.7</v>
      </c>
      <c r="G109" s="38">
        <v>18.2</v>
      </c>
      <c r="H109" s="39">
        <v>1250</v>
      </c>
      <c r="I109" s="38">
        <v>22.4</v>
      </c>
      <c r="J109" s="39">
        <v>530</v>
      </c>
      <c r="K109" s="38">
        <v>3</v>
      </c>
      <c r="L109" s="37">
        <v>0.18</v>
      </c>
      <c r="M109" s="37">
        <v>16</v>
      </c>
      <c r="N109" s="37">
        <v>4.9000000000000004</v>
      </c>
      <c r="O109" s="37"/>
      <c r="P109" s="37" t="s">
        <v>164</v>
      </c>
      <c r="Q109" s="36" t="s">
        <v>89</v>
      </c>
    </row>
    <row r="110" spans="1:17">
      <c r="A110" s="150"/>
      <c r="B110" s="51" t="s">
        <v>166</v>
      </c>
      <c r="C110" s="51" t="s">
        <v>91</v>
      </c>
      <c r="D110" s="51" t="s">
        <v>165</v>
      </c>
      <c r="E110" s="55">
        <v>9.5160000000000008E-2</v>
      </c>
      <c r="F110" s="53">
        <v>36.6</v>
      </c>
      <c r="G110" s="53">
        <v>26</v>
      </c>
      <c r="H110" s="54">
        <v>1600</v>
      </c>
      <c r="I110" s="53">
        <v>28.6</v>
      </c>
      <c r="J110" s="54">
        <v>1050</v>
      </c>
      <c r="K110" s="53">
        <v>5.5</v>
      </c>
      <c r="L110" s="52">
        <v>0.41</v>
      </c>
      <c r="M110" s="52">
        <v>27</v>
      </c>
      <c r="N110" s="52">
        <v>6.4</v>
      </c>
      <c r="O110" s="52"/>
      <c r="P110" s="52" t="s">
        <v>164</v>
      </c>
      <c r="Q110" s="51" t="s">
        <v>89</v>
      </c>
    </row>
    <row r="111" spans="1:17">
      <c r="A111" s="150"/>
      <c r="B111" s="36" t="s">
        <v>163</v>
      </c>
      <c r="C111" s="36" t="s">
        <v>91</v>
      </c>
      <c r="D111" s="36" t="s">
        <v>162</v>
      </c>
      <c r="E111" s="40">
        <v>0.31296000000000002</v>
      </c>
      <c r="F111" s="38">
        <v>64</v>
      </c>
      <c r="G111" s="38">
        <v>48.9</v>
      </c>
      <c r="H111" s="39">
        <v>1950</v>
      </c>
      <c r="I111" s="38">
        <v>38</v>
      </c>
      <c r="J111" s="39">
        <v>2430</v>
      </c>
      <c r="K111" s="38">
        <v>13</v>
      </c>
      <c r="L111" s="37">
        <v>0.97</v>
      </c>
      <c r="M111" s="37">
        <v>67</v>
      </c>
      <c r="N111" s="37">
        <v>9.15</v>
      </c>
      <c r="O111" s="37"/>
      <c r="P111" s="37" t="s">
        <v>161</v>
      </c>
      <c r="Q111" s="36" t="s">
        <v>89</v>
      </c>
    </row>
    <row r="112" spans="1:17">
      <c r="A112" s="150"/>
      <c r="B112" s="51" t="s">
        <v>160</v>
      </c>
      <c r="C112" s="51" t="s">
        <v>91</v>
      </c>
      <c r="D112" s="51" t="s">
        <v>159</v>
      </c>
      <c r="E112" s="55">
        <v>0.68110000000000004</v>
      </c>
      <c r="F112" s="53">
        <v>98</v>
      </c>
      <c r="G112" s="53">
        <v>69.5</v>
      </c>
      <c r="H112" s="54">
        <v>3630</v>
      </c>
      <c r="I112" s="53">
        <v>44</v>
      </c>
      <c r="J112" s="54">
        <v>4310</v>
      </c>
      <c r="K112" s="53">
        <v>23</v>
      </c>
      <c r="L112" s="52">
        <v>1.8</v>
      </c>
      <c r="M112" s="52">
        <v>130</v>
      </c>
      <c r="N112" s="52">
        <v>10.75</v>
      </c>
      <c r="O112" s="52"/>
      <c r="P112" s="52" t="s">
        <v>153</v>
      </c>
      <c r="Q112" s="51" t="s">
        <v>89</v>
      </c>
    </row>
    <row r="113" spans="1:17">
      <c r="A113" s="150"/>
      <c r="B113" s="36" t="s">
        <v>158</v>
      </c>
      <c r="C113" s="36" t="s">
        <v>91</v>
      </c>
      <c r="D113" s="36" t="s">
        <v>157</v>
      </c>
      <c r="E113" s="40">
        <v>1.54</v>
      </c>
      <c r="F113" s="38">
        <v>140</v>
      </c>
      <c r="G113" s="38">
        <v>110</v>
      </c>
      <c r="H113" s="39">
        <v>4150</v>
      </c>
      <c r="I113" s="38">
        <v>56.9</v>
      </c>
      <c r="J113" s="39">
        <v>7960</v>
      </c>
      <c r="K113" s="38">
        <v>42</v>
      </c>
      <c r="L113" s="37">
        <v>3.3</v>
      </c>
      <c r="M113" s="37">
        <v>344</v>
      </c>
      <c r="N113" s="37">
        <v>14.8</v>
      </c>
      <c r="O113" s="37"/>
      <c r="P113" s="37" t="s">
        <v>156</v>
      </c>
      <c r="Q113" s="36" t="s">
        <v>89</v>
      </c>
    </row>
    <row r="114" spans="1:17">
      <c r="A114" s="150"/>
      <c r="B114" s="41" t="s">
        <v>155</v>
      </c>
      <c r="C114" s="41" t="s">
        <v>91</v>
      </c>
      <c r="D114" s="41" t="s">
        <v>154</v>
      </c>
      <c r="E114" s="45">
        <v>2.9140000000000001</v>
      </c>
      <c r="F114" s="43">
        <v>188</v>
      </c>
      <c r="G114" s="43">
        <v>155</v>
      </c>
      <c r="H114" s="44">
        <v>4600</v>
      </c>
      <c r="I114" s="43">
        <v>69</v>
      </c>
      <c r="J114" s="44">
        <v>13000</v>
      </c>
      <c r="K114" s="43">
        <v>70</v>
      </c>
      <c r="L114" s="42">
        <v>4.75</v>
      </c>
      <c r="M114" s="42">
        <v>376</v>
      </c>
      <c r="N114" s="42">
        <v>18.8</v>
      </c>
      <c r="O114" s="42"/>
      <c r="P114" s="42" t="s">
        <v>153</v>
      </c>
      <c r="Q114" s="41" t="s">
        <v>89</v>
      </c>
    </row>
    <row r="115" spans="1:17">
      <c r="A115" s="150" t="s">
        <v>152</v>
      </c>
      <c r="B115" s="51" t="s">
        <v>151</v>
      </c>
      <c r="C115" s="51" t="s">
        <v>139</v>
      </c>
      <c r="D115" s="51" t="s">
        <v>150</v>
      </c>
      <c r="E115" s="55">
        <v>3.7400000000000003E-2</v>
      </c>
      <c r="F115" s="53">
        <v>17</v>
      </c>
      <c r="G115" s="53">
        <v>22</v>
      </c>
      <c r="H115" s="54">
        <v>1750</v>
      </c>
      <c r="I115" s="53">
        <v>22.5</v>
      </c>
      <c r="J115" s="54">
        <v>495</v>
      </c>
      <c r="K115" s="53">
        <v>2.5</v>
      </c>
      <c r="L115" s="52"/>
      <c r="M115" s="52"/>
      <c r="N115" s="52">
        <v>4</v>
      </c>
      <c r="O115" s="52"/>
      <c r="P115" s="52">
        <v>12</v>
      </c>
      <c r="Q115" s="51" t="s">
        <v>89</v>
      </c>
    </row>
    <row r="116" spans="1:17">
      <c r="A116" s="150"/>
      <c r="B116" s="36" t="s">
        <v>149</v>
      </c>
      <c r="C116" s="36" t="s">
        <v>139</v>
      </c>
      <c r="D116" s="36" t="s">
        <v>148</v>
      </c>
      <c r="E116" s="40">
        <v>0.10665240000000002</v>
      </c>
      <c r="F116" s="38">
        <v>37.200000000000003</v>
      </c>
      <c r="G116" s="38">
        <v>28.67</v>
      </c>
      <c r="H116" s="39">
        <v>2400</v>
      </c>
      <c r="I116" s="38">
        <v>28.7</v>
      </c>
      <c r="J116" s="39">
        <v>1070</v>
      </c>
      <c r="K116" s="38">
        <v>5</v>
      </c>
      <c r="L116" s="37" t="s">
        <v>147</v>
      </c>
      <c r="M116" s="37"/>
      <c r="N116" s="37">
        <v>6</v>
      </c>
      <c r="O116" s="37"/>
      <c r="P116" s="37">
        <v>6</v>
      </c>
      <c r="Q116" s="36" t="s">
        <v>89</v>
      </c>
    </row>
    <row r="117" spans="1:17">
      <c r="A117" s="150"/>
      <c r="B117" s="41" t="s">
        <v>146</v>
      </c>
      <c r="C117" s="41" t="s">
        <v>139</v>
      </c>
      <c r="D117" s="41" t="s">
        <v>145</v>
      </c>
      <c r="E117" s="45">
        <v>0.18464160000000002</v>
      </c>
      <c r="F117" s="43">
        <v>57.2</v>
      </c>
      <c r="G117" s="43">
        <v>32.28</v>
      </c>
      <c r="H117" s="44">
        <v>3560</v>
      </c>
      <c r="I117" s="43">
        <v>31.6</v>
      </c>
      <c r="J117" s="44">
        <v>1810</v>
      </c>
      <c r="K117" s="43">
        <v>9</v>
      </c>
      <c r="L117" s="42" t="s">
        <v>144</v>
      </c>
      <c r="M117" s="42"/>
      <c r="N117" s="42">
        <v>5.16</v>
      </c>
      <c r="O117" s="42"/>
      <c r="P117" s="42">
        <v>10</v>
      </c>
      <c r="Q117" s="41" t="s">
        <v>89</v>
      </c>
    </row>
    <row r="118" spans="1:17">
      <c r="A118" s="150"/>
      <c r="B118" s="36" t="s">
        <v>143</v>
      </c>
      <c r="C118" s="36" t="s">
        <v>139</v>
      </c>
      <c r="D118" s="36" t="s">
        <v>142</v>
      </c>
      <c r="E118" s="40">
        <v>0.36099360000000003</v>
      </c>
      <c r="F118" s="38">
        <v>58.3</v>
      </c>
      <c r="G118" s="38">
        <v>61.92</v>
      </c>
      <c r="H118" s="39">
        <v>2900</v>
      </c>
      <c r="I118" s="38">
        <v>45.1</v>
      </c>
      <c r="J118" s="39">
        <v>2630</v>
      </c>
      <c r="K118" s="38">
        <v>13</v>
      </c>
      <c r="L118" s="37" t="s">
        <v>141</v>
      </c>
      <c r="M118" s="37"/>
      <c r="N118" s="37">
        <v>11.76</v>
      </c>
      <c r="O118" s="37"/>
      <c r="P118" s="37">
        <v>10</v>
      </c>
      <c r="Q118" s="36" t="s">
        <v>89</v>
      </c>
    </row>
    <row r="119" spans="1:17">
      <c r="A119" s="150"/>
      <c r="B119" s="41" t="s">
        <v>140</v>
      </c>
      <c r="C119" s="41" t="s">
        <v>139</v>
      </c>
      <c r="D119" s="41" t="s">
        <v>138</v>
      </c>
      <c r="E119" s="45">
        <v>0.88644599999999996</v>
      </c>
      <c r="F119" s="43">
        <v>111</v>
      </c>
      <c r="G119" s="43">
        <v>79.86</v>
      </c>
      <c r="H119" s="44">
        <v>4140</v>
      </c>
      <c r="I119" s="43">
        <v>50.2</v>
      </c>
      <c r="J119" s="44">
        <v>5570</v>
      </c>
      <c r="K119" s="43">
        <v>30</v>
      </c>
      <c r="L119" s="42" t="s">
        <v>137</v>
      </c>
      <c r="M119" s="42"/>
      <c r="N119" s="42">
        <v>10.8</v>
      </c>
      <c r="O119" s="42"/>
      <c r="P119" s="42">
        <v>10</v>
      </c>
      <c r="Q119" s="41" t="s">
        <v>89</v>
      </c>
    </row>
    <row r="120" spans="1:17">
      <c r="A120" s="150" t="s">
        <v>136</v>
      </c>
      <c r="B120" s="51" t="s">
        <v>135</v>
      </c>
      <c r="C120" s="51" t="s">
        <v>118</v>
      </c>
      <c r="D120" s="51" t="s">
        <v>134</v>
      </c>
      <c r="E120" s="55">
        <v>0.29139999999999999</v>
      </c>
      <c r="F120" s="53">
        <v>62</v>
      </c>
      <c r="G120" s="53">
        <v>47</v>
      </c>
      <c r="H120" s="54">
        <v>3880</v>
      </c>
      <c r="I120" s="53">
        <v>37.4</v>
      </c>
      <c r="J120" s="54">
        <v>2310</v>
      </c>
      <c r="K120" s="53">
        <v>13</v>
      </c>
      <c r="L120" s="52">
        <v>0.84</v>
      </c>
      <c r="M120" s="52">
        <v>70</v>
      </c>
      <c r="N120" s="52">
        <v>11.9</v>
      </c>
      <c r="O120" s="52"/>
      <c r="P120" s="52">
        <v>12</v>
      </c>
      <c r="Q120" s="51" t="s">
        <v>89</v>
      </c>
    </row>
    <row r="121" spans="1:17">
      <c r="A121" s="150"/>
      <c r="B121" s="41" t="s">
        <v>133</v>
      </c>
      <c r="C121" s="41" t="s">
        <v>118</v>
      </c>
      <c r="D121" s="41" t="s">
        <v>132</v>
      </c>
      <c r="E121" s="45">
        <v>0.40795999999999999</v>
      </c>
      <c r="F121" s="43">
        <v>62</v>
      </c>
      <c r="G121" s="43">
        <v>65.8</v>
      </c>
      <c r="H121" s="44">
        <v>3150</v>
      </c>
      <c r="I121" s="43">
        <v>45.7</v>
      </c>
      <c r="J121" s="44">
        <v>2790</v>
      </c>
      <c r="K121" s="43">
        <v>15</v>
      </c>
      <c r="L121" s="42">
        <v>1.02</v>
      </c>
      <c r="M121" s="42">
        <v>92</v>
      </c>
      <c r="N121" s="42">
        <v>11.9</v>
      </c>
      <c r="O121" s="42"/>
      <c r="P121" s="42">
        <v>12</v>
      </c>
      <c r="Q121" s="41" t="s">
        <v>89</v>
      </c>
    </row>
    <row r="122" spans="1:17">
      <c r="A122" s="150"/>
      <c r="B122" s="36" t="s">
        <v>131</v>
      </c>
      <c r="C122" s="36" t="s">
        <v>118</v>
      </c>
      <c r="D122" s="36" t="s">
        <v>130</v>
      </c>
      <c r="E122" s="40">
        <v>0.71875999999999995</v>
      </c>
      <c r="F122" s="38">
        <v>119</v>
      </c>
      <c r="G122" s="38">
        <v>60.4</v>
      </c>
      <c r="H122" s="39">
        <v>6170</v>
      </c>
      <c r="I122" s="38">
        <v>46.3</v>
      </c>
      <c r="J122" s="39">
        <v>5490</v>
      </c>
      <c r="K122" s="38">
        <v>31</v>
      </c>
      <c r="L122" s="37">
        <v>1.94</v>
      </c>
      <c r="M122" s="37">
        <v>170</v>
      </c>
      <c r="N122" s="37">
        <v>13.6</v>
      </c>
      <c r="O122" s="37"/>
      <c r="P122" s="37">
        <v>12</v>
      </c>
      <c r="Q122" s="36" t="s">
        <v>89</v>
      </c>
    </row>
    <row r="123" spans="1:17">
      <c r="A123" s="150"/>
      <c r="B123" s="41" t="s">
        <v>129</v>
      </c>
      <c r="C123" s="41" t="s">
        <v>118</v>
      </c>
      <c r="D123" s="41" t="s">
        <v>128</v>
      </c>
      <c r="E123" s="45">
        <v>0.9971000000000001</v>
      </c>
      <c r="F123" s="43">
        <v>118</v>
      </c>
      <c r="G123" s="43">
        <v>84.5</v>
      </c>
      <c r="H123" s="44">
        <v>5250</v>
      </c>
      <c r="I123" s="43">
        <v>55.5</v>
      </c>
      <c r="J123" s="44">
        <v>6530</v>
      </c>
      <c r="K123" s="43">
        <v>36</v>
      </c>
      <c r="L123" s="42">
        <v>2.3199999999999998</v>
      </c>
      <c r="M123" s="42">
        <v>195</v>
      </c>
      <c r="N123" s="42">
        <v>13.6</v>
      </c>
      <c r="O123" s="42"/>
      <c r="P123" s="42">
        <v>12</v>
      </c>
      <c r="Q123" s="41" t="s">
        <v>89</v>
      </c>
    </row>
    <row r="124" spans="1:17">
      <c r="A124" s="150"/>
      <c r="B124" s="36" t="s">
        <v>127</v>
      </c>
      <c r="C124" s="36" t="s">
        <v>118</v>
      </c>
      <c r="D124" s="36" t="s">
        <v>126</v>
      </c>
      <c r="E124" s="40">
        <v>1.3736000000000002</v>
      </c>
      <c r="F124" s="38">
        <v>170</v>
      </c>
      <c r="G124" s="38">
        <v>80.8</v>
      </c>
      <c r="H124" s="39">
        <v>7310</v>
      </c>
      <c r="I124" s="38">
        <v>55.5</v>
      </c>
      <c r="J124" s="39">
        <v>9420</v>
      </c>
      <c r="K124" s="38">
        <v>42</v>
      </c>
      <c r="L124" s="37">
        <v>2.92</v>
      </c>
      <c r="M124" s="37">
        <v>232</v>
      </c>
      <c r="N124" s="37"/>
      <c r="O124" s="37"/>
      <c r="P124" s="37"/>
      <c r="Q124" s="36"/>
    </row>
    <row r="125" spans="1:17">
      <c r="A125" s="150"/>
      <c r="B125" s="41" t="s">
        <v>125</v>
      </c>
      <c r="C125" s="41" t="s">
        <v>118</v>
      </c>
      <c r="D125" s="41" t="s">
        <v>124</v>
      </c>
      <c r="E125" s="45">
        <v>2.40856</v>
      </c>
      <c r="F125" s="43">
        <v>161</v>
      </c>
      <c r="G125" s="43">
        <v>149.6</v>
      </c>
      <c r="H125" s="44">
        <v>5140</v>
      </c>
      <c r="I125" s="43">
        <v>74.599999999999994</v>
      </c>
      <c r="J125" s="44">
        <v>11970</v>
      </c>
      <c r="K125" s="43">
        <v>55</v>
      </c>
      <c r="L125" s="42">
        <v>3.92</v>
      </c>
      <c r="M125" s="42">
        <v>331</v>
      </c>
      <c r="N125" s="42">
        <v>18.5</v>
      </c>
      <c r="O125" s="42"/>
      <c r="P125" s="42">
        <v>12</v>
      </c>
      <c r="Q125" s="41" t="s">
        <v>89</v>
      </c>
    </row>
    <row r="126" spans="1:17">
      <c r="A126" s="150"/>
      <c r="B126" s="36" t="s">
        <v>123</v>
      </c>
      <c r="C126" s="36" t="s">
        <v>118</v>
      </c>
      <c r="D126" s="36" t="s">
        <v>122</v>
      </c>
      <c r="E126" s="40">
        <v>4.32376</v>
      </c>
      <c r="F126" s="38">
        <v>196</v>
      </c>
      <c r="G126" s="38">
        <v>220.6</v>
      </c>
      <c r="H126" s="39">
        <v>4860</v>
      </c>
      <c r="I126" s="38">
        <v>87.9</v>
      </c>
      <c r="J126" s="39">
        <v>19260</v>
      </c>
      <c r="K126" s="38">
        <v>73</v>
      </c>
      <c r="L126" s="37">
        <v>5.27</v>
      </c>
      <c r="M126" s="37">
        <v>452</v>
      </c>
      <c r="N126" s="37"/>
      <c r="O126" s="37"/>
      <c r="P126" s="37"/>
      <c r="Q126" s="36"/>
    </row>
    <row r="127" spans="1:17">
      <c r="A127" s="150"/>
      <c r="B127" s="41" t="s">
        <v>121</v>
      </c>
      <c r="C127" s="41" t="s">
        <v>118</v>
      </c>
      <c r="D127" s="41" t="s">
        <v>120</v>
      </c>
      <c r="E127" s="45">
        <v>6.5526</v>
      </c>
      <c r="F127" s="43">
        <v>201</v>
      </c>
      <c r="G127" s="43">
        <v>326</v>
      </c>
      <c r="H127" s="44">
        <v>4300</v>
      </c>
      <c r="I127" s="43">
        <v>101.9</v>
      </c>
      <c r="J127" s="44">
        <v>20450</v>
      </c>
      <c r="K127" s="43">
        <v>95</v>
      </c>
      <c r="L127" s="42">
        <v>6.56</v>
      </c>
      <c r="M127" s="42">
        <v>596</v>
      </c>
      <c r="N127" s="42"/>
      <c r="O127" s="42"/>
      <c r="P127" s="42"/>
      <c r="Q127" s="41"/>
    </row>
    <row r="128" spans="1:17">
      <c r="A128" s="150"/>
      <c r="B128" s="46" t="s">
        <v>119</v>
      </c>
      <c r="C128" s="46" t="s">
        <v>118</v>
      </c>
      <c r="D128" s="46" t="s">
        <v>117</v>
      </c>
      <c r="E128" s="50">
        <v>14.202400000000001</v>
      </c>
      <c r="F128" s="48">
        <v>328</v>
      </c>
      <c r="G128" s="48">
        <v>433</v>
      </c>
      <c r="H128" s="49">
        <v>6720</v>
      </c>
      <c r="I128" s="48">
        <v>113</v>
      </c>
      <c r="J128" s="49">
        <v>37238</v>
      </c>
      <c r="K128" s="48">
        <v>195</v>
      </c>
      <c r="L128" s="47">
        <v>6.4</v>
      </c>
      <c r="M128" s="47">
        <v>1045</v>
      </c>
      <c r="N128" s="47"/>
      <c r="O128" s="47"/>
      <c r="P128" s="47"/>
      <c r="Q128" s="46"/>
    </row>
    <row r="129" spans="1:17">
      <c r="A129" s="150" t="s">
        <v>116</v>
      </c>
      <c r="B129" s="41" t="s">
        <v>115</v>
      </c>
      <c r="C129" s="41" t="s">
        <v>91</v>
      </c>
      <c r="D129" s="41" t="s">
        <v>114</v>
      </c>
      <c r="E129" s="45">
        <v>2.5064799999999998E-2</v>
      </c>
      <c r="F129" s="43">
        <v>7.76</v>
      </c>
      <c r="G129" s="43">
        <v>32.299999999999997</v>
      </c>
      <c r="H129" s="44">
        <v>560</v>
      </c>
      <c r="I129" s="43">
        <v>31.4</v>
      </c>
      <c r="J129" s="44">
        <v>243</v>
      </c>
      <c r="K129" s="43">
        <v>1.2</v>
      </c>
      <c r="L129" s="42">
        <v>0.12</v>
      </c>
      <c r="M129" s="42"/>
      <c r="N129" s="42"/>
      <c r="O129" s="42"/>
      <c r="P129" s="42"/>
      <c r="Q129" s="41"/>
    </row>
    <row r="130" spans="1:17">
      <c r="A130" s="150"/>
      <c r="B130" s="36" t="s">
        <v>113</v>
      </c>
      <c r="C130" s="36" t="s">
        <v>91</v>
      </c>
      <c r="D130" s="36" t="s">
        <v>112</v>
      </c>
      <c r="E130" s="40">
        <v>2.6928000000000004E-2</v>
      </c>
      <c r="F130" s="38">
        <v>7.65</v>
      </c>
      <c r="G130" s="38">
        <v>35.200000000000003</v>
      </c>
      <c r="H130" s="39">
        <v>500</v>
      </c>
      <c r="I130" s="38">
        <v>34.1</v>
      </c>
      <c r="J130" s="39">
        <v>261</v>
      </c>
      <c r="K130" s="38">
        <v>1.3</v>
      </c>
      <c r="L130" s="37">
        <v>0.14000000000000001</v>
      </c>
      <c r="M130" s="37"/>
      <c r="N130" s="37"/>
      <c r="O130" s="37"/>
      <c r="P130" s="37"/>
      <c r="Q130" s="36"/>
    </row>
    <row r="131" spans="1:17">
      <c r="A131" s="150"/>
      <c r="B131" s="41" t="s">
        <v>111</v>
      </c>
      <c r="C131" s="41" t="s">
        <v>96</v>
      </c>
      <c r="D131" s="41" t="s">
        <v>110</v>
      </c>
      <c r="E131" s="45">
        <v>3.2680000000000001E-2</v>
      </c>
      <c r="F131" s="43">
        <v>8.6</v>
      </c>
      <c r="G131" s="43">
        <v>38</v>
      </c>
      <c r="H131" s="44">
        <v>515</v>
      </c>
      <c r="I131" s="43">
        <v>35.700000000000003</v>
      </c>
      <c r="J131" s="44">
        <v>300</v>
      </c>
      <c r="K131" s="43">
        <v>1.5</v>
      </c>
      <c r="L131" s="42">
        <v>0.15</v>
      </c>
      <c r="M131" s="42"/>
      <c r="N131" s="42"/>
      <c r="O131" s="42"/>
      <c r="P131" s="42"/>
      <c r="Q131" s="41"/>
    </row>
    <row r="132" spans="1:17">
      <c r="A132" s="150"/>
      <c r="B132" s="36" t="s">
        <v>109</v>
      </c>
      <c r="C132" s="36" t="s">
        <v>96</v>
      </c>
      <c r="D132" s="36" t="s">
        <v>108</v>
      </c>
      <c r="E132" s="40">
        <v>7.3656000000000013E-2</v>
      </c>
      <c r="F132" s="38">
        <v>12.4</v>
      </c>
      <c r="G132" s="38">
        <v>59.4</v>
      </c>
      <c r="H132" s="39">
        <v>720</v>
      </c>
      <c r="I132" s="38">
        <v>40.5</v>
      </c>
      <c r="J132" s="39">
        <v>505</v>
      </c>
      <c r="K132" s="38">
        <v>2.5</v>
      </c>
      <c r="L132" s="37">
        <v>0.26</v>
      </c>
      <c r="M132" s="37"/>
      <c r="N132" s="37"/>
      <c r="O132" s="37"/>
      <c r="P132" s="37"/>
      <c r="Q132" s="36"/>
    </row>
    <row r="133" spans="1:17">
      <c r="A133" s="150"/>
      <c r="B133" s="41" t="s">
        <v>107</v>
      </c>
      <c r="C133" s="41" t="s">
        <v>91</v>
      </c>
      <c r="D133" s="41" t="s">
        <v>106</v>
      </c>
      <c r="E133" s="45">
        <v>0.137409</v>
      </c>
      <c r="F133" s="43">
        <v>16.3</v>
      </c>
      <c r="G133" s="43">
        <v>84.3</v>
      </c>
      <c r="H133" s="44">
        <v>800</v>
      </c>
      <c r="I133" s="43">
        <v>49.2</v>
      </c>
      <c r="J133" s="44">
        <v>803</v>
      </c>
      <c r="K133" s="43">
        <v>4</v>
      </c>
      <c r="L133" s="42">
        <v>0.4</v>
      </c>
      <c r="M133" s="42"/>
      <c r="N133" s="42"/>
      <c r="O133" s="42"/>
      <c r="P133" s="42"/>
      <c r="Q133" s="41"/>
    </row>
    <row r="134" spans="1:17">
      <c r="A134" s="150"/>
      <c r="B134" s="36" t="s">
        <v>105</v>
      </c>
      <c r="C134" s="36" t="s">
        <v>91</v>
      </c>
      <c r="D134" s="36" t="s">
        <v>104</v>
      </c>
      <c r="E134" s="40">
        <v>0.20442500000000002</v>
      </c>
      <c r="F134" s="38">
        <v>32.5</v>
      </c>
      <c r="G134" s="38">
        <v>62.9</v>
      </c>
      <c r="H134" s="39">
        <v>1400</v>
      </c>
      <c r="I134" s="38">
        <v>50.5</v>
      </c>
      <c r="J134" s="39">
        <v>1640</v>
      </c>
      <c r="K134" s="38">
        <v>8.5</v>
      </c>
      <c r="L134" s="37">
        <v>0.83</v>
      </c>
      <c r="M134" s="37"/>
      <c r="N134" s="37"/>
      <c r="O134" s="37"/>
      <c r="P134" s="37"/>
      <c r="Q134" s="36"/>
    </row>
    <row r="135" spans="1:17">
      <c r="A135" s="150"/>
      <c r="B135" s="41" t="s">
        <v>103</v>
      </c>
      <c r="C135" s="41" t="s">
        <v>91</v>
      </c>
      <c r="D135" s="41" t="s">
        <v>102</v>
      </c>
      <c r="E135" s="45">
        <v>0.21213499999999999</v>
      </c>
      <c r="F135" s="43">
        <v>31.9</v>
      </c>
      <c r="G135" s="43">
        <v>66.5</v>
      </c>
      <c r="H135" s="44">
        <v>1360</v>
      </c>
      <c r="I135" s="43">
        <v>51.7</v>
      </c>
      <c r="J135" s="44">
        <v>1650</v>
      </c>
      <c r="K135" s="43">
        <v>8.6</v>
      </c>
      <c r="L135" s="42">
        <v>0.83</v>
      </c>
      <c r="M135" s="42"/>
      <c r="N135" s="42"/>
      <c r="O135" s="42"/>
      <c r="P135" s="42"/>
      <c r="Q135" s="41"/>
    </row>
    <row r="136" spans="1:17">
      <c r="A136" s="150"/>
      <c r="B136" s="36" t="s">
        <v>101</v>
      </c>
      <c r="C136" s="36" t="s">
        <v>96</v>
      </c>
      <c r="D136" s="36" t="s">
        <v>100</v>
      </c>
      <c r="E136" s="40">
        <v>0.20832000000000003</v>
      </c>
      <c r="F136" s="38">
        <v>24.8</v>
      </c>
      <c r="G136" s="38">
        <v>84</v>
      </c>
      <c r="H136" s="39">
        <v>1100</v>
      </c>
      <c r="I136" s="38">
        <v>50</v>
      </c>
      <c r="J136" s="39">
        <v>1310</v>
      </c>
      <c r="K136" s="38">
        <v>6.7</v>
      </c>
      <c r="L136" s="37">
        <v>0.66</v>
      </c>
      <c r="M136" s="37"/>
      <c r="N136" s="37"/>
      <c r="O136" s="37"/>
      <c r="P136" s="37"/>
      <c r="Q136" s="36"/>
    </row>
    <row r="137" spans="1:17">
      <c r="A137" s="150"/>
      <c r="B137" s="41" t="s">
        <v>99</v>
      </c>
      <c r="C137" s="41" t="s">
        <v>91</v>
      </c>
      <c r="D137" s="41" t="s">
        <v>98</v>
      </c>
      <c r="E137" s="45">
        <v>0.51647999999999994</v>
      </c>
      <c r="F137" s="43">
        <v>26.9</v>
      </c>
      <c r="G137" s="43">
        <v>192</v>
      </c>
      <c r="H137" s="44">
        <v>750</v>
      </c>
      <c r="I137" s="43">
        <v>78.3</v>
      </c>
      <c r="J137" s="44">
        <v>2100</v>
      </c>
      <c r="K137" s="43">
        <v>10</v>
      </c>
      <c r="L137" s="42">
        <v>1.06</v>
      </c>
      <c r="M137" s="42"/>
      <c r="N137" s="42"/>
      <c r="O137" s="42"/>
      <c r="P137" s="42"/>
      <c r="Q137" s="41"/>
    </row>
    <row r="138" spans="1:17">
      <c r="A138" s="150"/>
      <c r="B138" s="36" t="s">
        <v>97</v>
      </c>
      <c r="C138" s="36" t="s">
        <v>96</v>
      </c>
      <c r="D138" s="36" t="s">
        <v>95</v>
      </c>
      <c r="E138" s="40">
        <v>0.69480000000000008</v>
      </c>
      <c r="F138" s="38">
        <v>36</v>
      </c>
      <c r="G138" s="38">
        <v>193</v>
      </c>
      <c r="H138" s="39">
        <v>980</v>
      </c>
      <c r="I138" s="38">
        <v>83.2</v>
      </c>
      <c r="J138" s="39">
        <v>2990</v>
      </c>
      <c r="K138" s="38">
        <v>15</v>
      </c>
      <c r="L138" s="37">
        <v>1.5</v>
      </c>
      <c r="M138" s="37"/>
      <c r="N138" s="37"/>
      <c r="O138" s="37"/>
      <c r="P138" s="37"/>
      <c r="Q138" s="36"/>
    </row>
    <row r="139" spans="1:17">
      <c r="A139" s="150"/>
      <c r="B139" s="41" t="s">
        <v>94</v>
      </c>
      <c r="C139" s="41" t="s">
        <v>91</v>
      </c>
      <c r="D139" s="41" t="s">
        <v>93</v>
      </c>
      <c r="E139" s="45">
        <v>0.56159999999999999</v>
      </c>
      <c r="F139" s="43">
        <v>54</v>
      </c>
      <c r="G139" s="43">
        <v>104</v>
      </c>
      <c r="H139" s="44">
        <v>1760</v>
      </c>
      <c r="I139" s="43">
        <v>68.599999999999994</v>
      </c>
      <c r="J139" s="44">
        <v>3700</v>
      </c>
      <c r="K139" s="43">
        <v>19</v>
      </c>
      <c r="L139" s="42">
        <v>1.86</v>
      </c>
      <c r="M139" s="42"/>
      <c r="N139" s="42"/>
      <c r="O139" s="42"/>
      <c r="P139" s="42"/>
      <c r="Q139" s="41"/>
    </row>
    <row r="140" spans="1:17">
      <c r="A140" s="150"/>
      <c r="B140" s="36" t="s">
        <v>92</v>
      </c>
      <c r="C140" s="36" t="s">
        <v>91</v>
      </c>
      <c r="D140" s="36" t="s">
        <v>90</v>
      </c>
      <c r="E140" s="40">
        <v>0.75460000000000005</v>
      </c>
      <c r="F140" s="38">
        <v>49</v>
      </c>
      <c r="G140" s="38">
        <v>154</v>
      </c>
      <c r="H140" s="39">
        <v>1530</v>
      </c>
      <c r="I140" s="38">
        <v>72</v>
      </c>
      <c r="J140" s="39">
        <v>3520</v>
      </c>
      <c r="K140" s="38">
        <v>18</v>
      </c>
      <c r="L140" s="37">
        <v>1.77</v>
      </c>
      <c r="M140" s="37"/>
      <c r="N140" s="37"/>
      <c r="O140" s="37"/>
      <c r="P140" s="37"/>
      <c r="Q140" s="36"/>
    </row>
  </sheetData>
  <mergeCells count="16">
    <mergeCell ref="A42:A47"/>
    <mergeCell ref="A108:A114"/>
    <mergeCell ref="A115:A119"/>
    <mergeCell ref="A120:A128"/>
    <mergeCell ref="A129:A140"/>
    <mergeCell ref="A48:A62"/>
    <mergeCell ref="A63:A67"/>
    <mergeCell ref="A68:A75"/>
    <mergeCell ref="A76:A95"/>
    <mergeCell ref="A96:A104"/>
    <mergeCell ref="A105:A107"/>
    <mergeCell ref="A2:B2"/>
    <mergeCell ref="A3:B3"/>
    <mergeCell ref="A4:A7"/>
    <mergeCell ref="A8:A36"/>
    <mergeCell ref="A37:A4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50</vt:i4>
      </vt:variant>
    </vt:vector>
  </HeadingPairs>
  <TitlesOfParts>
    <vt:vector size="54" baseType="lpstr">
      <vt:lpstr>Tool</vt:lpstr>
      <vt:lpstr>EFF 6.0</vt:lpstr>
      <vt:lpstr>IC资料</vt:lpstr>
      <vt:lpstr>core</vt:lpstr>
      <vt:lpstr>act_Ae</vt:lpstr>
      <vt:lpstr>act_Dmax</vt:lpstr>
      <vt:lpstr>act_Dmin</vt:lpstr>
      <vt:lpstr>act_Fswmax</vt:lpstr>
      <vt:lpstr>act_Iomax</vt:lpstr>
      <vt:lpstr>act_Ipk</vt:lpstr>
      <vt:lpstr>act_Ipks</vt:lpstr>
      <vt:lpstr>act_Lp</vt:lpstr>
      <vt:lpstr>act_n</vt:lpstr>
      <vt:lpstr>act_NAUX</vt:lpstr>
      <vt:lpstr>act_Np</vt:lpstr>
      <vt:lpstr>act_NS</vt:lpstr>
      <vt:lpstr>act_Rcs</vt:lpstr>
      <vt:lpstr>act_RFB_down</vt:lpstr>
      <vt:lpstr>act_RFB_up</vt:lpstr>
      <vt:lpstr>act_Vcc</vt:lpstr>
      <vt:lpstr>Ae</vt:lpstr>
      <vt:lpstr>B_max</vt:lpstr>
      <vt:lpstr>Dmax</vt:lpstr>
      <vt:lpstr>FB</vt:lpstr>
      <vt:lpstr>FB_SCP</vt:lpstr>
      <vt:lpstr>fsw</vt:lpstr>
      <vt:lpstr>Input_p</vt:lpstr>
      <vt:lpstr>'EFF 6.0'!Io</vt:lpstr>
      <vt:lpstr>Io</vt:lpstr>
      <vt:lpstr>Ipk</vt:lpstr>
      <vt:lpstr>Ipks</vt:lpstr>
      <vt:lpstr>Lp</vt:lpstr>
      <vt:lpstr>n</vt:lpstr>
      <vt:lpstr>NAUX</vt:lpstr>
      <vt:lpstr>Np</vt:lpstr>
      <vt:lpstr>NS</vt:lpstr>
      <vt:lpstr>Po</vt:lpstr>
      <vt:lpstr>Rcs</vt:lpstr>
      <vt:lpstr>RFB_down</vt:lpstr>
      <vt:lpstr>RFB_rate</vt:lpstr>
      <vt:lpstr>RFB_up</vt:lpstr>
      <vt:lpstr>Tons_Tsw</vt:lpstr>
      <vt:lpstr>Tsample_H_max</vt:lpstr>
      <vt:lpstr>VACMax</vt:lpstr>
      <vt:lpstr>VACMin</vt:lpstr>
      <vt:lpstr>Vcc</vt:lpstr>
      <vt:lpstr>Vcs_H</vt:lpstr>
      <vt:lpstr>Vcs_L</vt:lpstr>
      <vt:lpstr>VF</vt:lpstr>
      <vt:lpstr>Vo</vt:lpstr>
      <vt:lpstr>Vo_EF</vt:lpstr>
      <vt:lpstr>Vout</vt:lpstr>
      <vt:lpstr>Vsf_max</vt:lpstr>
      <vt:lpstr>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2020-02-14T21:18:33Z</dcterms:modified>
</cp:coreProperties>
</file>