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<sst xmlns="http://schemas.openxmlformats.org/spreadsheetml/2006/main" count="217" uniqueCount="141">
  <si>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</si>
  <si>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</si>
  <si>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</si>
  <si>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</si>
  <si>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</si>
  <si>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</si>
  <si>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</si>
  <si>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</si>
  <si>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</si>
  <si>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</si>
  <si>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</si>
  <si>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</si>
  <si>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</si>
  <si>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</si>
  <si>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</si>
  <si>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</si>
  <si>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</si>
  <si>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</si>
  <si>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</si>
  <si>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</si>
  <si>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</si>
  <si>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</si>
  <si>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</si>
  <si>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</si>
  <si>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</si>
  <si>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</si>
  <si>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</si>
  <si>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</si>
  <si>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</si>
  <si>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</si>
  <si>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</si>
  <si>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</si>
  <si>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</si>
  <si>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</si>
  <si>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</si>
  <si>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</si>
  <si>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</si>
  <si>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</si>
  <si>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</si>
  <si>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</si>
  <si>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</si>
  <si>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</si>
  <si>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</si>
  <si>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</si>
  <si>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</si>
  <si>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</si>
  <si>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1 to 8</t>
  </si>
  <si>
    <t>3.4V</t>
  </si>
  <si>
    <t>0.1 to 1 Ohm</t>
  </si>
  <si>
    <t>25 Deg C</t>
  </si>
  <si>
    <t>0.36V</t>
  </si>
  <si>
    <t>Enter the forward voltage of the freewheel diode at the required output current. A schottky diode is assumed, but other diodes with higher forward drops are accepted. The maximum allowed voltage is 1.5V.</t>
  </si>
  <si>
    <t>20ns</t>
  </si>
  <si>
    <t>30ns</t>
  </si>
  <si>
    <t>Minimum LED current</t>
  </si>
  <si>
    <t>This is the 90% to 10% falltime of the voltage on the LX pin at the working voltage. This figure is used to estimate the switching loss during switch turn-on</t>
  </si>
  <si>
    <t>0.2 to 20us</t>
  </si>
  <si>
    <t>0.2 to 0.8</t>
  </si>
  <si>
    <t>100 to 800KHz</t>
  </si>
  <si>
    <t>20 to 300mA</t>
  </si>
  <si>
    <t>20 to 90mA</t>
  </si>
  <si>
    <t>Maximum LED current</t>
  </si>
  <si>
    <t>Average LED current (Iavg)</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</si>
  <si>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</si>
  <si>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</si>
  <si>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</si>
  <si>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</si>
  <si>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</si>
  <si>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</si>
  <si>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</si>
  <si>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 xml:space="preserve">Average LED </t>
  </si>
  <si>
    <t>current</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</si>
  <si>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</si>
  <si>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</si>
  <si>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</si>
  <si>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</si>
  <si>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</si>
  <si>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</si>
  <si>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</si>
  <si>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</si>
  <si>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</si>
  <si>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</si>
  <si>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</si>
  <si>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</si>
  <si>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</si>
  <si>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</si>
  <si>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</si>
  <si>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</si>
  <si>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</si>
  <si>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</si>
  <si>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 xml:space="preserve">Input parameters - advanced </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</si>
  <si>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</si>
  <si>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</si>
  <si>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</si>
  <si>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</si>
  <si>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</si>
  <si>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</si>
  <si>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</si>
  <si>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</si>
  <si>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</si>
  <si>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</si>
  <si>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</si>
  <si>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</si>
  <si>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</si>
  <si>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</si>
  <si>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</si>
  <si>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</si>
  <si>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</si>
  <si>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</si>
  <si>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</si>
  <si>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</si>
  <si>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</si>
  <si>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</si>
  <si>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</si>
  <si>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</si>
  <si>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</si>
  <si>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</si>
  <si>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Results</t>
  </si>
  <si>
    <t xml:space="preserve">The ZXLD1360 calculator is a tool for estimating the performance of the ZXLD1360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</si>
  <si>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6 to 30V</t>
  </si>
  <si>
    <t xml:space="preserve">Enter a value for Vin. The calculator accepts values between 6V and 30V.  </t>
  </si>
  <si>
    <t>Enter a resistor value to set the nominal average output current according to the expression  Iavg(mA)=100/Rs. A nominal voltage of 1.25V on the ADJ pin is assumed. The minimum allowed value of Rs is 0.1 Ohms. A warning is issued for Rs&gt;10 Ohms.</t>
  </si>
  <si>
    <t>22 to 100uH</t>
  </si>
  <si>
    <t>Enter the coil inductance at the working current. The calculator accepts values between 10 and 1000uH. The coil inductance is assumed to be constant within the operating current range.</t>
  </si>
  <si>
    <t>200ns</t>
  </si>
  <si>
    <t>100ns</t>
  </si>
  <si>
    <t>110 Deg C/W</t>
  </si>
  <si>
    <r>
      <t xml:space="preserve">This is the DC voltage on the ADJ pin. (=1.25V nominal) The calculator will accept alternative voltages in the range 0.3&lt;Vadj&lt;2.5V. </t>
    </r>
    <r>
      <rPr>
        <b/>
        <sz val="9"/>
        <rFont val="Arial"/>
        <family val="2"/>
      </rPr>
      <t xml:space="preserve">Note: When Vadj is increased above 1.25V, the output current will increase proportionally. </t>
    </r>
    <r>
      <rPr>
        <sz val="9"/>
        <rFont val="Arial"/>
        <family val="2"/>
      </rPr>
      <t>The input impedance of the ADJ pin will reduce from 200k (nominal) to 20k (nominal) for input voltages above 1.35V</t>
    </r>
    <r>
      <rPr>
        <b/>
        <sz val="9"/>
        <rFont val="Arial"/>
        <family val="2"/>
      </rPr>
      <t>.</t>
    </r>
  </si>
  <si>
    <t>3 to 9 W</t>
  </si>
  <si>
    <t>1mA</t>
  </si>
  <si>
    <t>100 to 600mW</t>
  </si>
  <si>
    <t>Enter your inputs here</t>
  </si>
  <si>
    <t>0.1 to 0.5 Ohm</t>
  </si>
  <si>
    <t>0.5 Ohms</t>
  </si>
  <si>
    <t>This is the datasheet value of switch resistance. The value of 0.5 Ohms is the nominal value at Tamb=25 Deg C.</t>
  </si>
  <si>
    <t>ff</t>
  </si>
  <si>
    <t>50 to 1100mA</t>
  </si>
  <si>
    <t>50 to 1000mA</t>
  </si>
  <si>
    <t>ZXLD1360 Calculator Issue 1.1</t>
  </si>
  <si>
    <t>ZXLD1360 calculator</t>
  </si>
  <si>
    <t>Note that this calculator uses mathematical equations to model the behaviour of a typical device in a semi-ideal manner. Differences will exist between the calculated and real device performance, particularly at extremes of supply voltage and with high circuit resistances. Also the propagation delays are not modeled with temperature.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</si>
</sst>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 numFmtId="173" formatCode="0.000_ ;[Red]\-0.000\ "/>
  </numFmts>
  <fonts count="22">
    <font>
      <sz val="10"/>
      <name val="Arial"/>
      <family val="0"/>
    </font>
    <font>
      <u val="single"/>
      <sz val="7.5"/>
      <color indexed="12"/>
      <name val="Arial"/>
      <family val="0"/>
    </font>
    <font>
      <u val="single"/>
      <sz val="7.5"/>
      <color indexed="36"/>
      <name val="Arial"/>
      <family val="0"/>
    </font>
    <font>
      <b/>
      <sz val="8.25"/>
      <name val="Arial"/>
      <family val="0"/>
    </font>
    <font>
      <b/>
      <sz val="8"/>
      <name val="Arial"/>
      <family val="0"/>
    </font>
    <font>
      <sz val="8"/>
      <name val="Arial"/>
      <family val="0"/>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
      <sz val="7.5"/>
      <color indexed="8"/>
      <name val="Arial"/>
      <family val="2"/>
    </font>
    <font>
      <b/>
      <sz val="18"/>
      <name val="Arial"/>
      <family val="2"/>
    </font>
    <font>
      <sz val="9"/>
      <color indexed="9"/>
      <name val="Arial"/>
      <family val="2"/>
    </font>
    <font>
      <sz val="10"/>
      <color indexed="9"/>
      <name val="Arial"/>
      <family val="2"/>
    </font>
    <font>
      <b/>
      <sz val="9"/>
      <color indexed="9"/>
      <name val="Arial"/>
      <family val="2"/>
    </font>
  </fonts>
  <fills count="7">
    <fill>
      <patternFill/>
    </fill>
    <fill>
      <patternFill patternType="gray125"/>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6"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1"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4"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2" fillId="0" borderId="0" xfId="0" applyFont="1" applyBorder="1" applyAlignment="1" applyProtection="1">
      <alignment/>
      <protection hidden="1"/>
    </xf>
    <xf numFmtId="0" fontId="12" fillId="2" borderId="1" xfId="0" applyFont="1" applyFill="1" applyBorder="1" applyAlignment="1" applyProtection="1">
      <alignment/>
      <protection hidden="1"/>
    </xf>
    <xf numFmtId="0" fontId="12" fillId="2" borderId="1" xfId="0" applyFont="1" applyFill="1" applyBorder="1" applyAlignment="1" applyProtection="1" quotePrefix="1">
      <alignment/>
      <protection hidden="1"/>
    </xf>
    <xf numFmtId="0" fontId="13" fillId="0" borderId="0" xfId="0" applyFont="1" applyBorder="1" applyAlignment="1" applyProtection="1">
      <alignment/>
      <protection hidden="1"/>
    </xf>
    <xf numFmtId="0" fontId="12" fillId="0" borderId="0" xfId="0" applyFont="1" applyAlignment="1" applyProtection="1">
      <alignment/>
      <protection hidden="1"/>
    </xf>
    <xf numFmtId="164" fontId="12" fillId="0" borderId="0" xfId="0" applyNumberFormat="1" applyFont="1" applyAlignment="1" applyProtection="1">
      <alignment/>
      <protection hidden="1"/>
    </xf>
    <xf numFmtId="0" fontId="12" fillId="0" borderId="0" xfId="0" applyFont="1" applyFill="1" applyBorder="1" applyAlignment="1" applyProtection="1">
      <alignment/>
      <protection hidden="1"/>
    </xf>
    <xf numFmtId="164" fontId="12" fillId="0" borderId="0" xfId="0" applyNumberFormat="1"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0" xfId="0" applyNumberFormat="1" applyFont="1" applyFill="1" applyBorder="1" applyAlignment="1" applyProtection="1">
      <alignment/>
      <protection hidden="1" locked="0"/>
    </xf>
    <xf numFmtId="0" fontId="12" fillId="0" borderId="0" xfId="0" applyFont="1" applyAlignment="1">
      <alignment/>
    </xf>
    <xf numFmtId="0" fontId="14" fillId="2" borderId="0" xfId="0" applyFont="1" applyFill="1" applyBorder="1" applyAlignment="1" applyProtection="1">
      <alignment/>
      <protection hidden="1" locked="0"/>
    </xf>
    <xf numFmtId="0" fontId="14" fillId="2" borderId="3" xfId="0" applyFont="1" applyFill="1" applyBorder="1" applyAlignment="1" applyProtection="1">
      <alignment/>
      <protection hidden="1" locked="0"/>
    </xf>
    <xf numFmtId="0" fontId="15" fillId="0" borderId="0" xfId="0" applyFont="1" applyBorder="1" applyAlignment="1" applyProtection="1">
      <alignment/>
      <protection hidden="1"/>
    </xf>
    <xf numFmtId="164" fontId="15" fillId="0" borderId="0" xfId="0" applyNumberFormat="1" applyFont="1" applyBorder="1" applyAlignment="1" applyProtection="1">
      <alignment/>
      <protection hidden="1"/>
    </xf>
    <xf numFmtId="0" fontId="12" fillId="3" borderId="4" xfId="0" applyFont="1" applyFill="1" applyBorder="1" applyAlignment="1" applyProtection="1">
      <alignment/>
      <protection hidden="1"/>
    </xf>
    <xf numFmtId="0" fontId="12" fillId="4" borderId="5" xfId="0" applyFont="1" applyFill="1" applyBorder="1" applyAlignment="1" applyProtection="1">
      <alignment/>
      <protection hidden="1"/>
    </xf>
    <xf numFmtId="0" fontId="12" fillId="4" borderId="6" xfId="0" applyFont="1" applyFill="1" applyBorder="1" applyAlignment="1" applyProtection="1">
      <alignment/>
      <protection hidden="1"/>
    </xf>
    <xf numFmtId="0" fontId="12" fillId="3" borderId="7" xfId="0" applyFont="1" applyFill="1" applyBorder="1" applyAlignment="1" applyProtection="1">
      <alignment/>
      <protection hidden="1"/>
    </xf>
    <xf numFmtId="164" fontId="12" fillId="3" borderId="8" xfId="0" applyNumberFormat="1" applyFont="1" applyFill="1" applyBorder="1" applyAlignment="1" applyProtection="1">
      <alignment/>
      <protection hidden="1"/>
    </xf>
    <xf numFmtId="0" fontId="12" fillId="3" borderId="9" xfId="0" applyFont="1" applyFill="1" applyBorder="1" applyAlignment="1" applyProtection="1">
      <alignment/>
      <protection hidden="1"/>
    </xf>
    <xf numFmtId="164" fontId="12" fillId="3" borderId="7" xfId="0" applyNumberFormat="1" applyFont="1" applyFill="1" applyBorder="1" applyAlignment="1" applyProtection="1">
      <alignment/>
      <protection hidden="1"/>
    </xf>
    <xf numFmtId="0" fontId="12" fillId="4" borderId="10" xfId="0" applyFont="1" applyFill="1" applyBorder="1" applyAlignment="1" applyProtection="1">
      <alignment/>
      <protection hidden="1"/>
    </xf>
    <xf numFmtId="0" fontId="12" fillId="4" borderId="11" xfId="0" applyFont="1" applyFill="1" applyBorder="1" applyAlignment="1" applyProtection="1">
      <alignment/>
      <protection hidden="1"/>
    </xf>
    <xf numFmtId="0" fontId="12" fillId="4" borderId="12" xfId="0" applyFont="1" applyFill="1" applyBorder="1" applyAlignment="1" applyProtection="1">
      <alignment/>
      <protection hidden="1"/>
    </xf>
    <xf numFmtId="0" fontId="12" fillId="4" borderId="13" xfId="0" applyFont="1" applyFill="1" applyBorder="1" applyAlignment="1" applyProtection="1">
      <alignment/>
      <protection hidden="1"/>
    </xf>
    <xf numFmtId="0" fontId="12" fillId="2" borderId="1" xfId="0"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5" xfId="0" applyNumberFormat="1" applyFont="1" applyFill="1" applyBorder="1" applyAlignment="1" applyProtection="1">
      <alignment horizontal="right"/>
      <protection locked="0"/>
    </xf>
    <xf numFmtId="2" fontId="14" fillId="2" borderId="5" xfId="0" applyNumberFormat="1" applyFont="1" applyFill="1" applyBorder="1" applyAlignment="1" applyProtection="1">
      <alignment horizontal="right"/>
      <protection locked="0"/>
    </xf>
    <xf numFmtId="0" fontId="12" fillId="5" borderId="1" xfId="0" applyFont="1" applyFill="1" applyBorder="1" applyAlignment="1" applyProtection="1" quotePrefix="1">
      <alignment/>
      <protection hidden="1"/>
    </xf>
    <xf numFmtId="0" fontId="12" fillId="5" borderId="1" xfId="0" applyFont="1" applyFill="1" applyBorder="1" applyAlignment="1" applyProtection="1">
      <alignment/>
      <protection hidden="1"/>
    </xf>
    <xf numFmtId="164" fontId="14" fillId="5" borderId="6" xfId="0" applyNumberFormat="1" applyFont="1" applyFill="1" applyBorder="1" applyAlignment="1" applyProtection="1">
      <alignment/>
      <protection hidden="1"/>
    </xf>
    <xf numFmtId="0" fontId="12" fillId="5" borderId="2" xfId="0" applyFont="1" applyFill="1" applyBorder="1" applyAlignment="1" applyProtection="1">
      <alignment/>
      <protection hidden="1"/>
    </xf>
    <xf numFmtId="164" fontId="4" fillId="5" borderId="14" xfId="0" applyNumberFormat="1" applyFont="1" applyFill="1" applyBorder="1" applyAlignment="1" applyProtection="1">
      <alignment horizontal="center"/>
      <protection hidden="1"/>
    </xf>
    <xf numFmtId="1" fontId="14" fillId="2" borderId="5" xfId="0" applyNumberFormat="1" applyFont="1" applyFill="1" applyBorder="1" applyAlignment="1" applyProtection="1">
      <alignment horizontal="right"/>
      <protection locked="0"/>
    </xf>
    <xf numFmtId="164" fontId="4" fillId="2" borderId="14" xfId="0" applyNumberFormat="1" applyFont="1" applyFill="1" applyBorder="1" applyAlignment="1" applyProtection="1">
      <alignment horizontal="center"/>
      <protection hidden="1"/>
    </xf>
    <xf numFmtId="1" fontId="4" fillId="2" borderId="15" xfId="0" applyNumberFormat="1" applyFont="1" applyFill="1" applyBorder="1" applyAlignment="1" applyProtection="1">
      <alignment horizontal="center"/>
      <protection hidden="1"/>
    </xf>
    <xf numFmtId="2" fontId="14" fillId="5" borderId="13" xfId="0" applyNumberFormat="1" applyFont="1" applyFill="1" applyBorder="1" applyAlignment="1" applyProtection="1">
      <alignment/>
      <protection hidden="1"/>
    </xf>
    <xf numFmtId="0" fontId="12" fillId="5" borderId="9" xfId="0" applyFont="1" applyFill="1" applyBorder="1" applyAlignment="1" applyProtection="1">
      <alignment/>
      <protection hidden="1"/>
    </xf>
    <xf numFmtId="2" fontId="14" fillId="5" borderId="5" xfId="0" applyNumberFormat="1" applyFont="1" applyFill="1" applyBorder="1" applyAlignment="1" applyProtection="1">
      <alignment/>
      <protection hidden="1"/>
    </xf>
    <xf numFmtId="164" fontId="14" fillId="5" borderId="5" xfId="0" applyNumberFormat="1" applyFont="1" applyFill="1" applyBorder="1" applyAlignment="1" applyProtection="1">
      <alignment/>
      <protection hidden="1"/>
    </xf>
    <xf numFmtId="0" fontId="12" fillId="5" borderId="2" xfId="0" applyFont="1" applyFill="1" applyBorder="1" applyAlignment="1" applyProtection="1" quotePrefix="1">
      <alignment/>
      <protection hidden="1"/>
    </xf>
    <xf numFmtId="164" fontId="14" fillId="5" borderId="13" xfId="0" applyNumberFormat="1" applyFont="1" applyFill="1" applyBorder="1" applyAlignment="1" applyProtection="1">
      <alignment/>
      <protection hidden="1"/>
    </xf>
    <xf numFmtId="164" fontId="14" fillId="5" borderId="0" xfId="0" applyNumberFormat="1" applyFont="1" applyFill="1" applyBorder="1" applyAlignment="1" applyProtection="1">
      <alignment/>
      <protection hidden="1"/>
    </xf>
    <xf numFmtId="0" fontId="14" fillId="5" borderId="1" xfId="0" applyFont="1" applyFill="1" applyBorder="1" applyAlignment="1" applyProtection="1">
      <alignment/>
      <protection hidden="1"/>
    </xf>
    <xf numFmtId="164" fontId="14" fillId="5" borderId="3" xfId="0" applyNumberFormat="1" applyFont="1" applyFill="1" applyBorder="1" applyAlignment="1" applyProtection="1">
      <alignment/>
      <protection hidden="1"/>
    </xf>
    <xf numFmtId="0" fontId="14" fillId="5"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8"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 fontId="4" fillId="2" borderId="14" xfId="0" applyNumberFormat="1" applyFont="1" applyFill="1" applyBorder="1" applyAlignment="1" applyProtection="1">
      <alignment horizontal="center" vertical="center"/>
      <protection hidden="1"/>
    </xf>
    <xf numFmtId="0" fontId="14" fillId="3" borderId="17" xfId="0" applyFont="1" applyFill="1" applyBorder="1" applyAlignment="1" applyProtection="1">
      <alignment/>
      <protection hidden="1"/>
    </xf>
    <xf numFmtId="0" fontId="9"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7" fillId="0" borderId="0" xfId="0" applyFont="1" applyAlignment="1">
      <alignment/>
    </xf>
    <xf numFmtId="0" fontId="10" fillId="0" borderId="0" xfId="0" applyFont="1" applyBorder="1" applyAlignment="1">
      <alignment horizontal="left" vertical="top" wrapText="1"/>
    </xf>
    <xf numFmtId="0" fontId="0" fillId="0" borderId="0" xfId="0" applyAlignment="1">
      <alignment horizontal="left" vertical="top"/>
    </xf>
    <xf numFmtId="0" fontId="16" fillId="0" borderId="0" xfId="0" applyFont="1" applyFill="1" applyAlignment="1">
      <alignment wrapText="1"/>
    </xf>
    <xf numFmtId="0" fontId="10" fillId="0" borderId="0" xfId="0" applyFont="1" applyBorder="1" applyAlignment="1">
      <alignment/>
    </xf>
    <xf numFmtId="0" fontId="10" fillId="0" borderId="0" xfId="0" applyFont="1" applyBorder="1" applyAlignment="1">
      <alignment wrapText="1"/>
    </xf>
    <xf numFmtId="0" fontId="9" fillId="3" borderId="18" xfId="0" applyFont="1" applyFill="1" applyBorder="1" applyAlignment="1">
      <alignment/>
    </xf>
    <xf numFmtId="0" fontId="9" fillId="3" borderId="18" xfId="0" applyFont="1" applyFill="1" applyBorder="1" applyAlignment="1">
      <alignment horizontal="center"/>
    </xf>
    <xf numFmtId="0" fontId="9" fillId="3" borderId="18" xfId="0" applyFont="1" applyFill="1" applyBorder="1" applyAlignment="1">
      <alignment wrapText="1"/>
    </xf>
    <xf numFmtId="0" fontId="10" fillId="4" borderId="18" xfId="0" applyFont="1" applyFill="1" applyBorder="1" applyAlignment="1" applyProtection="1">
      <alignment horizontal="left" vertical="top"/>
      <protection hidden="1"/>
    </xf>
    <xf numFmtId="0" fontId="10" fillId="0" borderId="18" xfId="0" applyFont="1" applyBorder="1" applyAlignment="1">
      <alignment horizontal="center" vertical="center"/>
    </xf>
    <xf numFmtId="0" fontId="10" fillId="0" borderId="18" xfId="0" applyFont="1" applyBorder="1" applyAlignment="1">
      <alignment horizontal="left"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xf>
    <xf numFmtId="0" fontId="10" fillId="0" borderId="18" xfId="0" applyFont="1" applyFill="1" applyBorder="1" applyAlignment="1">
      <alignment horizontal="center" vertical="center"/>
    </xf>
    <xf numFmtId="0" fontId="9" fillId="3" borderId="18" xfId="0" applyFont="1" applyFill="1" applyBorder="1" applyAlignment="1" applyProtection="1">
      <alignment/>
      <protection hidden="1"/>
    </xf>
    <xf numFmtId="0" fontId="9" fillId="3" borderId="18" xfId="0" applyFont="1" applyFill="1" applyBorder="1" applyAlignment="1" applyProtection="1">
      <alignment horizontal="left" vertical="top"/>
      <protection hidden="1"/>
    </xf>
    <xf numFmtId="0" fontId="10" fillId="0" borderId="18" xfId="0" applyFont="1" applyFill="1" applyBorder="1" applyAlignment="1">
      <alignment horizontal="left" vertical="top" wrapText="1"/>
    </xf>
    <xf numFmtId="0" fontId="10" fillId="0" borderId="0" xfId="0" applyFont="1" applyFill="1" applyBorder="1" applyAlignment="1" applyProtection="1">
      <alignment horizontal="left" vertical="top"/>
      <protection hidden="1"/>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wrapText="1"/>
    </xf>
    <xf numFmtId="0" fontId="0" fillId="0" borderId="0" xfId="0" applyAlignment="1" applyProtection="1">
      <alignment/>
      <protection locked="0"/>
    </xf>
    <xf numFmtId="0" fontId="12" fillId="0" borderId="0" xfId="0" applyFont="1" applyBorder="1" applyAlignment="1" applyProtection="1">
      <alignment/>
      <protection locked="0"/>
    </xf>
    <xf numFmtId="0" fontId="17" fillId="0" borderId="0" xfId="0" applyFont="1" applyAlignment="1" applyProtection="1">
      <alignment/>
      <protection locked="0"/>
    </xf>
    <xf numFmtId="0" fontId="11" fillId="0" borderId="0" xfId="0" applyFont="1" applyAlignment="1" applyProtection="1">
      <alignment/>
      <protection hidden="1"/>
    </xf>
    <xf numFmtId="0" fontId="12" fillId="0" borderId="0" xfId="0" applyFont="1" applyAlignment="1" applyProtection="1">
      <alignment/>
      <protection hidden="1" locked="0"/>
    </xf>
    <xf numFmtId="0" fontId="12" fillId="0" borderId="0" xfId="0" applyFont="1" applyBorder="1" applyAlignment="1" applyProtection="1">
      <alignment/>
      <protection hidden="1" locked="0"/>
    </xf>
    <xf numFmtId="0" fontId="18" fillId="0" borderId="0" xfId="0" applyFont="1" applyBorder="1" applyAlignment="1" applyProtection="1">
      <alignment/>
      <protection hidden="1"/>
    </xf>
    <xf numFmtId="173" fontId="14" fillId="2" borderId="5" xfId="0" applyNumberFormat="1" applyFont="1" applyFill="1" applyBorder="1" applyAlignment="1" applyProtection="1">
      <alignment/>
      <protection locked="0"/>
    </xf>
    <xf numFmtId="173" fontId="4" fillId="2" borderId="14" xfId="0" applyNumberFormat="1" applyFont="1" applyFill="1" applyBorder="1" applyAlignment="1" applyProtection="1">
      <alignment horizontal="center" vertical="center"/>
      <protection hidden="1"/>
    </xf>
    <xf numFmtId="171" fontId="14" fillId="2" borderId="6" xfId="0" applyNumberFormat="1" applyFont="1" applyFill="1" applyBorder="1" applyAlignment="1" applyProtection="1">
      <alignment horizontal="righ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pplyProtection="1">
      <alignment/>
      <protection locked="0"/>
    </xf>
    <xf numFmtId="2" fontId="21" fillId="6" borderId="18" xfId="0" applyNumberFormat="1" applyFont="1" applyFill="1" applyBorder="1" applyAlignment="1" applyProtection="1">
      <alignmen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lignment/>
    </xf>
    <xf numFmtId="0" fontId="14" fillId="3" borderId="17" xfId="0" applyFont="1" applyFill="1" applyBorder="1" applyAlignment="1" applyProtection="1">
      <alignment horizontal="left"/>
      <protection hidden="1"/>
    </xf>
    <xf numFmtId="0" fontId="14" fillId="3" borderId="7" xfId="0" applyFont="1" applyFill="1" applyBorder="1" applyAlignment="1" applyProtection="1">
      <alignment horizontal="left"/>
      <protection hidden="1"/>
    </xf>
    <xf numFmtId="0" fontId="14" fillId="3" borderId="4" xfId="0" applyFont="1" applyFill="1" applyBorder="1" applyAlignment="1" applyProtection="1">
      <alignment horizontal="left"/>
      <protection hidden="1"/>
    </xf>
    <xf numFmtId="0" fontId="10" fillId="0" borderId="0" xfId="0" applyFont="1" applyBorder="1" applyAlignment="1">
      <alignment horizontal="left" vertical="top" wrapText="1"/>
    </xf>
    <xf numFmtId="0" fontId="12" fillId="0" borderId="0" xfId="0" applyFont="1" applyAlignment="1" applyProtection="1">
      <alignmen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6425"/>
          <c:y val="0.12375"/>
          <c:w val="0.698"/>
          <c:h val="0.7"/>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1'!$H$5:$H$25</c:f>
              <c:numCache>
                <c:ptCount val="21"/>
                <c:pt idx="0">
                  <c:v>739.16136007538</c:v>
                </c:pt>
                <c:pt idx="1">
                  <c:v>828.9204960812468</c:v>
                </c:pt>
                <c:pt idx="2">
                  <c:v>916.423600558682</c:v>
                </c:pt>
                <c:pt idx="3">
                  <c:v>1001.7273772426339</c:v>
                </c:pt>
                <c:pt idx="4">
                  <c:v>1084.8871046603274</c:v>
                </c:pt>
                <c:pt idx="5">
                  <c:v>1165.9566719528407</c:v>
                </c:pt>
                <c:pt idx="6">
                  <c:v>1080.4650004013354</c:v>
                </c:pt>
                <c:pt idx="7">
                  <c:v>995.0396849214533</c:v>
                </c:pt>
                <c:pt idx="8">
                  <c:v>909.6806740095808</c:v>
                </c:pt>
                <c:pt idx="9">
                  <c:v>824.3879162021162</c:v>
                </c:pt>
                <c:pt idx="10">
                  <c:v>739.16136007538</c:v>
                </c:pt>
                <c:pt idx="11">
                  <c:v>828.9204960812468</c:v>
                </c:pt>
                <c:pt idx="12">
                  <c:v>916.423600558682</c:v>
                </c:pt>
                <c:pt idx="13">
                  <c:v>1001.7273772426339</c:v>
                </c:pt>
                <c:pt idx="14">
                  <c:v>1084.8871046603274</c:v>
                </c:pt>
                <c:pt idx="15">
                  <c:v>1165.9566719528407</c:v>
                </c:pt>
                <c:pt idx="16">
                  <c:v>1080.4650004013354</c:v>
                </c:pt>
                <c:pt idx="17">
                  <c:v>995.0396849214533</c:v>
                </c:pt>
                <c:pt idx="18">
                  <c:v>909.6806740095808</c:v>
                </c:pt>
                <c:pt idx="19">
                  <c:v>824.3879162021162</c:v>
                </c:pt>
                <c:pt idx="20">
                  <c:v>739.16136007538</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1'!$I$5:$I$25</c:f>
              <c:numCache>
                <c:ptCount val="21"/>
                <c:pt idx="0">
                  <c:v>956.6288052530675</c:v>
                </c:pt>
                <c:pt idx="1">
                  <c:v>956.6288052530675</c:v>
                </c:pt>
                <c:pt idx="2">
                  <c:v>956.6288052530675</c:v>
                </c:pt>
                <c:pt idx="3">
                  <c:v>956.6288052530675</c:v>
                </c:pt>
                <c:pt idx="4">
                  <c:v>956.6288052530675</c:v>
                </c:pt>
                <c:pt idx="5">
                  <c:v>956.6288052530675</c:v>
                </c:pt>
                <c:pt idx="6">
                  <c:v>956.6288052530675</c:v>
                </c:pt>
                <c:pt idx="7">
                  <c:v>956.6288052530675</c:v>
                </c:pt>
                <c:pt idx="8">
                  <c:v>956.6288052530675</c:v>
                </c:pt>
                <c:pt idx="9">
                  <c:v>956.6288052530675</c:v>
                </c:pt>
                <c:pt idx="10">
                  <c:v>956.6288052530675</c:v>
                </c:pt>
                <c:pt idx="11">
                  <c:v>956.6288052530675</c:v>
                </c:pt>
                <c:pt idx="12">
                  <c:v>956.6288052530675</c:v>
                </c:pt>
                <c:pt idx="13">
                  <c:v>956.6288052530675</c:v>
                </c:pt>
                <c:pt idx="14">
                  <c:v>956.6288052530675</c:v>
                </c:pt>
                <c:pt idx="15">
                  <c:v>956.6288052530675</c:v>
                </c:pt>
                <c:pt idx="16">
                  <c:v>956.6288052530675</c:v>
                </c:pt>
                <c:pt idx="17">
                  <c:v>956.6288052530675</c:v>
                </c:pt>
                <c:pt idx="18">
                  <c:v>956.6288052530675</c:v>
                </c:pt>
                <c:pt idx="19">
                  <c:v>956.6288052530675</c:v>
                </c:pt>
                <c:pt idx="20">
                  <c:v>956.6288052530675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1'!$K$5:$K$25</c:f>
              <c:numCache>
                <c:ptCount val="21"/>
                <c:pt idx="0">
                  <c:v>1165.9566719528407</c:v>
                </c:pt>
                <c:pt idx="1">
                  <c:v>1165.9566719528407</c:v>
                </c:pt>
                <c:pt idx="2">
                  <c:v>1165.9566719528407</c:v>
                </c:pt>
                <c:pt idx="3">
                  <c:v>1165.9566719528407</c:v>
                </c:pt>
                <c:pt idx="4">
                  <c:v>1165.9566719528407</c:v>
                </c:pt>
                <c:pt idx="5">
                  <c:v>1165.9566719528407</c:v>
                </c:pt>
                <c:pt idx="6">
                  <c:v>1165.9566719528407</c:v>
                </c:pt>
                <c:pt idx="7">
                  <c:v>1165.9566719528407</c:v>
                </c:pt>
                <c:pt idx="8">
                  <c:v>1165.9566719528407</c:v>
                </c:pt>
                <c:pt idx="9">
                  <c:v>1165.9566719528407</c:v>
                </c:pt>
                <c:pt idx="10">
                  <c:v>1165.9566719528407</c:v>
                </c:pt>
                <c:pt idx="11">
                  <c:v>1165.9566719528407</c:v>
                </c:pt>
                <c:pt idx="12">
                  <c:v>1165.9566719528407</c:v>
                </c:pt>
                <c:pt idx="13">
                  <c:v>1165.9566719528407</c:v>
                </c:pt>
                <c:pt idx="14">
                  <c:v>1165.9566719528407</c:v>
                </c:pt>
                <c:pt idx="15">
                  <c:v>1165.9566719528407</c:v>
                </c:pt>
                <c:pt idx="16">
                  <c:v>1165.9566719528407</c:v>
                </c:pt>
                <c:pt idx="17">
                  <c:v>1165.9566719528407</c:v>
                </c:pt>
                <c:pt idx="18">
                  <c:v>1165.9566719528407</c:v>
                </c:pt>
                <c:pt idx="19">
                  <c:v>1165.9566719528407</c:v>
                </c:pt>
                <c:pt idx="20">
                  <c:v>1165.9566719528407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1'!$J$5:$J$25</c:f>
              <c:numCache>
                <c:ptCount val="21"/>
                <c:pt idx="0">
                  <c:v>739.16136007538</c:v>
                </c:pt>
                <c:pt idx="1">
                  <c:v>739.16136007538</c:v>
                </c:pt>
                <c:pt idx="2">
                  <c:v>739.16136007538</c:v>
                </c:pt>
                <c:pt idx="3">
                  <c:v>739.16136007538</c:v>
                </c:pt>
                <c:pt idx="4">
                  <c:v>739.16136007538</c:v>
                </c:pt>
                <c:pt idx="5">
                  <c:v>739.16136007538</c:v>
                </c:pt>
                <c:pt idx="6">
                  <c:v>739.16136007538</c:v>
                </c:pt>
                <c:pt idx="7">
                  <c:v>739.16136007538</c:v>
                </c:pt>
                <c:pt idx="8">
                  <c:v>739.16136007538</c:v>
                </c:pt>
                <c:pt idx="9">
                  <c:v>739.16136007538</c:v>
                </c:pt>
                <c:pt idx="10">
                  <c:v>739.16136007538</c:v>
                </c:pt>
                <c:pt idx="11">
                  <c:v>739.16136007538</c:v>
                </c:pt>
                <c:pt idx="12">
                  <c:v>739.16136007538</c:v>
                </c:pt>
                <c:pt idx="13">
                  <c:v>739.16136007538</c:v>
                </c:pt>
                <c:pt idx="14">
                  <c:v>739.16136007538</c:v>
                </c:pt>
                <c:pt idx="15">
                  <c:v>739.16136007538</c:v>
                </c:pt>
                <c:pt idx="16">
                  <c:v>739.16136007538</c:v>
                </c:pt>
                <c:pt idx="17">
                  <c:v>739.16136007538</c:v>
                </c:pt>
                <c:pt idx="18">
                  <c:v>739.16136007538</c:v>
                </c:pt>
                <c:pt idx="19">
                  <c:v>739.16136007538</c:v>
                </c:pt>
                <c:pt idx="20">
                  <c:v>739.16136007538</c:v>
                </c:pt>
              </c:numCache>
            </c:numRef>
          </c:yVal>
          <c:smooth val="1"/>
        </c:ser>
        <c:axId val="55631238"/>
        <c:axId val="30919095"/>
      </c:scatterChart>
      <c:valAx>
        <c:axId val="55631238"/>
        <c:scaling>
          <c:orientation val="minMax"/>
        </c:scaling>
        <c:axPos val="b"/>
        <c:title>
          <c:tx>
            <c:rich>
              <a:bodyPr vert="horz" rot="0" anchor="ctr"/>
              <a:lstStyle/>
              <a:p>
                <a:pPr algn="ctr">
                  <a:defRPr/>
                </a:pPr>
                <a:r>
                  <a:rPr lang="en-US" cap="none" sz="8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30919095"/>
        <c:crosses val="autoZero"/>
        <c:crossBetween val="midCat"/>
        <c:dispUnits/>
      </c:valAx>
      <c:valAx>
        <c:axId val="30919095"/>
        <c:scaling>
          <c:orientation val="minMax"/>
        </c:scaling>
        <c:axPos val="l"/>
        <c:title>
          <c:tx>
            <c:rich>
              <a:bodyPr vert="horz" rot="-5400000" anchor="ctr"/>
              <a:lstStyle/>
              <a:p>
                <a:pPr algn="ctr">
                  <a:defRPr/>
                </a:pPr>
                <a:r>
                  <a:rPr lang="en-US" cap="none" sz="8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55631238"/>
        <c:crosses val="autoZero"/>
        <c:crossBetween val="midCat"/>
        <c:dispUnits/>
      </c:valAx>
      <c:spPr>
        <a:noFill/>
        <a:ln w="12700">
          <a:solidFill>
            <a:srgbClr val="808080"/>
          </a:solidFill>
        </a:ln>
      </c:spPr>
    </c:plotArea>
    <c:legend>
      <c:legendPos val="r"/>
      <c:layout>
        <c:manualLayout>
          <c:xMode val="edge"/>
          <c:yMode val="edge"/>
          <c:x val="0.74925"/>
          <c:y val="0.17625"/>
          <c:w val="0.193"/>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21</xdr:row>
      <xdr:rowOff>57150</xdr:rowOff>
    </xdr:from>
    <xdr:to>
      <xdr:col>19</xdr:col>
      <xdr:colOff>342900</xdr:colOff>
      <xdr:row>33</xdr:row>
      <xdr:rowOff>161925</xdr:rowOff>
    </xdr:to>
    <xdr:graphicFrame>
      <xdr:nvGraphicFramePr>
        <xdr:cNvPr id="1" name="Chart 43"/>
        <xdr:cNvGraphicFramePr/>
      </xdr:nvGraphicFramePr>
      <xdr:xfrm>
        <a:off x="6562725" y="3819525"/>
        <a:ext cx="3048000"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2</xdr:row>
      <xdr:rowOff>190500</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twoCellAnchor editAs="oneCell">
    <xdr:from>
      <xdr:col>9</xdr:col>
      <xdr:colOff>619125</xdr:colOff>
      <xdr:row>12</xdr:row>
      <xdr:rowOff>57150</xdr:rowOff>
    </xdr:from>
    <xdr:to>
      <xdr:col>15</xdr:col>
      <xdr:colOff>466725</xdr:colOff>
      <xdr:row>22</xdr:row>
      <xdr:rowOff>19050</xdr:rowOff>
    </xdr:to>
    <xdr:pic>
      <xdr:nvPicPr>
        <xdr:cNvPr id="3" name="Picture 120"/>
        <xdr:cNvPicPr preferRelativeResize="1">
          <a:picLocks noChangeAspect="1"/>
        </xdr:cNvPicPr>
      </xdr:nvPicPr>
      <xdr:blipFill>
        <a:blip r:embed="rId3"/>
        <a:stretch>
          <a:fillRect/>
        </a:stretch>
      </xdr:blipFill>
      <xdr:spPr>
        <a:xfrm>
          <a:off x="6438900" y="2314575"/>
          <a:ext cx="1885950"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7"/>
  <sheetViews>
    <sheetView showGridLines="0" showRowColHeaders="0" tabSelected="1" workbookViewId="0" topLeftCell="A1">
      <selection activeCell="D35" sqref="D35"/>
    </sheetView>
  </sheetViews>
  <sheetFormatPr defaultColWidth="9.140625" defaultRowHeight="12.75"/>
  <cols>
    <col min="1" max="1" width="0.5625" style="0" customWidth="1"/>
    <col min="2" max="2" width="23.28125" style="0" customWidth="1"/>
    <col min="3" max="3" width="6.710937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3.421875" style="0" customWidth="1"/>
    <col min="10" max="10" width="11.00390625" style="0" customWidth="1"/>
    <col min="11" max="11" width="1.7109375" style="0" customWidth="1"/>
    <col min="12" max="12" width="7.140625" style="0" customWidth="1"/>
    <col min="13" max="13" width="1.8515625" style="0" customWidth="1"/>
    <col min="14" max="14" width="7.140625" style="0" customWidth="1"/>
    <col min="15" max="15" width="1.7109375" style="0" customWidth="1"/>
    <col min="16" max="16" width="7.28125" style="0" customWidth="1"/>
    <col min="17" max="17" width="2.7109375" style="0" customWidth="1"/>
    <col min="18" max="18" width="1.1484375" style="0" customWidth="1"/>
    <col min="19" max="19" width="10.00390625" style="0" customWidth="1"/>
    <col min="20" max="20" width="6.8515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
      <c r="F1" s="2"/>
      <c r="G1" s="2"/>
      <c r="H1" s="2"/>
      <c r="I1" s="2"/>
      <c r="J1" s="2"/>
      <c r="K1" s="3"/>
      <c r="L1" s="3"/>
      <c r="M1" s="3"/>
      <c r="N1" s="3"/>
      <c r="O1" s="3"/>
      <c r="P1" s="3"/>
      <c r="Q1" s="3"/>
      <c r="R1" s="3"/>
      <c r="S1" s="3"/>
      <c r="T1" s="3"/>
      <c r="U1" s="3"/>
      <c r="V1" s="3"/>
    </row>
    <row r="2" spans="1:22" ht="23.25">
      <c r="A2" s="2"/>
      <c r="B2" s="2"/>
      <c r="C2" s="4"/>
      <c r="D2" s="2"/>
      <c r="E2" s="131" t="s">
        <v>138</v>
      </c>
      <c r="F2" s="2"/>
      <c r="G2" s="2"/>
      <c r="H2" s="2"/>
      <c r="I2" s="2"/>
      <c r="J2" s="5"/>
      <c r="K2" s="3"/>
      <c r="L2" s="3"/>
      <c r="M2" s="3"/>
      <c r="N2" s="3"/>
      <c r="O2" s="3"/>
      <c r="P2" s="3"/>
      <c r="Q2" s="3"/>
      <c r="R2" s="3"/>
      <c r="S2" s="3"/>
      <c r="T2" s="3"/>
      <c r="U2" s="3"/>
      <c r="V2" s="3"/>
    </row>
    <row r="3" spans="1:22" ht="20.25">
      <c r="A3" s="2"/>
      <c r="B3" s="2"/>
      <c r="C3" s="4"/>
      <c r="D3" s="2"/>
      <c r="E3" s="17"/>
      <c r="F3" s="2"/>
      <c r="G3" s="2"/>
      <c r="H3" s="2"/>
      <c r="I3" s="2"/>
      <c r="J3" s="5"/>
      <c r="K3" s="3"/>
      <c r="L3" s="3"/>
      <c r="M3" s="3"/>
      <c r="N3" s="3"/>
      <c r="O3" s="3"/>
      <c r="P3" s="3"/>
      <c r="Q3" s="3"/>
      <c r="R3" s="3"/>
      <c r="S3" s="3"/>
      <c r="T3" s="3"/>
      <c r="U3" s="3"/>
      <c r="V3" s="3"/>
    </row>
    <row r="4" spans="1:22" ht="12.75">
      <c r="A4" s="2"/>
      <c r="B4" s="2"/>
      <c r="C4" s="4"/>
      <c r="D4" s="2"/>
      <c r="F4" s="2"/>
      <c r="G4" s="2"/>
      <c r="H4" s="2"/>
      <c r="I4" s="2"/>
      <c r="J4" s="5"/>
      <c r="K4" s="3"/>
      <c r="L4" s="3"/>
      <c r="M4" s="3"/>
      <c r="N4" s="3"/>
      <c r="O4" s="3"/>
      <c r="P4" s="3"/>
      <c r="Q4" s="3"/>
      <c r="R4" s="3"/>
      <c r="S4" s="3"/>
      <c r="T4" s="3"/>
      <c r="U4" s="3"/>
      <c r="V4" s="3"/>
    </row>
    <row r="5" spans="1:22" ht="12.75">
      <c r="A5" s="2"/>
      <c r="B5" s="2"/>
      <c r="C5" s="4"/>
      <c r="D5" s="2"/>
      <c r="F5" s="2"/>
      <c r="G5" s="2"/>
      <c r="H5" s="2"/>
      <c r="I5" s="2"/>
      <c r="J5" s="5"/>
      <c r="K5" s="3"/>
      <c r="L5" s="3"/>
      <c r="M5" s="3"/>
      <c r="N5" s="3"/>
      <c r="O5" s="3"/>
      <c r="P5" s="3"/>
      <c r="Q5" s="3"/>
      <c r="R5" s="3"/>
      <c r="S5" s="3"/>
      <c r="T5" s="3"/>
      <c r="U5" s="3"/>
      <c r="V5" s="3"/>
    </row>
    <row r="6" spans="1:22" ht="12.75">
      <c r="A6" s="2"/>
      <c r="B6" s="2"/>
      <c r="C6" s="4"/>
      <c r="D6" s="2"/>
      <c r="F6" s="2"/>
      <c r="G6" s="2"/>
      <c r="H6" s="2"/>
      <c r="I6" s="2"/>
      <c r="J6" s="5"/>
      <c r="K6" s="3"/>
      <c r="L6" s="3"/>
      <c r="M6" s="3"/>
      <c r="N6" s="3"/>
      <c r="O6" s="3"/>
      <c r="P6" s="3"/>
      <c r="Q6" s="3"/>
      <c r="R6" s="3"/>
      <c r="S6" s="3"/>
      <c r="T6" s="3"/>
      <c r="U6" s="3"/>
      <c r="V6" s="3"/>
    </row>
    <row r="7" spans="1:22" ht="12.75">
      <c r="A7" s="2"/>
      <c r="B7" s="2"/>
      <c r="C7" s="4"/>
      <c r="D7" s="2"/>
      <c r="E7" s="2"/>
      <c r="F7" s="2"/>
      <c r="G7" s="2"/>
      <c r="H7" s="2"/>
      <c r="I7" s="2"/>
      <c r="J7" s="5"/>
      <c r="K7" s="3"/>
      <c r="L7" s="3"/>
      <c r="M7" s="3"/>
      <c r="N7" s="3"/>
      <c r="O7" s="3"/>
      <c r="P7" s="3"/>
      <c r="Q7" s="3"/>
      <c r="R7" s="3"/>
      <c r="S7" s="3"/>
      <c r="T7" s="3"/>
      <c r="U7" s="3"/>
      <c r="V7" s="3"/>
    </row>
    <row r="8" spans="1:22" ht="18">
      <c r="A8" s="2"/>
      <c r="B8" s="43" t="s">
        <v>131</v>
      </c>
      <c r="C8" s="44"/>
      <c r="D8" s="43"/>
      <c r="E8" s="43"/>
      <c r="F8" s="43" t="s">
        <v>117</v>
      </c>
      <c r="G8" s="2"/>
      <c r="H8" s="2"/>
      <c r="I8" s="2"/>
      <c r="J8" s="5"/>
      <c r="K8" s="3"/>
      <c r="L8" s="43"/>
      <c r="M8" s="3"/>
      <c r="N8" s="3"/>
      <c r="O8" s="3"/>
      <c r="P8" s="3"/>
      <c r="Q8" s="3"/>
      <c r="R8" s="3"/>
      <c r="S8" s="3"/>
      <c r="T8" s="3"/>
      <c r="U8" s="3"/>
      <c r="V8" s="3"/>
    </row>
    <row r="9" spans="1:22" ht="13.5" thickBot="1">
      <c r="A9" s="2"/>
      <c r="B9" s="7"/>
      <c r="C9" s="14"/>
      <c r="D9" s="7"/>
      <c r="E9" s="7"/>
      <c r="F9" s="3"/>
      <c r="G9" s="3"/>
      <c r="H9" s="3"/>
      <c r="I9" s="6"/>
      <c r="K9" s="3"/>
      <c r="L9" s="3"/>
      <c r="M9" s="3"/>
      <c r="N9" s="3"/>
      <c r="O9" s="3"/>
      <c r="P9" s="3"/>
      <c r="Q9" s="3"/>
      <c r="R9" s="3"/>
      <c r="S9" s="3"/>
      <c r="T9" s="3"/>
      <c r="U9" s="3"/>
      <c r="V9" s="3"/>
    </row>
    <row r="10" spans="1:22" ht="13.5" thickBot="1">
      <c r="A10" s="2"/>
      <c r="B10" s="140" t="s">
        <v>72</v>
      </c>
      <c r="C10" s="141"/>
      <c r="D10" s="142"/>
      <c r="E10" s="126"/>
      <c r="F10" s="98" t="s">
        <v>20</v>
      </c>
      <c r="G10" s="49"/>
      <c r="H10" s="50"/>
      <c r="I10" s="25"/>
      <c r="J10" s="24"/>
      <c r="L10" s="78" t="s">
        <v>23</v>
      </c>
      <c r="M10" s="79"/>
      <c r="N10" s="80" t="s">
        <v>40</v>
      </c>
      <c r="O10" s="79"/>
      <c r="P10" s="80" t="s">
        <v>41</v>
      </c>
      <c r="Q10" s="81"/>
      <c r="R10" s="81"/>
      <c r="S10" s="82"/>
      <c r="T10" s="18"/>
      <c r="U10" s="18"/>
      <c r="V10" s="18"/>
    </row>
    <row r="11" spans="1:22" ht="12.75">
      <c r="A11" s="9"/>
      <c r="B11" s="46" t="s">
        <v>73</v>
      </c>
      <c r="C11" s="58">
        <v>24</v>
      </c>
      <c r="D11" s="32" t="s">
        <v>0</v>
      </c>
      <c r="E11" s="129"/>
      <c r="F11" s="55" t="s">
        <v>9</v>
      </c>
      <c r="G11" s="68">
        <f>'Sheet 1'!A1</f>
        <v>6.034719399472164</v>
      </c>
      <c r="H11" s="69" t="s">
        <v>36</v>
      </c>
      <c r="I11" s="33">
        <f>IF('Sheet 1'!A1&lt;0.2,"Turn on time too low!","")</f>
      </c>
      <c r="J11" s="30"/>
      <c r="L11" s="66">
        <f>C11</f>
        <v>24</v>
      </c>
      <c r="M11" s="83"/>
      <c r="N11" s="133">
        <f>C15</f>
        <v>0.1</v>
      </c>
      <c r="O11" s="83"/>
      <c r="P11" s="97">
        <f>C16</f>
        <v>33</v>
      </c>
      <c r="Q11" s="84"/>
      <c r="R11" s="84"/>
      <c r="S11" s="85"/>
      <c r="T11" s="19"/>
      <c r="U11" s="19"/>
      <c r="V11" s="19"/>
    </row>
    <row r="12" spans="1:22" ht="12.75">
      <c r="A12" s="20"/>
      <c r="B12" s="46" t="s">
        <v>8</v>
      </c>
      <c r="C12" s="65">
        <v>6</v>
      </c>
      <c r="D12" s="31"/>
      <c r="E12" s="144">
        <f>IF(C13*C12&gt;(C11-1.2),"Too many LEDs for Vin!","")</f>
      </c>
      <c r="F12" s="46" t="s">
        <v>10</v>
      </c>
      <c r="G12" s="70">
        <f>'Sheet 1'!A2</f>
        <v>0.6536621365777933</v>
      </c>
      <c r="H12" s="61" t="s">
        <v>36</v>
      </c>
      <c r="I12" s="33">
        <f>IF('Sheet 1'!A2&lt;0.2,"Turn off time too low!","")</f>
      </c>
      <c r="J12" s="30"/>
      <c r="L12" s="86" t="s">
        <v>0</v>
      </c>
      <c r="M12" s="79"/>
      <c r="N12" s="87" t="s">
        <v>1</v>
      </c>
      <c r="O12" s="88"/>
      <c r="P12" s="89" t="s">
        <v>37</v>
      </c>
      <c r="Q12" s="81"/>
      <c r="R12" s="81"/>
      <c r="S12" s="90"/>
      <c r="V12" s="7"/>
    </row>
    <row r="13" spans="1:22" ht="12.75">
      <c r="A13" s="9"/>
      <c r="B13" s="46" t="s">
        <v>74</v>
      </c>
      <c r="C13" s="59">
        <v>3.5</v>
      </c>
      <c r="D13" s="32" t="s">
        <v>0</v>
      </c>
      <c r="E13" s="145">
        <f>IF(C13*C12&gt;(C11-1.2),"Total LED voltage too high!","")</f>
      </c>
      <c r="F13" s="46" t="s">
        <v>81</v>
      </c>
      <c r="G13" s="70">
        <f>'Sheet 1'!A3</f>
        <v>0.9022690118596561</v>
      </c>
      <c r="H13" s="60"/>
      <c r="I13" s="33">
        <f>IF('Sheet 1'!A3&lt;0.15,"Duty cycle too low!",IF('Sheet 1'!A3&gt;0.95,"Duty cycle too high!",""))</f>
      </c>
      <c r="J13" s="30"/>
      <c r="K13" s="24"/>
      <c r="L13" s="27"/>
      <c r="M13" s="90"/>
      <c r="N13" s="90"/>
      <c r="O13" s="27"/>
      <c r="P13" s="91"/>
      <c r="Q13" s="81"/>
      <c r="R13" s="81"/>
      <c r="S13" s="90"/>
      <c r="V13" s="10"/>
    </row>
    <row r="14" spans="1:22" ht="13.5" thickBot="1">
      <c r="A14" s="11"/>
      <c r="B14" s="46" t="s">
        <v>2</v>
      </c>
      <c r="C14" s="59">
        <v>0.36</v>
      </c>
      <c r="D14" s="32" t="s">
        <v>0</v>
      </c>
      <c r="E14" s="130"/>
      <c r="F14" s="47" t="s">
        <v>82</v>
      </c>
      <c r="G14" s="62">
        <f>'Sheet 1'!A4</f>
        <v>149.51300170453234</v>
      </c>
      <c r="H14" s="72" t="s">
        <v>3</v>
      </c>
      <c r="I14" s="33">
        <f>IF('Sheet 1'!A4&gt;600,"f above recommended maximum!","")</f>
      </c>
      <c r="J14" s="30"/>
      <c r="K14" s="24"/>
      <c r="L14" s="27"/>
      <c r="M14" s="27"/>
      <c r="N14" s="27"/>
      <c r="O14" s="27"/>
      <c r="P14" s="91"/>
      <c r="Q14" s="81"/>
      <c r="R14" s="81"/>
      <c r="S14" s="92" t="s">
        <v>24</v>
      </c>
      <c r="V14" s="10"/>
    </row>
    <row r="15" spans="1:22" ht="13.5" thickBot="1">
      <c r="A15" s="11"/>
      <c r="B15" s="46" t="s">
        <v>64</v>
      </c>
      <c r="C15" s="132">
        <v>0.1</v>
      </c>
      <c r="D15" s="31" t="s">
        <v>1</v>
      </c>
      <c r="E15" s="130"/>
      <c r="F15" s="98" t="s">
        <v>83</v>
      </c>
      <c r="G15" s="51"/>
      <c r="H15" s="45"/>
      <c r="I15" s="33"/>
      <c r="J15" s="30"/>
      <c r="K15" s="24"/>
      <c r="L15" s="27"/>
      <c r="M15" s="27"/>
      <c r="N15" s="27"/>
      <c r="O15" s="27"/>
      <c r="P15" s="90"/>
      <c r="Q15" s="81"/>
      <c r="R15" s="81"/>
      <c r="S15" s="93" t="s">
        <v>39</v>
      </c>
      <c r="V15" s="10"/>
    </row>
    <row r="16" spans="1:22" ht="12.75">
      <c r="A16" s="11"/>
      <c r="B16" s="46" t="s">
        <v>75</v>
      </c>
      <c r="C16" s="58">
        <v>33</v>
      </c>
      <c r="D16" s="31" t="s">
        <v>37</v>
      </c>
      <c r="E16" s="146">
        <f>IF(C16&lt;10,"L too small!",IF(C16&gt;1000,"L too large!",""))</f>
      </c>
      <c r="F16" s="55" t="s">
        <v>61</v>
      </c>
      <c r="G16" s="73">
        <f>'Sheet 1'!A5</f>
        <v>1165.9566719528407</v>
      </c>
      <c r="H16" s="69" t="s">
        <v>4</v>
      </c>
      <c r="I16" s="33"/>
      <c r="J16" s="30"/>
      <c r="K16" s="24"/>
      <c r="L16" s="27"/>
      <c r="M16" s="27"/>
      <c r="N16" s="27"/>
      <c r="O16" s="27"/>
      <c r="P16" s="90"/>
      <c r="Q16" s="81"/>
      <c r="R16" s="81"/>
      <c r="S16" s="67">
        <f>C12</f>
        <v>6</v>
      </c>
      <c r="V16" s="10"/>
    </row>
    <row r="17" spans="1:22" ht="13.5" thickBot="1">
      <c r="A17" s="11"/>
      <c r="B17" s="47" t="s">
        <v>76</v>
      </c>
      <c r="C17" s="134">
        <v>0.096</v>
      </c>
      <c r="D17" s="38" t="s">
        <v>1</v>
      </c>
      <c r="E17" s="146">
        <f>IF(C17&gt;2,"Coil resistance too high!",IF(C17&lt;0.01,"Coil resistance too low!",""))</f>
      </c>
      <c r="F17" s="46" t="s">
        <v>54</v>
      </c>
      <c r="G17" s="71">
        <f>'Sheet 1'!A6</f>
        <v>739.16136007538</v>
      </c>
      <c r="H17" s="61" t="s">
        <v>4</v>
      </c>
      <c r="I17" s="25"/>
      <c r="J17" s="24"/>
      <c r="K17" s="24"/>
      <c r="L17" s="27"/>
      <c r="M17" s="27"/>
      <c r="N17" s="27"/>
      <c r="O17" s="27"/>
      <c r="P17" s="90"/>
      <c r="Q17" s="81"/>
      <c r="R17" s="81"/>
      <c r="S17" s="91"/>
      <c r="V17" s="10"/>
    </row>
    <row r="18" spans="1:22" ht="12.75">
      <c r="A18" s="11"/>
      <c r="B18" s="34"/>
      <c r="C18" s="35"/>
      <c r="D18" s="34"/>
      <c r="E18" s="130"/>
      <c r="F18" s="46" t="s">
        <v>84</v>
      </c>
      <c r="G18" s="71">
        <f>'Sheet 1'!A7</f>
        <v>426.7953118774607</v>
      </c>
      <c r="H18" s="61" t="s">
        <v>4</v>
      </c>
      <c r="I18" s="25"/>
      <c r="J18" s="24"/>
      <c r="K18" s="24"/>
      <c r="L18" s="27"/>
      <c r="M18" s="27"/>
      <c r="N18" s="27"/>
      <c r="O18" s="27"/>
      <c r="P18" s="90"/>
      <c r="Q18" s="81"/>
      <c r="R18" s="81"/>
      <c r="S18" s="92" t="s">
        <v>70</v>
      </c>
      <c r="V18" s="10"/>
    </row>
    <row r="19" spans="1:22" ht="13.5" thickBot="1">
      <c r="A19" s="11"/>
      <c r="B19" s="36"/>
      <c r="C19" s="37"/>
      <c r="D19" s="36"/>
      <c r="E19" s="130"/>
      <c r="F19" s="47" t="s">
        <v>62</v>
      </c>
      <c r="G19" s="62">
        <f>'Sheet 1'!A8</f>
        <v>956.6288052530675</v>
      </c>
      <c r="H19" s="63" t="s">
        <v>4</v>
      </c>
      <c r="I19" s="25">
        <f>IF('Sheet 1'!A8&gt;1100,"Average current too high!","")</f>
      </c>
      <c r="J19" s="24"/>
      <c r="K19" s="24"/>
      <c r="L19" s="27"/>
      <c r="M19" s="27"/>
      <c r="N19" s="27"/>
      <c r="O19" s="27"/>
      <c r="P19" s="90"/>
      <c r="Q19" s="81"/>
      <c r="R19" s="81"/>
      <c r="S19" s="94" t="s">
        <v>71</v>
      </c>
      <c r="V19" s="13"/>
    </row>
    <row r="20" spans="1:22" ht="13.5" thickBot="1">
      <c r="A20" s="11"/>
      <c r="B20" s="98" t="s">
        <v>90</v>
      </c>
      <c r="C20" s="48"/>
      <c r="D20" s="45"/>
      <c r="E20" s="129"/>
      <c r="F20" s="98" t="s">
        <v>22</v>
      </c>
      <c r="G20" s="51"/>
      <c r="H20" s="45"/>
      <c r="I20" s="25"/>
      <c r="J20" s="24"/>
      <c r="K20" s="24"/>
      <c r="L20" s="27"/>
      <c r="M20" s="27"/>
      <c r="N20" s="27"/>
      <c r="O20" s="27"/>
      <c r="P20" s="90"/>
      <c r="Q20" s="95"/>
      <c r="R20" s="95"/>
      <c r="S20" s="64">
        <f>'Sheet 1'!A8</f>
        <v>956.6288052530675</v>
      </c>
      <c r="V20" s="13"/>
    </row>
    <row r="21" spans="1:22" ht="12.75">
      <c r="A21" s="11"/>
      <c r="B21" s="52" t="s">
        <v>27</v>
      </c>
      <c r="C21" s="39">
        <v>25</v>
      </c>
      <c r="D21" s="56" t="s">
        <v>38</v>
      </c>
      <c r="E21" s="129"/>
      <c r="F21" s="55" t="s">
        <v>85</v>
      </c>
      <c r="G21" s="73">
        <f>'Sheet 1'!A10</f>
        <v>20.089204910314415</v>
      </c>
      <c r="H21" s="69" t="s">
        <v>11</v>
      </c>
      <c r="I21" s="25"/>
      <c r="J21" s="9"/>
      <c r="K21" s="24"/>
      <c r="L21" s="27"/>
      <c r="M21" s="27"/>
      <c r="N21" s="27"/>
      <c r="O21" s="27"/>
      <c r="P21" s="90"/>
      <c r="Q21" s="81"/>
      <c r="R21" s="81"/>
      <c r="S21" s="96" t="s">
        <v>4</v>
      </c>
      <c r="T21" s="27"/>
      <c r="U21" s="28"/>
      <c r="V21" s="15"/>
    </row>
    <row r="22" spans="1:22" ht="12.75">
      <c r="A22" s="11"/>
      <c r="B22" s="53" t="s">
        <v>28</v>
      </c>
      <c r="C22" s="39">
        <v>240</v>
      </c>
      <c r="D22" s="56" t="s">
        <v>29</v>
      </c>
      <c r="E22" s="129"/>
      <c r="F22" s="46" t="s">
        <v>86</v>
      </c>
      <c r="G22" s="71">
        <f>'Sheet 1'!G47</f>
        <v>930</v>
      </c>
      <c r="H22" s="61" t="s">
        <v>35</v>
      </c>
      <c r="I22" s="25"/>
      <c r="J22" s="9"/>
      <c r="K22" s="24"/>
      <c r="L22" s="24"/>
      <c r="M22" s="24"/>
      <c r="N22" s="24"/>
      <c r="O22" s="24"/>
      <c r="P22" s="26"/>
      <c r="Q22" s="7"/>
      <c r="R22" s="7"/>
      <c r="S22" s="26"/>
      <c r="T22" s="27"/>
      <c r="U22" s="28"/>
      <c r="V22" s="15"/>
    </row>
    <row r="23" spans="1:22" ht="12.75">
      <c r="A23" s="11"/>
      <c r="B23" s="53" t="s">
        <v>30</v>
      </c>
      <c r="C23" s="39">
        <v>170</v>
      </c>
      <c r="D23" s="56" t="s">
        <v>29</v>
      </c>
      <c r="E23" s="129"/>
      <c r="F23" s="46" t="s">
        <v>12</v>
      </c>
      <c r="G23" s="71">
        <f>'Sheet 1'!A11</f>
        <v>412.85063221686994</v>
      </c>
      <c r="H23" s="61" t="s">
        <v>13</v>
      </c>
      <c r="I23" s="25"/>
      <c r="J23" s="7"/>
      <c r="K23" s="9"/>
      <c r="L23" s="9"/>
      <c r="M23" s="9"/>
      <c r="N23" s="9"/>
      <c r="O23" s="9"/>
      <c r="P23" s="7"/>
      <c r="Q23" s="7"/>
      <c r="R23" s="7"/>
      <c r="S23" s="26"/>
      <c r="T23" s="27"/>
      <c r="U23" s="28"/>
      <c r="V23" s="15"/>
    </row>
    <row r="24" spans="1:22" ht="12.75">
      <c r="A24" s="11"/>
      <c r="B24" s="53" t="s">
        <v>77</v>
      </c>
      <c r="C24" s="39">
        <v>20</v>
      </c>
      <c r="D24" s="56" t="s">
        <v>29</v>
      </c>
      <c r="E24" s="129"/>
      <c r="F24" s="46" t="s">
        <v>14</v>
      </c>
      <c r="G24" s="71">
        <f>'Sheet 1'!A12</f>
        <v>27.411558306900467</v>
      </c>
      <c r="H24" s="61" t="s">
        <v>13</v>
      </c>
      <c r="I24" s="25"/>
      <c r="J24" s="7"/>
      <c r="K24" s="9"/>
      <c r="L24" s="9"/>
      <c r="M24" s="9"/>
      <c r="N24" s="9"/>
      <c r="O24" s="9"/>
      <c r="P24" s="7"/>
      <c r="Q24" s="7"/>
      <c r="R24" s="7"/>
      <c r="S24" s="26"/>
      <c r="T24" s="27"/>
      <c r="U24" s="29"/>
      <c r="V24" s="8"/>
    </row>
    <row r="25" spans="1:22" ht="12.75">
      <c r="A25" s="9"/>
      <c r="B25" s="53" t="s">
        <v>78</v>
      </c>
      <c r="C25" s="39">
        <v>30</v>
      </c>
      <c r="D25" s="56" t="s">
        <v>29</v>
      </c>
      <c r="E25" s="129"/>
      <c r="F25" s="46" t="s">
        <v>15</v>
      </c>
      <c r="G25" s="71">
        <f>'Sheet 1'!G50</f>
        <v>447.7021905237704</v>
      </c>
      <c r="H25" s="61" t="s">
        <v>13</v>
      </c>
      <c r="I25" s="25">
        <f>IF(G25&gt;1000,"Chip power too high!","")</f>
      </c>
      <c r="J25" s="7"/>
      <c r="K25" s="7"/>
      <c r="L25" s="7"/>
      <c r="M25" s="9"/>
      <c r="N25" s="9"/>
      <c r="O25" s="9"/>
      <c r="P25" s="7"/>
      <c r="Q25" s="7"/>
      <c r="R25" s="7"/>
      <c r="S25" s="26"/>
      <c r="T25" s="27"/>
      <c r="U25" s="28"/>
      <c r="V25" s="15"/>
    </row>
    <row r="26" spans="1:22" ht="12.75">
      <c r="A26" s="11"/>
      <c r="B26" s="53" t="s">
        <v>79</v>
      </c>
      <c r="C26" s="41">
        <v>0.5</v>
      </c>
      <c r="D26" s="56" t="s">
        <v>1</v>
      </c>
      <c r="E26" s="129"/>
      <c r="F26" s="46" t="s">
        <v>16</v>
      </c>
      <c r="G26" s="71">
        <f>'Sheet 1'!G51</f>
        <v>33.657220231523596</v>
      </c>
      <c r="H26" s="61" t="s">
        <v>13</v>
      </c>
      <c r="I26" s="25"/>
      <c r="J26" s="7"/>
      <c r="K26" s="7"/>
      <c r="L26" s="7"/>
      <c r="M26" s="9"/>
      <c r="N26" s="9"/>
      <c r="O26" s="9"/>
      <c r="P26" s="7"/>
      <c r="Q26" s="7"/>
      <c r="R26" s="7"/>
      <c r="S26" s="26"/>
      <c r="T26" s="27"/>
      <c r="U26" s="28"/>
      <c r="V26" s="15"/>
    </row>
    <row r="27" spans="1:22" ht="12.75">
      <c r="A27" s="11"/>
      <c r="B27" s="53" t="s">
        <v>80</v>
      </c>
      <c r="C27" s="41">
        <v>110</v>
      </c>
      <c r="D27" s="56" t="s">
        <v>34</v>
      </c>
      <c r="E27" s="129"/>
      <c r="F27" s="46" t="s">
        <v>17</v>
      </c>
      <c r="G27" s="71">
        <f>'Sheet 1'!G52</f>
        <v>91.51386710399116</v>
      </c>
      <c r="H27" s="61" t="s">
        <v>13</v>
      </c>
      <c r="I27" s="25"/>
      <c r="J27" s="12"/>
      <c r="K27" s="7"/>
      <c r="L27" s="7"/>
      <c r="M27" s="16"/>
      <c r="N27" s="9"/>
      <c r="O27" s="9"/>
      <c r="P27" s="7"/>
      <c r="Q27" s="7"/>
      <c r="R27" s="7"/>
      <c r="S27" s="26"/>
      <c r="T27" s="27"/>
      <c r="U27" s="28"/>
      <c r="V27" s="15"/>
    </row>
    <row r="28" spans="1:22" ht="13.5" thickBot="1">
      <c r="A28" s="11"/>
      <c r="B28" s="54" t="s">
        <v>43</v>
      </c>
      <c r="C28" s="42">
        <v>1.25</v>
      </c>
      <c r="D28" s="57" t="s">
        <v>0</v>
      </c>
      <c r="E28" s="129"/>
      <c r="F28" s="46" t="s">
        <v>19</v>
      </c>
      <c r="G28" s="71">
        <f>'Sheet 1'!A14</f>
        <v>87.85331241983151</v>
      </c>
      <c r="H28" s="61" t="s">
        <v>13</v>
      </c>
      <c r="I28" s="25"/>
      <c r="J28" s="12"/>
      <c r="K28" s="7"/>
      <c r="L28" s="7"/>
      <c r="M28" s="7"/>
      <c r="N28" s="7"/>
      <c r="O28" s="7"/>
      <c r="P28" s="7"/>
      <c r="Q28" s="7"/>
      <c r="R28" s="7"/>
      <c r="S28" s="26"/>
      <c r="T28" s="27"/>
      <c r="U28" s="28"/>
      <c r="V28" s="15"/>
    </row>
    <row r="29" spans="1:22" ht="12.75">
      <c r="A29" s="11"/>
      <c r="B29" s="40"/>
      <c r="C29" s="40"/>
      <c r="D29" s="40"/>
      <c r="E29" s="127"/>
      <c r="F29" s="46" t="s">
        <v>87</v>
      </c>
      <c r="G29" s="71">
        <f>'Sheet 1'!G54</f>
        <v>96.8157649568134</v>
      </c>
      <c r="H29" s="61" t="s">
        <v>18</v>
      </c>
      <c r="I29" s="25"/>
      <c r="J29" s="12"/>
      <c r="K29" s="9"/>
      <c r="L29" s="9"/>
      <c r="M29" s="9"/>
      <c r="N29" s="7"/>
      <c r="O29" s="7"/>
      <c r="P29" s="7"/>
      <c r="Q29" s="7"/>
      <c r="R29" s="7"/>
      <c r="S29" s="26"/>
      <c r="T29" s="27"/>
      <c r="U29" s="28"/>
      <c r="V29" s="15"/>
    </row>
    <row r="30" spans="1:22" ht="13.5" thickBot="1">
      <c r="A30" s="11"/>
      <c r="B30" s="40"/>
      <c r="C30" s="40"/>
      <c r="D30" s="40"/>
      <c r="E30" s="127"/>
      <c r="F30" s="47" t="s">
        <v>88</v>
      </c>
      <c r="G30" s="62">
        <f>'Sheet 1'!G55</f>
        <v>864.9924064700418</v>
      </c>
      <c r="H30" s="63" t="s">
        <v>4</v>
      </c>
      <c r="I30" s="26"/>
      <c r="J30" s="12"/>
      <c r="K30" s="9"/>
      <c r="L30" s="9"/>
      <c r="M30" s="9"/>
      <c r="N30" s="7"/>
      <c r="O30" s="7"/>
      <c r="P30" s="7"/>
      <c r="Q30" s="7"/>
      <c r="R30" s="7"/>
      <c r="S30" s="26"/>
      <c r="T30" s="26"/>
      <c r="U30" s="26"/>
      <c r="V30" s="7"/>
    </row>
    <row r="31" spans="1:22" ht="13.5" thickBot="1">
      <c r="A31" s="9"/>
      <c r="B31" s="40"/>
      <c r="C31" s="40"/>
      <c r="D31" s="40"/>
      <c r="E31" s="127"/>
      <c r="F31" s="98" t="s">
        <v>69</v>
      </c>
      <c r="G31" s="48"/>
      <c r="H31" s="45"/>
      <c r="I31" s="6"/>
      <c r="J31" s="12"/>
      <c r="K31" s="9"/>
      <c r="L31" s="9"/>
      <c r="M31" s="9"/>
      <c r="N31" s="9"/>
      <c r="O31" s="9"/>
      <c r="P31" s="9"/>
      <c r="Q31" s="7"/>
      <c r="R31" s="7"/>
      <c r="V31" s="7"/>
    </row>
    <row r="32" spans="1:22" ht="12.75">
      <c r="A32" s="9"/>
      <c r="B32" s="40"/>
      <c r="C32" s="40"/>
      <c r="D32" s="40"/>
      <c r="E32" s="127"/>
      <c r="F32" s="52" t="s">
        <v>65</v>
      </c>
      <c r="G32" s="74">
        <f>'Sheet 1'!G56</f>
        <v>0.6275455005140167</v>
      </c>
      <c r="H32" s="75" t="s">
        <v>1</v>
      </c>
      <c r="I32" s="6"/>
      <c r="J32" s="12"/>
      <c r="K32" s="9"/>
      <c r="L32" s="9"/>
      <c r="M32" s="9"/>
      <c r="N32" s="9"/>
      <c r="O32" s="9"/>
      <c r="P32" s="9"/>
      <c r="Q32" s="7"/>
      <c r="R32" s="7"/>
      <c r="V32" s="10"/>
    </row>
    <row r="33" spans="1:22" ht="13.5" thickBot="1">
      <c r="A33" s="11"/>
      <c r="B33" s="40"/>
      <c r="C33" s="40"/>
      <c r="D33" s="40"/>
      <c r="E33" s="127"/>
      <c r="F33" s="54" t="s">
        <v>89</v>
      </c>
      <c r="G33" s="76">
        <f>'Sheet 1'!G57</f>
        <v>74.24724095761474</v>
      </c>
      <c r="H33" s="77" t="s">
        <v>38</v>
      </c>
      <c r="I33" s="128">
        <f>IF(G33&gt;150,"Chip temp too high!","")</f>
      </c>
      <c r="J33" s="12"/>
      <c r="K33" s="9"/>
      <c r="L33" s="9"/>
      <c r="M33" s="9"/>
      <c r="N33" s="9"/>
      <c r="O33" s="9"/>
      <c r="P33" s="9"/>
      <c r="Q33" s="7"/>
      <c r="R33" s="7"/>
      <c r="V33" s="12">
        <f>IF(G33&gt;150,"Die Temperature too high !","")</f>
      </c>
    </row>
    <row r="34" spans="1:22" ht="12.75">
      <c r="A34" s="11"/>
      <c r="F34" s="25"/>
      <c r="G34" s="25"/>
      <c r="H34" s="25"/>
      <c r="I34" s="6"/>
      <c r="J34" s="12"/>
      <c r="K34" s="9"/>
      <c r="L34" s="9"/>
      <c r="M34" s="9"/>
      <c r="N34" s="9"/>
      <c r="O34" s="9"/>
      <c r="P34" s="9"/>
      <c r="Q34" s="7"/>
      <c r="R34" s="7"/>
      <c r="S34" s="26"/>
      <c r="T34" s="26"/>
      <c r="U34" s="26"/>
      <c r="V34" s="7"/>
    </row>
    <row r="35" spans="1:22" ht="12.75">
      <c r="A35" s="9"/>
      <c r="K35" s="9"/>
      <c r="L35" s="9"/>
      <c r="M35" s="9"/>
      <c r="N35" s="9"/>
      <c r="O35" s="9"/>
      <c r="P35" s="9"/>
      <c r="Q35" s="7"/>
      <c r="R35" s="7"/>
      <c r="S35" s="7"/>
      <c r="T35" s="7"/>
      <c r="U35" s="7"/>
      <c r="V35" s="7"/>
    </row>
    <row r="36" spans="1:22" ht="12.75">
      <c r="A36" s="9"/>
      <c r="F36" s="25"/>
      <c r="G36" s="25"/>
      <c r="H36" s="25"/>
      <c r="I36" s="6"/>
      <c r="J36" s="12"/>
      <c r="K36" s="9"/>
      <c r="L36" s="9"/>
      <c r="M36" s="9"/>
      <c r="N36" s="9"/>
      <c r="O36" s="9"/>
      <c r="P36" s="9"/>
      <c r="Q36" s="7"/>
      <c r="R36" s="7"/>
      <c r="S36" s="7"/>
      <c r="T36" s="7"/>
      <c r="U36" s="7"/>
      <c r="V36" s="7"/>
    </row>
    <row r="37" spans="1:22" ht="12.75">
      <c r="A37" s="9"/>
      <c r="K37" s="9"/>
      <c r="L37" s="9"/>
      <c r="M37" s="9"/>
      <c r="N37" s="9"/>
      <c r="O37" s="9"/>
      <c r="P37" s="9"/>
      <c r="Q37" s="7"/>
      <c r="R37" s="7"/>
      <c r="S37" s="7"/>
      <c r="T37" s="7"/>
      <c r="U37" s="7"/>
      <c r="V37" s="7"/>
    </row>
    <row r="38" spans="1:22" ht="12.75">
      <c r="A38" s="9"/>
      <c r="F38" s="25"/>
      <c r="G38" s="25"/>
      <c r="H38" s="25"/>
      <c r="I38" s="6"/>
      <c r="J38" s="12"/>
      <c r="K38" s="9"/>
      <c r="L38" s="9"/>
      <c r="M38" s="9"/>
      <c r="N38" s="9"/>
      <c r="O38" s="9"/>
      <c r="P38" s="9"/>
      <c r="Q38" s="7"/>
      <c r="R38" s="7"/>
      <c r="S38" s="7"/>
      <c r="T38" s="7"/>
      <c r="U38" s="7"/>
      <c r="V38" s="7"/>
    </row>
    <row r="39" spans="1:22" ht="12.75">
      <c r="A39" s="9"/>
      <c r="F39" s="25"/>
      <c r="G39" s="25"/>
      <c r="H39" s="25"/>
      <c r="I39" s="6"/>
      <c r="J39" s="12"/>
      <c r="K39" s="9"/>
      <c r="L39" s="9"/>
      <c r="M39" s="9"/>
      <c r="N39" s="9"/>
      <c r="O39" s="9"/>
      <c r="P39" s="9"/>
      <c r="Q39" s="7"/>
      <c r="R39" s="7"/>
      <c r="S39" s="7"/>
      <c r="T39" s="7"/>
      <c r="U39" s="7"/>
      <c r="V39" s="7"/>
    </row>
    <row r="40" spans="1:22" ht="12.75">
      <c r="A40" s="9"/>
      <c r="F40" s="25"/>
      <c r="G40" s="25"/>
      <c r="H40" s="25"/>
      <c r="I40" s="9"/>
      <c r="J40" s="9"/>
      <c r="K40" s="9"/>
      <c r="L40" s="9"/>
      <c r="M40" s="9"/>
      <c r="N40" s="9"/>
      <c r="O40" s="9"/>
      <c r="P40" s="9"/>
      <c r="Q40" s="7"/>
      <c r="R40" s="7"/>
      <c r="S40" s="7"/>
      <c r="T40" s="7"/>
      <c r="U40" s="7"/>
      <c r="V40" s="7"/>
    </row>
    <row r="41" spans="1:22" ht="12.75">
      <c r="A41" s="9"/>
      <c r="F41" s="25"/>
      <c r="G41" s="25"/>
      <c r="H41" s="25"/>
      <c r="I41" s="12"/>
      <c r="J41" s="12"/>
      <c r="K41" s="9"/>
      <c r="L41" s="9"/>
      <c r="M41" s="9"/>
      <c r="N41" s="9"/>
      <c r="O41" s="9"/>
      <c r="P41" s="9"/>
      <c r="Q41" s="7"/>
      <c r="R41" s="7"/>
      <c r="S41" s="7"/>
      <c r="T41" s="7"/>
      <c r="U41" s="7"/>
      <c r="V41" s="7"/>
    </row>
    <row r="42" spans="1:22" ht="12.75">
      <c r="A42" s="9"/>
      <c r="F42" s="25"/>
      <c r="G42" s="25"/>
      <c r="H42" s="25"/>
      <c r="I42" s="12"/>
      <c r="J42" s="12"/>
      <c r="K42" s="9"/>
      <c r="L42" s="9"/>
      <c r="M42" s="9"/>
      <c r="N42" s="9"/>
      <c r="O42" s="9"/>
      <c r="P42" s="9"/>
      <c r="Q42" s="7"/>
      <c r="R42" s="7"/>
      <c r="S42" s="7"/>
      <c r="T42" s="7"/>
      <c r="U42" s="7"/>
      <c r="V42" s="7"/>
    </row>
    <row r="43" spans="1:22" ht="12.75">
      <c r="A43" s="9"/>
      <c r="F43" s="26"/>
      <c r="G43" s="26"/>
      <c r="H43" s="26"/>
      <c r="I43" s="12"/>
      <c r="J43" s="12"/>
      <c r="K43" s="9"/>
      <c r="L43" s="9"/>
      <c r="M43" s="9"/>
      <c r="N43" s="9"/>
      <c r="O43" s="9"/>
      <c r="P43" s="9"/>
      <c r="Q43" s="7"/>
      <c r="R43" s="7"/>
      <c r="S43" s="7"/>
      <c r="T43" s="7"/>
      <c r="U43" s="7"/>
      <c r="V43" s="7"/>
    </row>
    <row r="44" spans="1:22" ht="12.75">
      <c r="A44" s="9"/>
      <c r="F44" s="6"/>
      <c r="G44" s="6"/>
      <c r="H44" s="6"/>
      <c r="I44" s="12"/>
      <c r="J44" s="12"/>
      <c r="K44" s="9"/>
      <c r="L44" s="9"/>
      <c r="M44" s="9"/>
      <c r="N44" s="9"/>
      <c r="O44" s="9"/>
      <c r="P44" s="9"/>
      <c r="Q44" s="7"/>
      <c r="R44" s="7"/>
      <c r="S44" s="7"/>
      <c r="T44" s="7"/>
      <c r="U44" s="7"/>
      <c r="V44" s="7"/>
    </row>
    <row r="45" spans="1:22" ht="12" customHeight="1">
      <c r="A45" s="9"/>
      <c r="E45" s="7"/>
      <c r="F45" s="7"/>
      <c r="G45" s="7"/>
      <c r="H45" s="7"/>
      <c r="I45" s="9"/>
      <c r="J45" s="9"/>
      <c r="K45" s="9"/>
      <c r="L45" s="9"/>
      <c r="M45" s="9"/>
      <c r="N45" s="9"/>
      <c r="O45" s="9"/>
      <c r="P45" s="9"/>
      <c r="Q45" s="7"/>
      <c r="R45" s="7"/>
      <c r="S45" s="7"/>
      <c r="T45" s="7"/>
      <c r="U45" s="7"/>
      <c r="V45" s="7"/>
    </row>
    <row r="46" spans="1:22" ht="12.75">
      <c r="A46" s="9"/>
      <c r="E46" s="9"/>
      <c r="F46" s="9"/>
      <c r="G46" s="9"/>
      <c r="H46" s="9"/>
      <c r="I46" s="9"/>
      <c r="J46" s="9"/>
      <c r="K46" s="9"/>
      <c r="L46" s="9"/>
      <c r="M46" s="9"/>
      <c r="N46" s="9"/>
      <c r="O46" s="9"/>
      <c r="P46" s="9"/>
      <c r="Q46" s="7"/>
      <c r="R46" s="7"/>
      <c r="S46" s="7"/>
      <c r="T46" s="7"/>
      <c r="U46" s="7"/>
      <c r="V46" s="7"/>
    </row>
    <row r="47" spans="1:22" ht="12.75">
      <c r="A47" s="18"/>
      <c r="E47" s="18"/>
      <c r="F47" s="18"/>
      <c r="G47" s="18"/>
      <c r="H47" s="18"/>
      <c r="I47" s="18"/>
      <c r="J47" s="18"/>
      <c r="K47" s="18"/>
      <c r="L47" s="18"/>
      <c r="M47" s="18"/>
      <c r="N47" s="18"/>
      <c r="O47" s="18"/>
      <c r="P47" s="18"/>
      <c r="Q47" s="18"/>
      <c r="R47" s="18"/>
      <c r="S47" s="18"/>
      <c r="T47" s="18"/>
      <c r="U47" s="18"/>
      <c r="V47" s="18"/>
    </row>
  </sheetData>
  <sheetProtection password="81DF" sheet="1" objects="1" scenarios="1"/>
  <mergeCells count="1">
    <mergeCell ref="B10:D10"/>
  </mergeCells>
  <dataValidations count="15">
    <dataValidation type="decimal" allowBlank="1" showInputMessage="1" showErrorMessage="1" errorTitle="Voltage out of range" error="Please enter voltage between 0.3V and 2.5V" sqref="C28">
      <formula1>0.3</formula1>
      <formula2>2.5</formula2>
    </dataValidation>
    <dataValidation type="decimal" allowBlank="1" showInputMessage="1" showErrorMessage="1" errorTitle="Temperature out of range" error="Please enter temperature&#10;between  -40 and 105 Deg C" sqref="C21">
      <formula1>-40</formula1>
      <formula2>105</formula2>
    </dataValidation>
    <dataValidation type="decimal" operator="greaterThanOrEqual" allowBlank="1" showInputMessage="1" showErrorMessage="1" sqref="C24:C25">
      <formula1>0</formula1>
    </dataValidation>
    <dataValidation type="decimal" allowBlank="1" showInputMessage="1" showErrorMessage="1" errorTitle="Thermal resistance" error="Value outside expected range" sqref="C27">
      <formula1>10</formula1>
      <formula2>250</formula2>
    </dataValidation>
    <dataValidation type="whole" allowBlank="1" showInputMessage="1" showErrorMessage="1" prompt="Please enter an integer between 1 and 8" errorTitle="Invalid Number" error="Integer please! 1-8" sqref="C12">
      <formula1>1</formula1>
      <formula2>10</formula2>
    </dataValidation>
    <dataValidation type="decimal" allowBlank="1" showInputMessage="1" showErrorMessage="1" prompt="Vin between 6V and 30V" errorTitle="Supply Voltage Range" error="Outside of input voltage range" sqref="C11">
      <formula1>6</formula1>
      <formula2>30</formula2>
    </dataValidation>
    <dataValidation type="decimal" operator="greaterThanOrEqual" allowBlank="1" showInputMessage="1" showErrorMessage="1" prompt="Rsense  &gt;=0.09R" errorTitle="Resistor Value too low!" error="R sense minimum = 0.09" sqref="C15">
      <formula1>0.09</formula1>
    </dataValidation>
    <dataValidation type="decimal" allowBlank="1" showInputMessage="1" showErrorMessage="1" prompt="10uH&lt;L&lt;1000uH" errorTitle="Inductor Value" error="Inductor size outside of expected range" sqref="C16">
      <formula1>10</formula1>
      <formula2>1000</formula2>
    </dataValidation>
    <dataValidation errorStyle="warning" type="decimal" allowBlank="1" showInputMessage="1" showErrorMessage="1" errorTitle="LED Voltage" error="Voltage outside normal range" sqref="C13">
      <formula1>0</formula1>
      <formula2>5</formula2>
    </dataValidation>
    <dataValidation type="decimal" allowBlank="1" showInputMessage="1" showErrorMessage="1" errorTitle="Diode Voltage" error="Voltage outside expected range" sqref="C14">
      <formula1>0</formula1>
      <formula2>1.5</formula2>
    </dataValidation>
    <dataValidation type="decimal" allowBlank="1" showInputMessage="1" showErrorMessage="1" prompt="0.01 to 2.0 Ω" errorTitle="Coil Resistance" error="Value outside expected range" sqref="C17">
      <formula1>0</formula1>
      <formula2>3</formula2>
    </dataValidation>
    <dataValidation type="decimal" allowBlank="1" showInputMessage="1" showErrorMessage="1" errorTitle="L&gt;H delay" error="Value outside expected range" sqref="C22">
      <formula1>50</formula1>
      <formula2>500</formula2>
    </dataValidation>
    <dataValidation type="decimal" allowBlank="1" showInputMessage="1" showErrorMessage="1" errorTitle="H&gt;L Delay" error="Value outside expected range" sqref="C23">
      <formula1>50</formula1>
      <formula2>500</formula2>
    </dataValidation>
    <dataValidation type="decimal" allowBlank="1" showInputMessage="1" showErrorMessage="1" errorTitle="Switch resistance" error="Value outside expected range" sqref="C26">
      <formula1>0.25</formula1>
      <formula2>2</formula2>
    </dataValidation>
    <dataValidation errorStyle="warning" allowBlank="1" showInputMessage="1" showErrorMessage="1" error="Freq &gt; 600kHz" sqref="G14"/>
  </dataValidations>
  <printOptions/>
  <pageMargins left="0.2" right="0.2" top="0.27" bottom="0.25" header="0.17" footer="0.17"/>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D53"/>
  <sheetViews>
    <sheetView showGridLines="0" zoomScale="75" zoomScaleNormal="75" workbookViewId="0" topLeftCell="A1">
      <selection activeCell="D35" sqref="D35"/>
    </sheetView>
  </sheetViews>
  <sheetFormatPr defaultColWidth="9.140625" defaultRowHeight="12.75"/>
  <cols>
    <col min="1" max="1" width="30.8515625" style="21" customWidth="1"/>
    <col min="2" max="2" width="15.28125" style="0" customWidth="1"/>
    <col min="3" max="3" width="86.8515625" style="21" customWidth="1"/>
    <col min="4" max="4" width="56.28125" style="0" customWidth="1"/>
  </cols>
  <sheetData>
    <row r="1" spans="1:3" ht="20.25">
      <c r="A1" s="103" t="s">
        <v>139</v>
      </c>
      <c r="C1" s="22"/>
    </row>
    <row r="2" spans="1:3" s="100" customFormat="1" ht="9.75" customHeight="1">
      <c r="A2" s="99"/>
      <c r="C2" s="101"/>
    </row>
    <row r="3" spans="1:4" s="100" customFormat="1" ht="42.75" customHeight="1">
      <c r="A3" s="143" t="s">
        <v>118</v>
      </c>
      <c r="B3" s="143"/>
      <c r="C3" s="143"/>
      <c r="D3" s="102"/>
    </row>
    <row r="4" spans="1:4" s="100" customFormat="1" ht="27" customHeight="1">
      <c r="A4" s="143" t="s">
        <v>140</v>
      </c>
      <c r="B4" s="143"/>
      <c r="C4" s="143"/>
      <c r="D4" s="102"/>
    </row>
    <row r="5" spans="1:4" s="100" customFormat="1" ht="7.5" customHeight="1">
      <c r="A5" s="104"/>
      <c r="B5" s="104"/>
      <c r="C5" s="104"/>
      <c r="D5" s="102"/>
    </row>
    <row r="6" spans="1:4" ht="21.75" customHeight="1">
      <c r="A6" s="106" t="s">
        <v>72</v>
      </c>
      <c r="B6" s="107"/>
      <c r="C6" s="108"/>
      <c r="D6" s="23"/>
    </row>
    <row r="7" spans="1:3" ht="12.75">
      <c r="A7" s="109" t="s">
        <v>72</v>
      </c>
      <c r="B7" s="110" t="s">
        <v>45</v>
      </c>
      <c r="C7" s="111" t="s">
        <v>44</v>
      </c>
    </row>
    <row r="8" spans="1:3" ht="12.75">
      <c r="A8" s="112" t="s">
        <v>73</v>
      </c>
      <c r="B8" s="113" t="s">
        <v>119</v>
      </c>
      <c r="C8" s="114" t="s">
        <v>120</v>
      </c>
    </row>
    <row r="9" spans="1:3" ht="24">
      <c r="A9" s="112" t="s">
        <v>8</v>
      </c>
      <c r="B9" s="113" t="s">
        <v>46</v>
      </c>
      <c r="C9" s="114" t="s">
        <v>91</v>
      </c>
    </row>
    <row r="10" spans="1:3" ht="24">
      <c r="A10" s="112" t="s">
        <v>74</v>
      </c>
      <c r="B10" s="113" t="s">
        <v>47</v>
      </c>
      <c r="C10" s="114" t="s">
        <v>92</v>
      </c>
    </row>
    <row r="11" spans="1:3" ht="24">
      <c r="A11" s="112" t="s">
        <v>2</v>
      </c>
      <c r="B11" s="113" t="s">
        <v>50</v>
      </c>
      <c r="C11" s="114" t="s">
        <v>51</v>
      </c>
    </row>
    <row r="12" spans="1:3" ht="36">
      <c r="A12" s="112" t="s">
        <v>64</v>
      </c>
      <c r="B12" s="113" t="s">
        <v>48</v>
      </c>
      <c r="C12" s="114" t="s">
        <v>121</v>
      </c>
    </row>
    <row r="13" spans="1:3" ht="24">
      <c r="A13" s="112" t="s">
        <v>75</v>
      </c>
      <c r="B13" s="113" t="s">
        <v>122</v>
      </c>
      <c r="C13" s="114" t="s">
        <v>123</v>
      </c>
    </row>
    <row r="14" spans="1:3" ht="24">
      <c r="A14" s="112" t="s">
        <v>76</v>
      </c>
      <c r="B14" s="113" t="s">
        <v>132</v>
      </c>
      <c r="C14" s="114" t="s">
        <v>93</v>
      </c>
    </row>
    <row r="15" spans="1:3" ht="18.75" customHeight="1">
      <c r="A15" s="115"/>
      <c r="B15" s="116"/>
      <c r="C15" s="115"/>
    </row>
    <row r="16" spans="1:3" ht="12.75">
      <c r="A16" s="111" t="s">
        <v>90</v>
      </c>
      <c r="B16" s="110" t="s">
        <v>45</v>
      </c>
      <c r="C16" s="111" t="s">
        <v>44</v>
      </c>
    </row>
    <row r="17" spans="1:3" s="105" customFormat="1" ht="12.75">
      <c r="A17" s="112" t="s">
        <v>27</v>
      </c>
      <c r="B17" s="113" t="s">
        <v>49</v>
      </c>
      <c r="C17" s="114" t="s">
        <v>94</v>
      </c>
    </row>
    <row r="18" spans="1:3" s="105" customFormat="1" ht="36">
      <c r="A18" s="112" t="s">
        <v>28</v>
      </c>
      <c r="B18" s="113" t="s">
        <v>124</v>
      </c>
      <c r="C18" s="114" t="s">
        <v>96</v>
      </c>
    </row>
    <row r="19" spans="1:3" s="105" customFormat="1" ht="36">
      <c r="A19" s="112" t="s">
        <v>30</v>
      </c>
      <c r="B19" s="113" t="s">
        <v>125</v>
      </c>
      <c r="C19" s="114" t="s">
        <v>95</v>
      </c>
    </row>
    <row r="20" spans="1:3" s="105" customFormat="1" ht="24">
      <c r="A20" s="112" t="s">
        <v>77</v>
      </c>
      <c r="B20" s="113" t="s">
        <v>52</v>
      </c>
      <c r="C20" s="114" t="s">
        <v>97</v>
      </c>
    </row>
    <row r="21" spans="1:3" s="105" customFormat="1" ht="24">
      <c r="A21" s="112" t="s">
        <v>78</v>
      </c>
      <c r="B21" s="113" t="s">
        <v>53</v>
      </c>
      <c r="C21" s="114" t="s">
        <v>55</v>
      </c>
    </row>
    <row r="22" spans="1:3" s="105" customFormat="1" ht="24">
      <c r="A22" s="112" t="s">
        <v>79</v>
      </c>
      <c r="B22" s="113" t="s">
        <v>133</v>
      </c>
      <c r="C22" s="114" t="s">
        <v>134</v>
      </c>
    </row>
    <row r="23" spans="1:3" s="105" customFormat="1" ht="48">
      <c r="A23" s="112" t="s">
        <v>80</v>
      </c>
      <c r="B23" s="113" t="s">
        <v>126</v>
      </c>
      <c r="C23" s="114" t="s">
        <v>68</v>
      </c>
    </row>
    <row r="24" spans="1:3" s="105" customFormat="1" ht="48">
      <c r="A24" s="112" t="s">
        <v>43</v>
      </c>
      <c r="B24" s="113">
        <v>1.25</v>
      </c>
      <c r="C24" s="114" t="s">
        <v>127</v>
      </c>
    </row>
    <row r="25" spans="1:3" ht="12.75">
      <c r="A25" s="115"/>
      <c r="B25" s="117"/>
      <c r="C25" s="115"/>
    </row>
    <row r="26" spans="1:3" ht="20.25">
      <c r="A26" s="106" t="s">
        <v>98</v>
      </c>
      <c r="B26" s="117"/>
      <c r="C26" s="115"/>
    </row>
    <row r="27" spans="1:3" ht="12.75">
      <c r="A27" s="119" t="s">
        <v>20</v>
      </c>
      <c r="B27" s="109" t="s">
        <v>45</v>
      </c>
      <c r="C27" s="111" t="s">
        <v>44</v>
      </c>
    </row>
    <row r="28" spans="1:3" ht="12.75">
      <c r="A28" s="112" t="s">
        <v>9</v>
      </c>
      <c r="B28" s="113" t="s">
        <v>56</v>
      </c>
      <c r="C28" s="114" t="s">
        <v>100</v>
      </c>
    </row>
    <row r="29" spans="1:3" ht="12.75">
      <c r="A29" s="112" t="s">
        <v>10</v>
      </c>
      <c r="B29" s="113" t="s">
        <v>56</v>
      </c>
      <c r="C29" s="114" t="s">
        <v>101</v>
      </c>
    </row>
    <row r="30" spans="1:3" ht="12.75">
      <c r="A30" s="112" t="s">
        <v>81</v>
      </c>
      <c r="B30" s="113" t="s">
        <v>57</v>
      </c>
      <c r="C30" s="114" t="s">
        <v>102</v>
      </c>
    </row>
    <row r="31" spans="1:3" ht="12.75">
      <c r="A31" s="112" t="s">
        <v>82</v>
      </c>
      <c r="B31" s="113" t="s">
        <v>58</v>
      </c>
      <c r="C31" s="114" t="s">
        <v>103</v>
      </c>
    </row>
    <row r="32" spans="1:3" s="90" customFormat="1" ht="12.75">
      <c r="A32" s="122"/>
      <c r="B32" s="123"/>
      <c r="C32" s="124"/>
    </row>
    <row r="33" spans="1:3" ht="12.75">
      <c r="A33" s="120" t="s">
        <v>21</v>
      </c>
      <c r="B33" s="109" t="s">
        <v>45</v>
      </c>
      <c r="C33" s="111" t="s">
        <v>44</v>
      </c>
    </row>
    <row r="34" spans="1:3" ht="12.75">
      <c r="A34" s="112" t="s">
        <v>61</v>
      </c>
      <c r="B34" s="113" t="s">
        <v>136</v>
      </c>
      <c r="C34" s="114" t="s">
        <v>104</v>
      </c>
    </row>
    <row r="35" spans="1:3" ht="12.75">
      <c r="A35" s="112" t="s">
        <v>54</v>
      </c>
      <c r="B35" s="118" t="s">
        <v>59</v>
      </c>
      <c r="C35" s="114" t="s">
        <v>105</v>
      </c>
    </row>
    <row r="36" spans="1:3" ht="24">
      <c r="A36" s="112" t="s">
        <v>84</v>
      </c>
      <c r="B36" s="118" t="s">
        <v>60</v>
      </c>
      <c r="C36" s="114" t="s">
        <v>106</v>
      </c>
    </row>
    <row r="37" spans="1:3" ht="24">
      <c r="A37" s="112" t="s">
        <v>62</v>
      </c>
      <c r="B37" s="113" t="s">
        <v>137</v>
      </c>
      <c r="C37" s="114" t="s">
        <v>107</v>
      </c>
    </row>
    <row r="38" spans="1:3" s="90" customFormat="1" ht="12.75">
      <c r="A38" s="122"/>
      <c r="B38" s="123"/>
      <c r="C38" s="124"/>
    </row>
    <row r="39" spans="1:3" ht="12.75">
      <c r="A39" s="120" t="s">
        <v>22</v>
      </c>
      <c r="B39" s="109" t="s">
        <v>45</v>
      </c>
      <c r="C39" s="111" t="s">
        <v>44</v>
      </c>
    </row>
    <row r="40" spans="1:3" ht="12.75">
      <c r="A40" s="112" t="s">
        <v>85</v>
      </c>
      <c r="B40" s="113" t="s">
        <v>128</v>
      </c>
      <c r="C40" s="114" t="s">
        <v>108</v>
      </c>
    </row>
    <row r="41" spans="1:3" ht="12.75">
      <c r="A41" s="112" t="s">
        <v>86</v>
      </c>
      <c r="B41" s="113" t="s">
        <v>129</v>
      </c>
      <c r="C41" s="114" t="s">
        <v>109</v>
      </c>
    </row>
    <row r="42" spans="1:3" ht="24">
      <c r="A42" s="112" t="s">
        <v>12</v>
      </c>
      <c r="B42" s="113"/>
      <c r="C42" s="114" t="s">
        <v>99</v>
      </c>
    </row>
    <row r="43" spans="1:3" ht="24">
      <c r="A43" s="112" t="s">
        <v>14</v>
      </c>
      <c r="B43" s="113"/>
      <c r="C43" s="114" t="s">
        <v>110</v>
      </c>
    </row>
    <row r="44" spans="1:3" ht="24">
      <c r="A44" s="112" t="s">
        <v>15</v>
      </c>
      <c r="B44" s="113" t="s">
        <v>130</v>
      </c>
      <c r="C44" s="114" t="s">
        <v>111</v>
      </c>
    </row>
    <row r="45" spans="1:3" ht="24">
      <c r="A45" s="112" t="s">
        <v>16</v>
      </c>
      <c r="B45" s="113"/>
      <c r="C45" s="114" t="s">
        <v>112</v>
      </c>
    </row>
    <row r="46" spans="1:3" ht="12.75">
      <c r="A46" s="112" t="s">
        <v>17</v>
      </c>
      <c r="B46" s="113"/>
      <c r="C46" s="114" t="s">
        <v>113</v>
      </c>
    </row>
    <row r="47" spans="1:3" ht="20.25" customHeight="1">
      <c r="A47" s="112" t="s">
        <v>19</v>
      </c>
      <c r="B47" s="113"/>
      <c r="C47" s="114" t="s">
        <v>114</v>
      </c>
    </row>
    <row r="48" spans="1:3" ht="12.75">
      <c r="A48" s="112" t="s">
        <v>87</v>
      </c>
      <c r="B48" s="113" t="s">
        <v>63</v>
      </c>
      <c r="C48" s="114" t="s">
        <v>115</v>
      </c>
    </row>
    <row r="49" spans="1:3" ht="12.75">
      <c r="A49" s="112" t="s">
        <v>88</v>
      </c>
      <c r="B49" s="113"/>
      <c r="C49" s="114" t="s">
        <v>116</v>
      </c>
    </row>
    <row r="50" spans="1:3" s="90" customFormat="1" ht="12.75">
      <c r="A50" s="122"/>
      <c r="B50" s="123"/>
      <c r="C50" s="124"/>
    </row>
    <row r="51" spans="1:3" ht="12.75">
      <c r="A51" s="120" t="s">
        <v>69</v>
      </c>
      <c r="B51" s="109" t="s">
        <v>45</v>
      </c>
      <c r="C51" s="111" t="s">
        <v>44</v>
      </c>
    </row>
    <row r="52" spans="1:3" ht="48">
      <c r="A52" s="112" t="s">
        <v>65</v>
      </c>
      <c r="B52" s="118"/>
      <c r="C52" s="121" t="s">
        <v>66</v>
      </c>
    </row>
    <row r="53" spans="1:3" ht="24">
      <c r="A53" s="112" t="s">
        <v>89</v>
      </c>
      <c r="B53" s="118"/>
      <c r="C53" s="121" t="s">
        <v>67</v>
      </c>
    </row>
  </sheetData>
  <sheetProtection password="81DF"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3"/>
  <dimension ref="A1:R67"/>
  <sheetViews>
    <sheetView zoomScale="75" zoomScaleNormal="75" workbookViewId="0" topLeftCell="A1">
      <selection activeCell="U29" sqref="U29"/>
    </sheetView>
  </sheetViews>
  <sheetFormatPr defaultColWidth="9.140625" defaultRowHeight="12.75"/>
  <cols>
    <col min="1" max="1" width="9.28125" style="0" bestFit="1" customWidth="1"/>
    <col min="3" max="6" width="9.28125" style="0" bestFit="1" customWidth="1"/>
    <col min="7" max="7" width="12.7109375" style="0" bestFit="1" customWidth="1"/>
    <col min="8" max="11" width="9.28125" style="0" bestFit="1" customWidth="1"/>
    <col min="13" max="17" width="9.28125" style="0" bestFit="1" customWidth="1"/>
  </cols>
  <sheetData>
    <row r="1" spans="1:18" ht="12.75">
      <c r="A1" s="135">
        <f>IF('Sheet 1'!P10&gt;0,1000000*'Sheet 1'!G35,'Sheet 1'!Q2)</f>
        <v>6.034719399472164</v>
      </c>
      <c r="B1" s="136"/>
      <c r="C1" s="135"/>
      <c r="D1" s="135"/>
      <c r="E1" s="135"/>
      <c r="F1" s="135"/>
      <c r="G1" s="137" t="s">
        <v>33</v>
      </c>
      <c r="H1" s="135"/>
      <c r="I1" s="135"/>
      <c r="J1" s="135"/>
      <c r="K1" s="135"/>
      <c r="L1" s="136"/>
      <c r="M1" s="135"/>
      <c r="N1" s="135"/>
      <c r="O1" s="135"/>
      <c r="P1" s="135"/>
      <c r="Q1" s="137" t="s">
        <v>31</v>
      </c>
      <c r="R1" s="136"/>
    </row>
    <row r="2" spans="1:18" ht="12.75">
      <c r="A2" s="135">
        <f>IF('Sheet 1'!P10&gt;0,1000000*'Sheet 1'!G36,'Sheet 1'!Q3)</f>
        <v>0.6536621365777933</v>
      </c>
      <c r="B2" s="136"/>
      <c r="C2" s="135"/>
      <c r="D2" s="135"/>
      <c r="E2" s="135"/>
      <c r="F2" s="135"/>
      <c r="G2" s="135"/>
      <c r="H2" s="135"/>
      <c r="I2" s="135"/>
      <c r="J2" s="135"/>
      <c r="K2" s="135"/>
      <c r="L2" s="136"/>
      <c r="M2" s="135">
        <f>Calculator!C11</f>
        <v>24</v>
      </c>
      <c r="N2" s="135">
        <f>M2-N4-(M21*(M6+M8+1)/1000)</f>
        <v>1.804</v>
      </c>
      <c r="O2" s="135">
        <f>IF(M2-N4&gt;0,(M2-N4)/N5,0)</f>
        <v>4.310344827586207</v>
      </c>
      <c r="P2" s="135">
        <f>(Calculator!C28/1.25)*0.115/M6</f>
        <v>1.15</v>
      </c>
      <c r="Q2" s="137" t="s">
        <v>32</v>
      </c>
      <c r="R2" s="136"/>
    </row>
    <row r="3" spans="1:18" ht="12.75">
      <c r="A3" s="135">
        <f>IF('Sheet 1'!P10&gt;0,'Sheet 1'!G37,'Sheet 1'!Q4)</f>
        <v>0.9022690118596561</v>
      </c>
      <c r="B3" s="136"/>
      <c r="C3" s="135">
        <f>EXP(-'Sheet 1'!N5*(G3+G10)/'Sheet 1'!M7)-EXP(-'Sheet 1'!N5*G3/'Sheet 1'!M7)</f>
        <v>-0.09901651235557085</v>
      </c>
      <c r="D3" s="135">
        <f>C3/G10</f>
        <v>-0.016407807190543355</v>
      </c>
      <c r="E3" s="135">
        <f>1+('Sheet 1'!M7/'Sheet 1'!N5)*D3</f>
        <v>0.22204362458630644</v>
      </c>
      <c r="F3" s="135"/>
      <c r="G3" s="135">
        <f>IF('Sheet 1'!P10&gt;0,('Sheet 1'!M7/'Sheet 1'!N5)*LN('Sheet 1'!O2/('Sheet 1'!O2-('Sheet 1'!G42/1000))),0)</f>
        <v>8.919523674590149</v>
      </c>
      <c r="H3" s="135">
        <f>IF('Sheet 1'!P10&gt;0,'Sheet 1'!O2*1000*(1-EXP(-'Sheet 1'!N5*G3/'Sheet 1'!M7)),'Sheet 1'!O2)</f>
        <v>739.1613600753797</v>
      </c>
      <c r="I3" s="135">
        <f>IF('Sheet 1'!P10&gt;0,1000*'Sheet 1'!O2*E3,'Sheet 1'!O2)</f>
        <v>957.0845887340796</v>
      </c>
      <c r="J3" s="135"/>
      <c r="K3" s="135"/>
      <c r="L3" s="136"/>
      <c r="M3" s="135">
        <f>Calculator!C12</f>
        <v>6</v>
      </c>
      <c r="N3" s="135">
        <f>N4+M5+(M21*(M6+M8)/1000)</f>
        <v>21.556</v>
      </c>
      <c r="O3" s="135">
        <f>(1000*O2-M19)/(1000*O2-M18)</f>
        <v>1.0949263502454991</v>
      </c>
      <c r="P3" s="135">
        <f>(Calculator!C28/1.25)*0.085/M6</f>
        <v>0.85</v>
      </c>
      <c r="Q3" s="137">
        <v>0</v>
      </c>
      <c r="R3" s="136"/>
    </row>
    <row r="4" spans="1:18" ht="12.75">
      <c r="A4" s="138">
        <f>IF('Sheet 1'!P10&gt;0,'Sheet 1'!G38/1000000,'Sheet 1'!Q3)</f>
        <v>149.51300170453234</v>
      </c>
      <c r="B4" s="136"/>
      <c r="C4" s="135"/>
      <c r="D4" s="135"/>
      <c r="E4" s="135"/>
      <c r="F4" s="135"/>
      <c r="G4" s="135" t="s">
        <v>6</v>
      </c>
      <c r="H4" s="135" t="s">
        <v>7</v>
      </c>
      <c r="I4" s="135" t="s">
        <v>5</v>
      </c>
      <c r="J4" s="135" t="s">
        <v>25</v>
      </c>
      <c r="K4" s="135" t="s">
        <v>26</v>
      </c>
      <c r="L4" s="136"/>
      <c r="M4" s="135">
        <f>Calculator!C13</f>
        <v>3.5</v>
      </c>
      <c r="N4" s="135">
        <f>M3*M4</f>
        <v>21</v>
      </c>
      <c r="O4" s="135">
        <f>0.000001*(M7/N5)*LN(O3)+'Sheet 1'!I38+(0.000001*N10)</f>
        <v>6.034719399472164E-06</v>
      </c>
      <c r="P4" s="135"/>
      <c r="Q4" s="137">
        <v>1</v>
      </c>
      <c r="R4" s="136"/>
    </row>
    <row r="5" spans="1:18" ht="12.75">
      <c r="A5" s="135">
        <f>IF('Sheet 1'!P10&gt;0,'Sheet 1'!G41,'Sheet 1'!O2)</f>
        <v>1165.9566719528407</v>
      </c>
      <c r="B5" s="136"/>
      <c r="C5" s="135" t="s">
        <v>42</v>
      </c>
      <c r="D5" s="135"/>
      <c r="E5" s="135"/>
      <c r="F5" s="135"/>
      <c r="G5" s="135">
        <v>0</v>
      </c>
      <c r="H5" s="135">
        <f>'Sheet 1'!G42</f>
        <v>739.16136007538</v>
      </c>
      <c r="I5" s="135">
        <f>F7</f>
        <v>956.6288052530675</v>
      </c>
      <c r="J5" s="135">
        <f>'Sheet 1'!$A$6</f>
        <v>739.16136007538</v>
      </c>
      <c r="K5" s="135">
        <f>'Sheet 1'!$A$5</f>
        <v>1165.9566719528407</v>
      </c>
      <c r="L5" s="136"/>
      <c r="M5" s="135">
        <f>Calculator!C14</f>
        <v>0.36</v>
      </c>
      <c r="N5" s="135">
        <f>M6+M8+Calculator!C26</f>
        <v>0.696</v>
      </c>
      <c r="O5" s="135">
        <f>M18/M19</f>
        <v>1.3529411764705883</v>
      </c>
      <c r="P5" s="135">
        <f>LN(O5)</f>
        <v>0.3022808718729337</v>
      </c>
      <c r="Q5" s="135"/>
      <c r="R5" s="136"/>
    </row>
    <row r="6" spans="1:18" ht="12.75">
      <c r="A6" s="135">
        <f>IF('Sheet 1'!P10&gt;0,'Sheet 1'!G42,'Sheet 1'!O2)</f>
        <v>739.16136007538</v>
      </c>
      <c r="B6" s="136"/>
      <c r="C6" s="135"/>
      <c r="D6" s="135"/>
      <c r="E6" s="135"/>
      <c r="F6" s="135"/>
      <c r="G6" s="135">
        <f>G10/5</f>
        <v>1.2069438798944327</v>
      </c>
      <c r="H6" s="135">
        <f>IF('Sheet 1'!P10&gt;0,'Sheet 1'!O2*1000*(1-EXP(-'Sheet 1'!N5*(G3+G6)/'Sheet 1'!M7)),'Sheet 1'!G42)</f>
        <v>828.9204960812468</v>
      </c>
      <c r="I6" s="135">
        <f>I7</f>
        <v>956.6288052530675</v>
      </c>
      <c r="J6" s="135">
        <f>'Sheet 1'!$A$6</f>
        <v>739.16136007538</v>
      </c>
      <c r="K6" s="135">
        <f>'Sheet 1'!$A$5</f>
        <v>1165.9566719528407</v>
      </c>
      <c r="L6" s="136"/>
      <c r="M6" s="135">
        <f>Calculator!C15</f>
        <v>0.1</v>
      </c>
      <c r="N6" s="135"/>
      <c r="O6" s="135">
        <f>M6+M8</f>
        <v>0.196</v>
      </c>
      <c r="P6" s="135"/>
      <c r="Q6" s="135"/>
      <c r="R6" s="136"/>
    </row>
    <row r="7" spans="1:18" ht="12.75">
      <c r="A7" s="135">
        <f>A5-A6</f>
        <v>426.7953118774607</v>
      </c>
      <c r="B7" s="136"/>
      <c r="C7" s="135">
        <f>'Sheet 1'!G41/1000+'Sheet 1'!P13</f>
        <v>110.14554850868753</v>
      </c>
      <c r="D7" s="135">
        <f>'Sheet 1'!M7*(1-EXP(-'Sheet 1'!P8*'Sheet 1'!A2/'Sheet 1'!M7))/'Sheet 1'!A2</f>
        <v>0.19562002091781414</v>
      </c>
      <c r="E7" s="135">
        <f>IF('Sheet 1'!P10&gt;0,1000*(-'Sheet 1'!N4-'Sheet 1'!M5+(D7*C7))/'Sheet 1'!P8,'Sheet 1'!O2)</f>
        <v>952.4209350692095</v>
      </c>
      <c r="F7" s="135">
        <f>'Sheet 1'!A3*I3+(1-'Sheet 1'!A3)*E7</f>
        <v>956.6288052530675</v>
      </c>
      <c r="G7" s="135">
        <f>2*G10/5</f>
        <v>2.4138877597888655</v>
      </c>
      <c r="H7" s="135">
        <f>IF('Sheet 1'!P10&gt;0,'Sheet 1'!O2*1000*(1-EXP(-'Sheet 1'!N5*(G3+G7)/'Sheet 1'!M7)),'Sheet 1'!G42)</f>
        <v>916.423600558682</v>
      </c>
      <c r="I7" s="135">
        <f>I5</f>
        <v>956.6288052530675</v>
      </c>
      <c r="J7" s="135">
        <f>'Sheet 1'!$A$6</f>
        <v>739.16136007538</v>
      </c>
      <c r="K7" s="135">
        <f>'Sheet 1'!$A$5</f>
        <v>1165.9566719528407</v>
      </c>
      <c r="L7" s="136"/>
      <c r="M7" s="135">
        <f>Calculator!C16</f>
        <v>33</v>
      </c>
      <c r="N7" s="135"/>
      <c r="O7" s="135">
        <f>0.000001*(M7/O6)*LN(('Sheet 1'!G41/1000+P13)/(N19+P13))+(0.000001*N11)</f>
        <v>6.536621365777932E-07</v>
      </c>
      <c r="P7" s="135">
        <f>O2*P6-P2</f>
        <v>-1.15</v>
      </c>
      <c r="Q7" s="135"/>
      <c r="R7" s="136"/>
    </row>
    <row r="8" spans="1:18" ht="12.75">
      <c r="A8" s="135">
        <f>IF('Sheet 1'!P10&gt;0,'Sheet 1'!F7,'Sheet 1'!O2)</f>
        <v>956.6288052530675</v>
      </c>
      <c r="B8" s="136"/>
      <c r="C8" s="135"/>
      <c r="D8" s="135"/>
      <c r="E8" s="135"/>
      <c r="F8" s="135"/>
      <c r="G8" s="135">
        <f>3*G10/5</f>
        <v>3.6208316396832982</v>
      </c>
      <c r="H8" s="135">
        <f>IF('Sheet 1'!P10&gt;0,'Sheet 1'!O2*1000*(1-EXP(-'Sheet 1'!N5*(G3+G8)/'Sheet 1'!M7)),'Sheet 1'!G42)</f>
        <v>1001.7273772426339</v>
      </c>
      <c r="I8" s="135">
        <f>I5</f>
        <v>956.6288052530675</v>
      </c>
      <c r="J8" s="135">
        <f>'Sheet 1'!$A$6</f>
        <v>739.16136007538</v>
      </c>
      <c r="K8" s="135">
        <f>'Sheet 1'!$A$5</f>
        <v>1165.9566719528407</v>
      </c>
      <c r="L8" s="136"/>
      <c r="M8" s="135">
        <f>Calculator!C17</f>
        <v>0.096</v>
      </c>
      <c r="N8" s="135"/>
      <c r="O8" s="135"/>
      <c r="P8" s="135">
        <f>M6+M8</f>
        <v>0.196</v>
      </c>
      <c r="Q8" s="135"/>
      <c r="R8" s="136"/>
    </row>
    <row r="9" spans="1:18" ht="12.75">
      <c r="A9" s="135"/>
      <c r="B9" s="136"/>
      <c r="C9" s="135"/>
      <c r="D9" s="135"/>
      <c r="E9" s="135"/>
      <c r="F9" s="135"/>
      <c r="G9" s="135">
        <f>4*G10/5</f>
        <v>4.827775519577731</v>
      </c>
      <c r="H9" s="135">
        <f>IF('Sheet 1'!P10&gt;0,'Sheet 1'!O2*1000*(1-EXP(-'Sheet 1'!N5*(G3+G9)/'Sheet 1'!M7)),'Sheet 1'!G42)</f>
        <v>1084.8871046603274</v>
      </c>
      <c r="I9" s="135">
        <f>I5</f>
        <v>956.6288052530675</v>
      </c>
      <c r="J9" s="135">
        <f>'Sheet 1'!$A$6</f>
        <v>739.16136007538</v>
      </c>
      <c r="K9" s="135">
        <f>'Sheet 1'!$A$5</f>
        <v>1165.9566719528407</v>
      </c>
      <c r="L9" s="136"/>
      <c r="M9" s="135">
        <f>Calculator!C21</f>
        <v>25</v>
      </c>
      <c r="N9" s="135"/>
      <c r="O9" s="135"/>
      <c r="P9" s="135"/>
      <c r="Q9" s="135"/>
      <c r="R9" s="136"/>
    </row>
    <row r="10" spans="1:18" ht="12.75">
      <c r="A10" s="135">
        <f>A8*'Sheet 1'!N4/1000</f>
        <v>20.089204910314415</v>
      </c>
      <c r="B10" s="136"/>
      <c r="C10" s="135"/>
      <c r="D10" s="135"/>
      <c r="E10" s="135"/>
      <c r="F10" s="135"/>
      <c r="G10" s="135">
        <f>IF('Sheet 1'!P10&gt;0,'Sheet 1'!A1,1)</f>
        <v>6.034719399472164</v>
      </c>
      <c r="H10" s="135">
        <f>IF('Sheet 1'!P10&gt;0,'Sheet 1'!G41,'Sheet 1'!G42)</f>
        <v>1165.9566719528407</v>
      </c>
      <c r="I10" s="135">
        <f>I5</f>
        <v>956.6288052530675</v>
      </c>
      <c r="J10" s="135">
        <f>'Sheet 1'!$A$6</f>
        <v>739.16136007538</v>
      </c>
      <c r="K10" s="135">
        <f>'Sheet 1'!$A$5</f>
        <v>1165.9566719528407</v>
      </c>
      <c r="L10" s="136"/>
      <c r="M10" s="135">
        <f>Calculator!C22</f>
        <v>240</v>
      </c>
      <c r="N10" s="135">
        <f>M10/1000</f>
        <v>0.24</v>
      </c>
      <c r="O10" s="135"/>
      <c r="P10" s="135">
        <f>O2-P2</f>
        <v>3.1603448275862074</v>
      </c>
      <c r="Q10" s="135"/>
      <c r="R10" s="136"/>
    </row>
    <row r="11" spans="1:18" ht="12.75">
      <c r="A11" s="135">
        <f>A3*A8*A8*Calculator!C26/1000</f>
        <v>412.85063221686994</v>
      </c>
      <c r="B11" s="136"/>
      <c r="C11" s="135"/>
      <c r="D11" s="135"/>
      <c r="E11" s="135"/>
      <c r="F11" s="135"/>
      <c r="G11" s="135">
        <f>G10+(G15-G10)/5</f>
        <v>6.165451826787723</v>
      </c>
      <c r="H11" s="135">
        <f>IF('Sheet 1'!P10&gt;0,-'Sheet 1'!P13*1000*(1-EXP(-'Sheet 1'!P8*(G11-G10)/'Sheet 1'!M7))+'Sheet 1'!G41*EXP(-'Sheet 1'!P8*(G11-G10)/'Sheet 1'!M7),'Sheet 1'!G42)</f>
        <v>1080.4650004013354</v>
      </c>
      <c r="I11" s="135">
        <f>I5</f>
        <v>956.6288052530675</v>
      </c>
      <c r="J11" s="135">
        <f>'Sheet 1'!$A$6</f>
        <v>739.16136007538</v>
      </c>
      <c r="K11" s="135">
        <f>'Sheet 1'!$A$5</f>
        <v>1165.9566719528407</v>
      </c>
      <c r="L11" s="136"/>
      <c r="M11" s="135">
        <f>Calculator!C23</f>
        <v>170</v>
      </c>
      <c r="N11" s="135">
        <f>M11/1000</f>
        <v>0.17</v>
      </c>
      <c r="O11" s="135"/>
      <c r="P11" s="135">
        <f>IF(OR(P10&lt;0,O2&lt;0),O2,P10)</f>
        <v>3.1603448275862074</v>
      </c>
      <c r="Q11" s="135"/>
      <c r="R11" s="136"/>
    </row>
    <row r="12" spans="1:18" ht="12.75">
      <c r="A12" s="135">
        <f>IF('Sheet 1'!P10&gt;0,'Sheet 1'!G49,0)</f>
        <v>27.411558306900467</v>
      </c>
      <c r="B12" s="136"/>
      <c r="C12" s="135"/>
      <c r="D12" s="135"/>
      <c r="E12" s="135" t="s">
        <v>135</v>
      </c>
      <c r="F12" s="135"/>
      <c r="G12" s="135">
        <f>G10+2*(G15-G10)/5</f>
        <v>6.296184254103281</v>
      </c>
      <c r="H12" s="135">
        <f>IF('Sheet 1'!P10&gt;0,-'Sheet 1'!P13*1000*(1-EXP(-'Sheet 1'!P8*(G12-G10)/'Sheet 1'!M7))+'Sheet 1'!G41*EXP(-'Sheet 1'!P8*(G12-G10)/'Sheet 1'!M7),'Sheet 1'!G42)</f>
        <v>995.0396849214533</v>
      </c>
      <c r="I12" s="135">
        <f>I5</f>
        <v>956.6288052530675</v>
      </c>
      <c r="J12" s="135">
        <f>'Sheet 1'!$A$6</f>
        <v>739.16136007538</v>
      </c>
      <c r="K12" s="135">
        <f>'Sheet 1'!$A$5</f>
        <v>1165.9566719528407</v>
      </c>
      <c r="L12" s="136"/>
      <c r="M12" s="135">
        <f>0.05+(M20*M7)/(N2*1000)</f>
        <v>5.537804878048781</v>
      </c>
      <c r="N12" s="135"/>
      <c r="O12" s="135"/>
      <c r="P12" s="135"/>
      <c r="Q12" s="135"/>
      <c r="R12" s="136"/>
    </row>
    <row r="13" spans="1:18" ht="12.75">
      <c r="A13" s="135"/>
      <c r="B13" s="136"/>
      <c r="C13" s="135"/>
      <c r="D13" s="135"/>
      <c r="E13" s="135"/>
      <c r="F13" s="135"/>
      <c r="G13" s="135">
        <f>G10+3*(G15-G10)/5</f>
        <v>6.42691668141884</v>
      </c>
      <c r="H13" s="135">
        <f>IF('Sheet 1'!P10&gt;0,-'Sheet 1'!P13*1000*(1-EXP(-'Sheet 1'!P8*(G13-G10)/'Sheet 1'!M7))+'Sheet 1'!G41*EXP(-'Sheet 1'!P8*(G13-G10)/'Sheet 1'!M7),'Sheet 1'!G42)</f>
        <v>909.6806740095808</v>
      </c>
      <c r="I13" s="135">
        <f>I5</f>
        <v>956.6288052530675</v>
      </c>
      <c r="J13" s="135">
        <f>'Sheet 1'!$A$6</f>
        <v>739.16136007538</v>
      </c>
      <c r="K13" s="135">
        <f>'Sheet 1'!$A$5</f>
        <v>1165.9566719528407</v>
      </c>
      <c r="L13" s="136"/>
      <c r="M13" s="135">
        <f>0.05+(M20*M7)/(N3*1000)</f>
        <v>0.5092688810539989</v>
      </c>
      <c r="N13" s="135"/>
      <c r="O13" s="135"/>
      <c r="P13" s="135">
        <f>(N4+M5)/P8</f>
        <v>108.97959183673468</v>
      </c>
      <c r="Q13" s="135"/>
      <c r="R13" s="136"/>
    </row>
    <row r="14" spans="1:18" ht="12.75">
      <c r="A14" s="135">
        <f>A8*A8*Calculator!C17/1000</f>
        <v>87.85331241983151</v>
      </c>
      <c r="B14" s="136"/>
      <c r="C14" s="135"/>
      <c r="D14" s="135"/>
      <c r="E14" s="135"/>
      <c r="F14" s="135"/>
      <c r="G14" s="135">
        <f>G10+4*(G15-G10)/5</f>
        <v>6.557649108734398</v>
      </c>
      <c r="H14" s="135">
        <f>IF('Sheet 1'!P10&gt;0,-'Sheet 1'!P13*1000*(1-EXP(-'Sheet 1'!P8*(G14-G10)/'Sheet 1'!M7))+'Sheet 1'!G41*EXP(-'Sheet 1'!P8*(G14-G10)/'Sheet 1'!M7),'Sheet 1'!G42)</f>
        <v>824.3879162021162</v>
      </c>
      <c r="I14" s="135">
        <f>I5</f>
        <v>956.6288052530675</v>
      </c>
      <c r="J14" s="135">
        <f>'Sheet 1'!$A$6</f>
        <v>739.16136007538</v>
      </c>
      <c r="K14" s="135">
        <f>'Sheet 1'!$A$5</f>
        <v>1165.9566719528407</v>
      </c>
      <c r="L14" s="136"/>
      <c r="M14" s="135">
        <f>M12/(M12+M13)</f>
        <v>0.9157825914910684</v>
      </c>
      <c r="N14" s="135"/>
      <c r="O14" s="135"/>
      <c r="P14" s="135"/>
      <c r="Q14" s="135"/>
      <c r="R14" s="136"/>
    </row>
    <row r="15" spans="1:18" ht="12.75">
      <c r="A15" s="136"/>
      <c r="B15" s="136"/>
      <c r="C15" s="135"/>
      <c r="D15" s="135"/>
      <c r="E15" s="135"/>
      <c r="F15" s="135"/>
      <c r="G15" s="135">
        <f>IF('Sheet 1'!P10&gt;0,'Sheet 1'!A1+'Sheet 1'!A2,2)</f>
        <v>6.688381536049957</v>
      </c>
      <c r="H15" s="135">
        <f>'Sheet 1'!G42</f>
        <v>739.16136007538</v>
      </c>
      <c r="I15" s="135">
        <f>I5</f>
        <v>956.6288052530675</v>
      </c>
      <c r="J15" s="135">
        <f>'Sheet 1'!$A$6</f>
        <v>739.16136007538</v>
      </c>
      <c r="K15" s="135">
        <f>'Sheet 1'!$A$5</f>
        <v>1165.9566719528407</v>
      </c>
      <c r="L15" s="136"/>
      <c r="M15" s="135">
        <f>1000/(M12+M13)</f>
        <v>165.36924136152302</v>
      </c>
      <c r="N15" s="135"/>
      <c r="O15" s="135"/>
      <c r="P15" s="135"/>
      <c r="Q15" s="135"/>
      <c r="R15" s="136"/>
    </row>
    <row r="16" spans="1:18" ht="12.75">
      <c r="A16" s="136"/>
      <c r="B16" s="136"/>
      <c r="C16" s="135"/>
      <c r="D16" s="135"/>
      <c r="E16" s="135"/>
      <c r="F16" s="135"/>
      <c r="G16" s="135">
        <f>G15+(G20-G15)/5</f>
        <v>7.89532541594439</v>
      </c>
      <c r="H16" s="135">
        <f>H6</f>
        <v>828.9204960812468</v>
      </c>
      <c r="I16" s="135">
        <f>I5</f>
        <v>956.6288052530675</v>
      </c>
      <c r="J16" s="135">
        <f>'Sheet 1'!$A$6</f>
        <v>739.16136007538</v>
      </c>
      <c r="K16" s="135">
        <f>'Sheet 1'!$A$5</f>
        <v>1165.9566719528407</v>
      </c>
      <c r="L16" s="136"/>
      <c r="M16" s="135"/>
      <c r="N16" s="135"/>
      <c r="O16" s="135"/>
      <c r="P16" s="135"/>
      <c r="Q16" s="135"/>
      <c r="R16" s="136"/>
    </row>
    <row r="17" spans="1:18" ht="12.75">
      <c r="A17" s="136"/>
      <c r="B17" s="136"/>
      <c r="C17" s="135"/>
      <c r="D17" s="135"/>
      <c r="E17" s="135"/>
      <c r="F17" s="135"/>
      <c r="G17" s="135">
        <f>G15+2*(G20-G15)/5</f>
        <v>9.102269295838823</v>
      </c>
      <c r="H17" s="135">
        <f>H7</f>
        <v>916.423600558682</v>
      </c>
      <c r="I17" s="135">
        <f>I5</f>
        <v>956.6288052530675</v>
      </c>
      <c r="J17" s="135">
        <f>'Sheet 1'!$A$6</f>
        <v>739.16136007538</v>
      </c>
      <c r="K17" s="135">
        <f>'Sheet 1'!$A$5</f>
        <v>1165.9566719528407</v>
      </c>
      <c r="L17" s="136"/>
      <c r="M17" s="135"/>
      <c r="N17" s="135"/>
      <c r="O17" s="135"/>
      <c r="P17" s="135"/>
      <c r="Q17" s="135"/>
      <c r="R17" s="136"/>
    </row>
    <row r="18" spans="1:18" ht="12.75">
      <c r="A18" s="136"/>
      <c r="B18" s="136"/>
      <c r="C18" s="135"/>
      <c r="D18" s="135"/>
      <c r="E18" s="135"/>
      <c r="F18" s="135"/>
      <c r="G18" s="135">
        <f>G15+3*(G20-G15)/5</f>
        <v>10.309213175733255</v>
      </c>
      <c r="H18" s="135">
        <f>H8</f>
        <v>1001.7273772426339</v>
      </c>
      <c r="I18" s="135">
        <f>I5</f>
        <v>956.6288052530675</v>
      </c>
      <c r="J18" s="135">
        <f>'Sheet 1'!$A$6</f>
        <v>739.16136007538</v>
      </c>
      <c r="K18" s="135">
        <f>'Sheet 1'!$A$5</f>
        <v>1165.9566719528407</v>
      </c>
      <c r="L18" s="136"/>
      <c r="M18" s="135">
        <f>(Calculator!C28/1.25)*115/M6</f>
        <v>1150</v>
      </c>
      <c r="N18" s="135">
        <f>M18/1000</f>
        <v>1.15</v>
      </c>
      <c r="O18" s="135"/>
      <c r="P18" s="135"/>
      <c r="Q18" s="135"/>
      <c r="R18" s="136"/>
    </row>
    <row r="19" spans="1:18" ht="12.75">
      <c r="A19" s="136"/>
      <c r="B19" s="136"/>
      <c r="C19" s="135"/>
      <c r="D19" s="135"/>
      <c r="E19" s="135"/>
      <c r="F19" s="135"/>
      <c r="G19" s="135">
        <f>G15+4*(G20-G15)/5</f>
        <v>11.516157055627687</v>
      </c>
      <c r="H19" s="135">
        <f>H9</f>
        <v>1084.8871046603274</v>
      </c>
      <c r="I19" s="135">
        <f>I5</f>
        <v>956.6288052530675</v>
      </c>
      <c r="J19" s="135">
        <f>'Sheet 1'!$A$6</f>
        <v>739.16136007538</v>
      </c>
      <c r="K19" s="135">
        <f>'Sheet 1'!$A$5</f>
        <v>1165.9566719528407</v>
      </c>
      <c r="L19" s="136"/>
      <c r="M19" s="135">
        <f>(Calculator!C28/1.25)*85/M6</f>
        <v>850</v>
      </c>
      <c r="N19" s="135">
        <f>M19/1000</f>
        <v>0.85</v>
      </c>
      <c r="O19" s="135"/>
      <c r="P19" s="135"/>
      <c r="Q19" s="135"/>
      <c r="R19" s="136"/>
    </row>
    <row r="20" spans="1:18" ht="12.75">
      <c r="A20" s="136"/>
      <c r="B20" s="136"/>
      <c r="C20" s="135"/>
      <c r="D20" s="135"/>
      <c r="E20" s="135"/>
      <c r="F20" s="135"/>
      <c r="G20" s="135">
        <f>IF('Sheet 1'!P10&gt;0,G15+'Sheet 1'!A1,3)</f>
        <v>12.72310093552212</v>
      </c>
      <c r="H20" s="135">
        <f>IF('Sheet 1'!P10&gt;0,'Sheet 1'!G41,'Sheet 1'!G42)</f>
        <v>1165.9566719528407</v>
      </c>
      <c r="I20" s="135">
        <f>I5</f>
        <v>956.6288052530675</v>
      </c>
      <c r="J20" s="135">
        <f>'Sheet 1'!$A$6</f>
        <v>739.16136007538</v>
      </c>
      <c r="K20" s="135">
        <f>'Sheet 1'!$A$5</f>
        <v>1165.9566719528407</v>
      </c>
      <c r="L20" s="136"/>
      <c r="M20" s="135">
        <f>M18-M19</f>
        <v>300</v>
      </c>
      <c r="N20" s="135"/>
      <c r="O20" s="135"/>
      <c r="P20" s="135"/>
      <c r="Q20" s="135"/>
      <c r="R20" s="136"/>
    </row>
    <row r="21" spans="1:18" ht="12.75">
      <c r="A21" s="136"/>
      <c r="B21" s="136"/>
      <c r="C21" s="135"/>
      <c r="D21" s="135"/>
      <c r="E21" s="135"/>
      <c r="F21" s="135"/>
      <c r="G21" s="135">
        <f>G20+(G25-G20)/5</f>
        <v>12.85383336283768</v>
      </c>
      <c r="H21" s="135">
        <f>H11</f>
        <v>1080.4650004013354</v>
      </c>
      <c r="I21" s="135">
        <f>I5</f>
        <v>956.6288052530675</v>
      </c>
      <c r="J21" s="135">
        <f>'Sheet 1'!$A$6</f>
        <v>739.16136007538</v>
      </c>
      <c r="K21" s="135">
        <f>'Sheet 1'!$A$5</f>
        <v>1165.9566719528407</v>
      </c>
      <c r="L21" s="136"/>
      <c r="M21" s="135">
        <f>(M18+M19)/2</f>
        <v>1000</v>
      </c>
      <c r="N21" s="135"/>
      <c r="O21" s="135"/>
      <c r="P21" s="135"/>
      <c r="Q21" s="135"/>
      <c r="R21" s="136"/>
    </row>
    <row r="22" spans="1:18" ht="12.75">
      <c r="A22" s="136"/>
      <c r="B22" s="136"/>
      <c r="C22" s="135"/>
      <c r="D22" s="135"/>
      <c r="E22" s="135"/>
      <c r="F22" s="135"/>
      <c r="G22" s="135">
        <f>G20+2*(G25-G20)/5</f>
        <v>12.984565790153239</v>
      </c>
      <c r="H22" s="135">
        <f>H12</f>
        <v>995.0396849214533</v>
      </c>
      <c r="I22" s="135">
        <f>I5</f>
        <v>956.6288052530675</v>
      </c>
      <c r="J22" s="135">
        <f>'Sheet 1'!$A$6</f>
        <v>739.16136007538</v>
      </c>
      <c r="K22" s="135">
        <f>'Sheet 1'!$A$5</f>
        <v>1165.9566719528407</v>
      </c>
      <c r="L22" s="136"/>
      <c r="M22" s="135"/>
      <c r="N22" s="135"/>
      <c r="O22" s="135"/>
      <c r="P22" s="135"/>
      <c r="Q22" s="135"/>
      <c r="R22" s="136"/>
    </row>
    <row r="23" spans="1:18" ht="12.75">
      <c r="A23" s="136"/>
      <c r="B23" s="136"/>
      <c r="C23" s="135"/>
      <c r="D23" s="135"/>
      <c r="E23" s="135"/>
      <c r="F23" s="135"/>
      <c r="G23" s="135">
        <f>G20+3*(G25-G20)/5</f>
        <v>13.115298217468796</v>
      </c>
      <c r="H23" s="135">
        <f>H13</f>
        <v>909.6806740095808</v>
      </c>
      <c r="I23" s="135">
        <f>I5</f>
        <v>956.6288052530675</v>
      </c>
      <c r="J23" s="135">
        <f>'Sheet 1'!$A$6</f>
        <v>739.16136007538</v>
      </c>
      <c r="K23" s="135">
        <f>'Sheet 1'!$A$5</f>
        <v>1165.9566719528407</v>
      </c>
      <c r="L23" s="136"/>
      <c r="M23" s="135">
        <f>M21*M3*M4</f>
        <v>21000</v>
      </c>
      <c r="N23" s="135"/>
      <c r="O23" s="135"/>
      <c r="P23" s="135"/>
      <c r="Q23" s="135"/>
      <c r="R23" s="136"/>
    </row>
    <row r="24" spans="1:18" ht="12.75">
      <c r="A24" s="136"/>
      <c r="B24" s="136"/>
      <c r="C24" s="135"/>
      <c r="D24" s="135"/>
      <c r="E24" s="135"/>
      <c r="F24" s="135"/>
      <c r="G24" s="135">
        <f>G20+4*(G25-G20)/5</f>
        <v>13.246030644784355</v>
      </c>
      <c r="H24" s="135">
        <f>H14</f>
        <v>824.3879162021162</v>
      </c>
      <c r="I24" s="135">
        <f>I5</f>
        <v>956.6288052530675</v>
      </c>
      <c r="J24" s="135">
        <f>'Sheet 1'!$A$6</f>
        <v>739.16136007538</v>
      </c>
      <c r="K24" s="135">
        <f>'Sheet 1'!$A$5</f>
        <v>1165.9566719528407</v>
      </c>
      <c r="L24" s="136"/>
      <c r="M24" s="135">
        <f>1*(2.5*M2+250)</f>
        <v>310</v>
      </c>
      <c r="N24" s="135"/>
      <c r="O24" s="135"/>
      <c r="P24" s="135"/>
      <c r="Q24" s="135"/>
      <c r="R24" s="136"/>
    </row>
    <row r="25" spans="1:18" ht="12.75">
      <c r="A25" s="136"/>
      <c r="B25" s="136"/>
      <c r="C25" s="135"/>
      <c r="D25" s="135"/>
      <c r="E25" s="135"/>
      <c r="F25" s="135"/>
      <c r="G25" s="135">
        <f>IF('Sheet 1'!P10&gt;0,2*G15,4)</f>
        <v>13.376763072099914</v>
      </c>
      <c r="H25" s="135">
        <f>'Sheet 1'!G42</f>
        <v>739.16136007538</v>
      </c>
      <c r="I25" s="135">
        <f>I5</f>
        <v>956.6288052530675</v>
      </c>
      <c r="J25" s="135">
        <f>'Sheet 1'!$A$6</f>
        <v>739.16136007538</v>
      </c>
      <c r="K25" s="135">
        <f>'Sheet 1'!$A$5</f>
        <v>1165.9566719528407</v>
      </c>
      <c r="L25" s="136"/>
      <c r="M25" s="135">
        <f>M14*M21*M21*Calculator!C26/1000</f>
        <v>457.8912957455342</v>
      </c>
      <c r="N25" s="135"/>
      <c r="O25" s="135"/>
      <c r="P25" s="135"/>
      <c r="Q25" s="135"/>
      <c r="R25" s="136"/>
    </row>
    <row r="26" spans="1:18" ht="12.75">
      <c r="A26" s="136"/>
      <c r="B26" s="136"/>
      <c r="C26" s="136"/>
      <c r="D26" s="136"/>
      <c r="E26" s="136"/>
      <c r="F26" s="136"/>
      <c r="G26" s="136"/>
      <c r="H26" s="136"/>
      <c r="I26" s="136"/>
      <c r="J26" s="136"/>
      <c r="K26" s="136"/>
      <c r="L26" s="136"/>
      <c r="M26" s="135">
        <f>M21*(M2-(M3*M4))*0.045/(M12+M13)</f>
        <v>22.32484758380561</v>
      </c>
      <c r="N26" s="135"/>
      <c r="O26" s="135"/>
      <c r="P26" s="135"/>
      <c r="Q26" s="135"/>
      <c r="R26" s="136"/>
    </row>
    <row r="27" spans="1:18" ht="12.75">
      <c r="A27" s="136"/>
      <c r="B27" s="136"/>
      <c r="C27" s="136"/>
      <c r="D27" s="136"/>
      <c r="E27" s="136"/>
      <c r="F27" s="136"/>
      <c r="G27" s="136"/>
      <c r="H27" s="136"/>
      <c r="I27" s="136"/>
      <c r="J27" s="136"/>
      <c r="K27" s="136"/>
      <c r="L27" s="136"/>
      <c r="M27" s="135">
        <f>M2*M24/1000+M25+M26</f>
        <v>487.6561433293398</v>
      </c>
      <c r="N27" s="135"/>
      <c r="O27" s="135"/>
      <c r="P27" s="135"/>
      <c r="Q27" s="135"/>
      <c r="R27" s="136"/>
    </row>
    <row r="28" spans="1:18" ht="12.75">
      <c r="A28" s="136"/>
      <c r="B28" s="136"/>
      <c r="C28" s="136"/>
      <c r="D28" s="136"/>
      <c r="E28" s="136"/>
      <c r="F28" s="136"/>
      <c r="G28" s="136"/>
      <c r="H28" s="136"/>
      <c r="I28" s="136"/>
      <c r="J28" s="136"/>
      <c r="K28" s="136"/>
      <c r="L28" s="136"/>
      <c r="M28" s="135">
        <f>(1-M14)*M21*M5</f>
        <v>30.31826706321536</v>
      </c>
      <c r="N28" s="135"/>
      <c r="O28" s="135"/>
      <c r="P28" s="135"/>
      <c r="Q28" s="135"/>
      <c r="R28" s="136"/>
    </row>
    <row r="29" spans="1:18" ht="12.75">
      <c r="A29" s="136"/>
      <c r="B29" s="136"/>
      <c r="C29" s="136"/>
      <c r="D29" s="136"/>
      <c r="E29" s="136"/>
      <c r="F29" s="136"/>
      <c r="G29" s="136"/>
      <c r="H29" s="136"/>
      <c r="I29" s="136"/>
      <c r="J29" s="136"/>
      <c r="K29" s="136"/>
      <c r="L29" s="136"/>
      <c r="M29" s="135">
        <f>M21*M21*M6/1000</f>
        <v>100</v>
      </c>
      <c r="N29" s="135"/>
      <c r="O29" s="135"/>
      <c r="P29" s="135"/>
      <c r="Q29" s="135"/>
      <c r="R29" s="136"/>
    </row>
    <row r="30" spans="1:18" ht="12.75">
      <c r="A30" s="136"/>
      <c r="B30" s="136"/>
      <c r="C30" s="136"/>
      <c r="D30" s="136"/>
      <c r="E30" s="136"/>
      <c r="F30" s="136"/>
      <c r="G30" s="136"/>
      <c r="H30" s="136"/>
      <c r="I30" s="136"/>
      <c r="J30" s="136"/>
      <c r="K30" s="136"/>
      <c r="L30" s="136"/>
      <c r="M30" s="135">
        <f>M21*M21*M8/1000</f>
        <v>96</v>
      </c>
      <c r="N30" s="135"/>
      <c r="O30" s="135"/>
      <c r="P30" s="135"/>
      <c r="Q30" s="135"/>
      <c r="R30" s="136"/>
    </row>
    <row r="31" spans="1:18" ht="12.75">
      <c r="A31" s="136"/>
      <c r="B31" s="136"/>
      <c r="C31" s="136"/>
      <c r="D31" s="136"/>
      <c r="E31" s="136"/>
      <c r="F31" s="136"/>
      <c r="G31" s="136"/>
      <c r="H31" s="136"/>
      <c r="I31" s="136"/>
      <c r="J31" s="136"/>
      <c r="K31" s="136"/>
      <c r="L31" s="136"/>
      <c r="M31" s="135">
        <f>100*M23/(M23+M27+M28+M30+M29)</f>
        <v>96.71191281292641</v>
      </c>
      <c r="N31" s="135"/>
      <c r="O31" s="135"/>
      <c r="P31" s="135"/>
      <c r="Q31" s="135"/>
      <c r="R31" s="136"/>
    </row>
    <row r="32" spans="1:18" ht="12.75">
      <c r="A32" s="136"/>
      <c r="B32" s="136"/>
      <c r="C32" s="136"/>
      <c r="D32" s="136"/>
      <c r="E32" s="136"/>
      <c r="F32" s="136"/>
      <c r="G32" s="136"/>
      <c r="H32" s="136"/>
      <c r="I32" s="136"/>
      <c r="J32" s="136"/>
      <c r="K32" s="136"/>
      <c r="L32" s="136"/>
      <c r="M32" s="135">
        <f>100*M21*M4*M3/M2/M31</f>
        <v>904.7489337663565</v>
      </c>
      <c r="N32" s="135"/>
      <c r="O32" s="135"/>
      <c r="P32" s="135"/>
      <c r="Q32" s="135"/>
      <c r="R32" s="136"/>
    </row>
    <row r="33" spans="1:18" ht="12.75">
      <c r="A33" s="136"/>
      <c r="B33" s="136"/>
      <c r="C33" s="136"/>
      <c r="D33" s="136"/>
      <c r="E33" s="136"/>
      <c r="F33" s="136"/>
      <c r="G33" s="136"/>
      <c r="H33" s="136"/>
      <c r="I33" s="136"/>
      <c r="J33" s="136"/>
      <c r="K33" s="136"/>
      <c r="L33" s="136"/>
      <c r="M33" s="136"/>
      <c r="N33" s="136"/>
      <c r="O33" s="136"/>
      <c r="P33" s="136"/>
      <c r="Q33" s="136"/>
      <c r="R33" s="136"/>
    </row>
    <row r="34" spans="1:18" ht="12.75">
      <c r="A34" s="136"/>
      <c r="B34" s="136"/>
      <c r="C34" s="136"/>
      <c r="D34" s="136"/>
      <c r="E34" s="136"/>
      <c r="F34" s="136"/>
      <c r="G34" s="136"/>
      <c r="H34" s="136"/>
      <c r="I34" s="136"/>
      <c r="J34" s="136"/>
      <c r="K34" s="136"/>
      <c r="L34" s="136"/>
      <c r="M34" s="136"/>
      <c r="N34" s="136"/>
      <c r="O34" s="136"/>
      <c r="P34" s="136"/>
      <c r="Q34" s="136"/>
      <c r="R34" s="136"/>
    </row>
    <row r="35" spans="1:18" ht="12.75">
      <c r="A35" s="136"/>
      <c r="B35" s="136"/>
      <c r="C35" s="136"/>
      <c r="D35" s="136"/>
      <c r="E35" s="136"/>
      <c r="F35" s="136"/>
      <c r="G35" s="135">
        <f>'Sheet 1'!O4</f>
        <v>6.034719399472164E-06</v>
      </c>
      <c r="H35" s="135"/>
      <c r="I35" s="135">
        <f>-'Sheet 1'!P13*1000*(1-EXP(-'Sheet 1'!P8*'Sheet 1'!N11/'Sheet 1'!M7))+H42*EXP(-'Sheet 1'!P8*'Sheet 1'!N11/'Sheet 1'!M7)</f>
        <v>739.16136007538</v>
      </c>
      <c r="J35" s="135">
        <f>'Sheet 1'!O2*1000-(('Sheet 1'!O2*1000)-H41)*I41</f>
        <v>1165.9566719528407</v>
      </c>
      <c r="K35" s="135"/>
      <c r="L35" s="135"/>
      <c r="M35" s="136"/>
      <c r="N35" s="136"/>
      <c r="O35" s="136"/>
      <c r="P35" s="136"/>
      <c r="Q35" s="136"/>
      <c r="R35" s="136"/>
    </row>
    <row r="36" spans="1:18" ht="12.75">
      <c r="A36" s="136"/>
      <c r="B36" s="136"/>
      <c r="C36" s="136"/>
      <c r="D36" s="136"/>
      <c r="E36" s="136"/>
      <c r="F36" s="136"/>
      <c r="G36" s="135">
        <f>'Sheet 1'!O7</f>
        <v>6.536621365777932E-07</v>
      </c>
      <c r="H36" s="135"/>
      <c r="I36" s="135">
        <f>IF(I35&gt;J36,J36,I35)</f>
        <v>739.16136007538</v>
      </c>
      <c r="J36" s="135">
        <f>IF('Sheet 1'!O2&gt;'Sheet 1'!P2,J35,'Sheet 1'!O2*1000)</f>
        <v>1165.9566719528407</v>
      </c>
      <c r="K36" s="135"/>
      <c r="L36" s="135"/>
      <c r="M36" s="136"/>
      <c r="N36" s="136"/>
      <c r="O36" s="136"/>
      <c r="P36" s="136"/>
      <c r="Q36" s="136"/>
      <c r="R36" s="136"/>
    </row>
    <row r="37" spans="1:18" ht="12.75">
      <c r="A37" s="136"/>
      <c r="B37" s="136"/>
      <c r="C37" s="136"/>
      <c r="D37" s="136"/>
      <c r="E37" s="136"/>
      <c r="F37" s="136"/>
      <c r="G37" s="135">
        <f>G35/(G35+G36)</f>
        <v>0.9022690118596561</v>
      </c>
      <c r="H37" s="135"/>
      <c r="I37" s="135"/>
      <c r="J37" s="135"/>
      <c r="K37" s="135"/>
      <c r="L37" s="135"/>
      <c r="M37" s="136"/>
      <c r="N37" s="136"/>
      <c r="O37" s="136"/>
      <c r="P37" s="136"/>
      <c r="Q37" s="136"/>
      <c r="R37" s="136"/>
    </row>
    <row r="38" spans="1:18" ht="12.75">
      <c r="A38" s="136"/>
      <c r="B38" s="136"/>
      <c r="C38" s="136"/>
      <c r="D38" s="136"/>
      <c r="E38" s="136"/>
      <c r="F38" s="136"/>
      <c r="G38" s="135">
        <f>1000/(G35+G36)</f>
        <v>149513001.70453236</v>
      </c>
      <c r="H38" s="135"/>
      <c r="I38" s="135">
        <f>0.000001*('Sheet 1'!M7/'Sheet 1'!N5)*LN(('Sheet 1'!O2*1000-G42)/('Sheet 1'!O2*1000-H42))</f>
        <v>1.494899957562837E-06</v>
      </c>
      <c r="J38" s="135">
        <f>0.000001*('Sheet 1'!M7/'Sheet 1'!P8)*LN((G41/1000+'Sheet 1'!P13)/(H41/1000+'Sheet 1'!P13))</f>
        <v>2.4392970747020865E-08</v>
      </c>
      <c r="K38" s="135"/>
      <c r="L38" s="135"/>
      <c r="M38" s="136"/>
      <c r="N38" s="136"/>
      <c r="O38" s="136"/>
      <c r="P38" s="136"/>
      <c r="Q38" s="136"/>
      <c r="R38" s="136"/>
    </row>
    <row r="39" spans="1:18" ht="12.75">
      <c r="A39" s="136"/>
      <c r="B39" s="136"/>
      <c r="C39" s="136"/>
      <c r="D39" s="136"/>
      <c r="E39" s="136"/>
      <c r="F39" s="136"/>
      <c r="G39" s="135"/>
      <c r="H39" s="135"/>
      <c r="I39" s="135"/>
      <c r="J39" s="135"/>
      <c r="K39" s="135"/>
      <c r="L39" s="135"/>
      <c r="M39" s="136"/>
      <c r="N39" s="136"/>
      <c r="O39" s="136"/>
      <c r="P39" s="136"/>
      <c r="Q39" s="136"/>
      <c r="R39" s="136"/>
    </row>
    <row r="40" spans="1:18" ht="12.75">
      <c r="A40" s="136"/>
      <c r="B40" s="136"/>
      <c r="C40" s="136"/>
      <c r="D40" s="136"/>
      <c r="E40" s="136"/>
      <c r="F40" s="136"/>
      <c r="G40" s="135"/>
      <c r="H40" s="135"/>
      <c r="I40" s="135"/>
      <c r="J40" s="135"/>
      <c r="K40" s="135"/>
      <c r="L40" s="135"/>
      <c r="M40" s="136"/>
      <c r="N40" s="136"/>
      <c r="O40" s="136"/>
      <c r="P40" s="136"/>
      <c r="Q40" s="136"/>
      <c r="R40" s="136"/>
    </row>
    <row r="41" spans="1:18" ht="12.75">
      <c r="A41" s="136"/>
      <c r="B41" s="136"/>
      <c r="C41" s="136"/>
      <c r="D41" s="136"/>
      <c r="E41" s="136"/>
      <c r="F41" s="136"/>
      <c r="G41" s="135">
        <f>J36</f>
        <v>1165.9566719528407</v>
      </c>
      <c r="H41" s="135">
        <f>(Calculator!C28/1.25)*115/'Sheet 1'!M6</f>
        <v>1150</v>
      </c>
      <c r="I41" s="135">
        <f>EXP(-'Sheet 1'!N5*'Sheet 1'!N10/'Sheet 1'!M7)</f>
        <v>0.994950971231507</v>
      </c>
      <c r="J41" s="135"/>
      <c r="K41" s="135"/>
      <c r="L41" s="135"/>
      <c r="M41" s="136"/>
      <c r="N41" s="136"/>
      <c r="O41" s="136"/>
      <c r="P41" s="136"/>
      <c r="Q41" s="136"/>
      <c r="R41" s="136"/>
    </row>
    <row r="42" spans="1:18" ht="12.75">
      <c r="A42" s="136"/>
      <c r="B42" s="136"/>
      <c r="C42" s="136"/>
      <c r="D42" s="136"/>
      <c r="E42" s="136"/>
      <c r="F42" s="136"/>
      <c r="G42" s="135">
        <f>I36</f>
        <v>739.16136007538</v>
      </c>
      <c r="H42" s="135">
        <f>(Calculator!C28/1.25)*85/'Sheet 1'!M6</f>
        <v>850</v>
      </c>
      <c r="I42" s="135">
        <f>EXP('Sheet 1'!P8*'Sheet 1'!N11/'Sheet 1'!M7)</f>
        <v>1.001010206885288</v>
      </c>
      <c r="J42" s="135"/>
      <c r="K42" s="135"/>
      <c r="L42" s="135"/>
      <c r="M42" s="136"/>
      <c r="N42" s="136"/>
      <c r="O42" s="136"/>
      <c r="P42" s="136"/>
      <c r="Q42" s="136"/>
      <c r="R42" s="136"/>
    </row>
    <row r="43" spans="1:18" ht="12.75">
      <c r="A43" s="136"/>
      <c r="B43" s="136"/>
      <c r="C43" s="136"/>
      <c r="D43" s="136"/>
      <c r="E43" s="136"/>
      <c r="F43" s="136"/>
      <c r="G43" s="135">
        <f>G41-G42</f>
        <v>426.7953118774607</v>
      </c>
      <c r="H43" s="135"/>
      <c r="I43" s="135"/>
      <c r="J43" s="135"/>
      <c r="K43" s="135"/>
      <c r="L43" s="135"/>
      <c r="M43" s="136"/>
      <c r="N43" s="136"/>
      <c r="O43" s="136"/>
      <c r="P43" s="136"/>
      <c r="Q43" s="136"/>
      <c r="R43" s="136"/>
    </row>
    <row r="44" spans="1:18" ht="12.75">
      <c r="A44" s="136"/>
      <c r="B44" s="136"/>
      <c r="C44" s="136"/>
      <c r="D44" s="136"/>
      <c r="E44" s="136"/>
      <c r="F44" s="136"/>
      <c r="G44" s="135">
        <f>(G41+G42)/2</f>
        <v>952.5590160141103</v>
      </c>
      <c r="H44" s="135"/>
      <c r="I44" s="135"/>
      <c r="J44" s="135"/>
      <c r="K44" s="135"/>
      <c r="L44" s="135"/>
      <c r="M44" s="136"/>
      <c r="N44" s="136"/>
      <c r="O44" s="136"/>
      <c r="P44" s="136"/>
      <c r="Q44" s="136"/>
      <c r="R44" s="136"/>
    </row>
    <row r="45" spans="1:18" ht="12.75">
      <c r="A45" s="136"/>
      <c r="B45" s="136"/>
      <c r="C45" s="136"/>
      <c r="D45" s="136"/>
      <c r="E45" s="136"/>
      <c r="F45" s="136"/>
      <c r="G45" s="135"/>
      <c r="H45" s="135"/>
      <c r="I45" s="135"/>
      <c r="J45" s="135"/>
      <c r="K45" s="135"/>
      <c r="L45" s="135"/>
      <c r="M45" s="136"/>
      <c r="N45" s="136"/>
      <c r="O45" s="136"/>
      <c r="P45" s="136"/>
      <c r="Q45" s="136"/>
      <c r="R45" s="136"/>
    </row>
    <row r="46" spans="1:18" ht="12.75">
      <c r="A46" s="136"/>
      <c r="B46" s="136"/>
      <c r="C46" s="136"/>
      <c r="D46" s="136"/>
      <c r="E46" s="136"/>
      <c r="F46" s="136"/>
      <c r="G46" s="135">
        <f>G44*'Sheet 1'!M3*'Sheet 1'!M4</f>
        <v>20003.73933629632</v>
      </c>
      <c r="H46" s="135"/>
      <c r="I46" s="135"/>
      <c r="J46" s="135"/>
      <c r="K46" s="135"/>
      <c r="L46" s="135"/>
      <c r="M46" s="136"/>
      <c r="N46" s="136"/>
      <c r="O46" s="136"/>
      <c r="P46" s="136"/>
      <c r="Q46" s="136"/>
      <c r="R46" s="136"/>
    </row>
    <row r="47" spans="1:18" ht="12.75">
      <c r="A47" s="136"/>
      <c r="B47" s="136"/>
      <c r="C47" s="136"/>
      <c r="D47" s="136"/>
      <c r="E47" s="136"/>
      <c r="F47" s="136"/>
      <c r="G47" s="135">
        <f>1*(7.5*'Sheet 1'!M2+750)</f>
        <v>930</v>
      </c>
      <c r="H47" s="135"/>
      <c r="I47" s="135"/>
      <c r="J47" s="135"/>
      <c r="K47" s="135"/>
      <c r="L47" s="135"/>
      <c r="M47" s="136"/>
      <c r="N47" s="136"/>
      <c r="O47" s="136"/>
      <c r="P47" s="136"/>
      <c r="Q47" s="136"/>
      <c r="R47" s="136"/>
    </row>
    <row r="48" spans="1:18" ht="12.75">
      <c r="A48" s="136"/>
      <c r="B48" s="136"/>
      <c r="C48" s="136"/>
      <c r="D48" s="136"/>
      <c r="E48" s="136"/>
      <c r="F48" s="136"/>
      <c r="G48" s="135">
        <f>'Sheet 1'!M14*'Sheet 1'!M21*'Sheet 1'!M21*Calculator!C26/1000</f>
        <v>457.8912957455342</v>
      </c>
      <c r="H48" s="135"/>
      <c r="I48" s="135"/>
      <c r="J48" s="135"/>
      <c r="K48" s="135"/>
      <c r="L48" s="135"/>
      <c r="M48" s="136"/>
      <c r="N48" s="136"/>
      <c r="O48" s="136"/>
      <c r="P48" s="136"/>
      <c r="Q48" s="136"/>
      <c r="R48" s="136"/>
    </row>
    <row r="49" spans="1:18" ht="12.75">
      <c r="A49" s="136"/>
      <c r="B49" s="136"/>
      <c r="C49" s="136"/>
      <c r="D49" s="136"/>
      <c r="E49" s="136"/>
      <c r="F49" s="136"/>
      <c r="G49" s="135">
        <f>((Calculator!C25*J35*('Sheet 1'!M2-'Sheet 1'!N4)*('Sheet 1'!M2-'Sheet 1'!N4)/4/'Sheet 1'!M2)+(Calculator!C24*I35*('Sheet 1'!M2+'Sheet 1'!M5))/2)/(G35+G36)/1000000000</f>
        <v>27.411558306900467</v>
      </c>
      <c r="H49" s="135"/>
      <c r="I49" s="135"/>
      <c r="J49" s="135"/>
      <c r="K49" s="135"/>
      <c r="L49" s="135"/>
      <c r="M49" s="136"/>
      <c r="N49" s="136"/>
      <c r="O49" s="136"/>
      <c r="P49" s="136"/>
      <c r="Q49" s="136"/>
      <c r="R49" s="136"/>
    </row>
    <row r="50" spans="1:18" ht="12.75">
      <c r="A50" s="136"/>
      <c r="B50" s="136"/>
      <c r="C50" s="136"/>
      <c r="D50" s="136"/>
      <c r="E50" s="136"/>
      <c r="F50" s="136"/>
      <c r="G50" s="135">
        <f>'Sheet 1'!M2*'Sheet 1'!M24/1000+'Sheet 1'!A11+'Sheet 1'!A12</f>
        <v>447.7021905237704</v>
      </c>
      <c r="H50" s="135"/>
      <c r="I50" s="135"/>
      <c r="J50" s="135"/>
      <c r="K50" s="135"/>
      <c r="L50" s="135"/>
      <c r="M50" s="136"/>
      <c r="N50" s="136"/>
      <c r="O50" s="136"/>
      <c r="P50" s="136"/>
      <c r="Q50" s="136"/>
      <c r="R50" s="136"/>
    </row>
    <row r="51" spans="1:18" ht="12.75">
      <c r="A51" s="136"/>
      <c r="B51" s="136"/>
      <c r="C51" s="136"/>
      <c r="D51" s="136"/>
      <c r="E51" s="136"/>
      <c r="F51" s="136"/>
      <c r="G51" s="135">
        <f>(1-'Sheet 1'!A3)*'Sheet 1'!A8*Calculator!C14</f>
        <v>33.657220231523596</v>
      </c>
      <c r="H51" s="135"/>
      <c r="I51" s="135"/>
      <c r="J51" s="135"/>
      <c r="K51" s="135"/>
      <c r="L51" s="135"/>
      <c r="M51" s="136"/>
      <c r="N51" s="136"/>
      <c r="O51" s="136"/>
      <c r="P51" s="136"/>
      <c r="Q51" s="136"/>
      <c r="R51" s="136"/>
    </row>
    <row r="52" spans="1:18" ht="12.75">
      <c r="A52" s="136"/>
      <c r="B52" s="136"/>
      <c r="C52" s="136"/>
      <c r="D52" s="136"/>
      <c r="E52" s="136"/>
      <c r="F52" s="136"/>
      <c r="G52" s="135">
        <f>'Sheet 1'!A8*'Sheet 1'!A8*'Sheet 1'!M6/1000</f>
        <v>91.51386710399116</v>
      </c>
      <c r="H52" s="135"/>
      <c r="I52" s="135"/>
      <c r="J52" s="135"/>
      <c r="K52" s="135"/>
      <c r="L52" s="135"/>
      <c r="M52" s="136"/>
      <c r="N52" s="136"/>
      <c r="O52" s="136"/>
      <c r="P52" s="136"/>
      <c r="Q52" s="136"/>
      <c r="R52" s="136"/>
    </row>
    <row r="53" spans="1:18" ht="12.75">
      <c r="A53" s="136"/>
      <c r="B53" s="136"/>
      <c r="C53" s="136"/>
      <c r="D53" s="136"/>
      <c r="E53" s="136"/>
      <c r="F53" s="136"/>
      <c r="G53" s="135">
        <f>'Sheet 1'!M21*'Sheet 1'!M21*'Sheet 1'!M8/1000</f>
        <v>96</v>
      </c>
      <c r="H53" s="135"/>
      <c r="I53" s="135"/>
      <c r="J53" s="135"/>
      <c r="K53" s="135"/>
      <c r="L53" s="135"/>
      <c r="M53" s="136"/>
      <c r="N53" s="136"/>
      <c r="O53" s="136"/>
      <c r="P53" s="136"/>
      <c r="Q53" s="136"/>
      <c r="R53" s="136"/>
    </row>
    <row r="54" spans="1:18" ht="12.75">
      <c r="A54" s="136"/>
      <c r="B54" s="136"/>
      <c r="C54" s="136"/>
      <c r="D54" s="136"/>
      <c r="E54" s="136"/>
      <c r="F54" s="136"/>
      <c r="G54" s="135">
        <f>100*'Sheet 1'!A10*1000/('Sheet 1'!A10*1000+Calculator!G25+Calculator!G26+'Sheet 1'!A14+Calculator!G27)</f>
        <v>96.8157649568134</v>
      </c>
      <c r="H54" s="135"/>
      <c r="I54" s="135"/>
      <c r="J54" s="135"/>
      <c r="K54" s="135"/>
      <c r="L54" s="135"/>
      <c r="M54" s="136"/>
      <c r="N54" s="136"/>
      <c r="O54" s="136"/>
      <c r="P54" s="136"/>
      <c r="Q54" s="136"/>
      <c r="R54" s="136"/>
    </row>
    <row r="55" spans="1:18" ht="12.75">
      <c r="A55" s="136"/>
      <c r="B55" s="136"/>
      <c r="C55" s="136"/>
      <c r="D55" s="136"/>
      <c r="E55" s="136"/>
      <c r="F55" s="136"/>
      <c r="G55" s="135">
        <f>100*'Sheet 1'!I3*'Sheet 1'!N4/Calculator!C11/G54</f>
        <v>864.9924064700418</v>
      </c>
      <c r="H55" s="135"/>
      <c r="I55" s="135"/>
      <c r="J55" s="135"/>
      <c r="K55" s="135"/>
      <c r="L55" s="135"/>
      <c r="M55" s="136"/>
      <c r="N55" s="136"/>
      <c r="O55" s="136"/>
      <c r="P55" s="136"/>
      <c r="Q55" s="136"/>
      <c r="R55" s="136"/>
    </row>
    <row r="56" spans="1:18" ht="12.75">
      <c r="A56" s="136"/>
      <c r="B56" s="136"/>
      <c r="C56" s="136"/>
      <c r="D56" s="136"/>
      <c r="E56" s="136"/>
      <c r="F56" s="136"/>
      <c r="G56" s="135">
        <f>(Calculator!C26/1.5)*((0.00002*G57*G57)+(0.006*G57)+1.3269)</f>
        <v>0.6275455005140167</v>
      </c>
      <c r="H56" s="135"/>
      <c r="I56" s="135"/>
      <c r="J56" s="135"/>
      <c r="K56" s="135"/>
      <c r="L56" s="135"/>
      <c r="M56" s="136"/>
      <c r="N56" s="136"/>
      <c r="O56" s="136"/>
      <c r="P56" s="136"/>
      <c r="Q56" s="136"/>
      <c r="R56" s="136"/>
    </row>
    <row r="57" spans="1:18" ht="12.75">
      <c r="A57" s="136"/>
      <c r="B57" s="136"/>
      <c r="C57" s="136"/>
      <c r="D57" s="136"/>
      <c r="E57" s="136"/>
      <c r="F57" s="136"/>
      <c r="G57" s="135">
        <f>'Sheet 1'!M9+(Calculator!C27/1000)*G50</f>
        <v>74.24724095761474</v>
      </c>
      <c r="H57" s="135"/>
      <c r="I57" s="135"/>
      <c r="J57" s="135"/>
      <c r="K57" s="135"/>
      <c r="L57" s="135"/>
      <c r="M57" s="136"/>
      <c r="N57" s="136"/>
      <c r="O57" s="136"/>
      <c r="P57" s="136"/>
      <c r="Q57" s="136"/>
      <c r="R57" s="136"/>
    </row>
    <row r="58" spans="1:18" ht="12.75">
      <c r="A58" s="136"/>
      <c r="B58" s="136"/>
      <c r="C58" s="136"/>
      <c r="D58" s="136"/>
      <c r="E58" s="136"/>
      <c r="F58" s="136"/>
      <c r="G58" s="136"/>
      <c r="H58" s="136"/>
      <c r="I58" s="136"/>
      <c r="J58" s="136"/>
      <c r="K58" s="136"/>
      <c r="L58" s="136"/>
      <c r="M58" s="136"/>
      <c r="N58" s="136"/>
      <c r="O58" s="136"/>
      <c r="P58" s="136"/>
      <c r="Q58" s="136"/>
      <c r="R58" s="136"/>
    </row>
    <row r="59" spans="1:18" ht="12.75">
      <c r="A59" s="136"/>
      <c r="B59" s="136"/>
      <c r="C59" s="136"/>
      <c r="D59" s="136"/>
      <c r="E59" s="136"/>
      <c r="F59" s="136"/>
      <c r="G59" s="136"/>
      <c r="H59" s="136"/>
      <c r="I59" s="136"/>
      <c r="J59" s="136"/>
      <c r="K59" s="136"/>
      <c r="L59" s="136"/>
      <c r="M59" s="136"/>
      <c r="N59" s="136"/>
      <c r="O59" s="136"/>
      <c r="P59" s="136"/>
      <c r="Q59" s="136"/>
      <c r="R59" s="136"/>
    </row>
    <row r="60" spans="1:18" ht="12.75">
      <c r="A60" s="136"/>
      <c r="B60" s="136"/>
      <c r="C60" s="136"/>
      <c r="D60" s="136"/>
      <c r="E60" s="136"/>
      <c r="F60" s="136"/>
      <c r="G60" s="136"/>
      <c r="H60" s="136"/>
      <c r="I60" s="136"/>
      <c r="J60" s="136"/>
      <c r="K60" s="136"/>
      <c r="L60" s="136"/>
      <c r="M60" s="136"/>
      <c r="N60" s="136"/>
      <c r="O60" s="139"/>
      <c r="P60" s="139"/>
      <c r="Q60" s="139"/>
      <c r="R60" s="139"/>
    </row>
    <row r="61" spans="1:14" ht="12.75">
      <c r="A61" s="125"/>
      <c r="B61" s="125"/>
      <c r="C61" s="125"/>
      <c r="D61" s="125"/>
      <c r="E61" s="125"/>
      <c r="F61" s="125"/>
      <c r="G61" s="125"/>
      <c r="H61" s="125"/>
      <c r="I61" s="125"/>
      <c r="J61" s="125"/>
      <c r="K61" s="125"/>
      <c r="L61" s="125"/>
      <c r="M61" s="125"/>
      <c r="N61" s="125"/>
    </row>
    <row r="62" spans="1:14" ht="12.75">
      <c r="A62" s="125"/>
      <c r="B62" s="125"/>
      <c r="C62" s="125"/>
      <c r="D62" s="125"/>
      <c r="E62" s="125"/>
      <c r="F62" s="125"/>
      <c r="G62" s="125"/>
      <c r="H62" s="125"/>
      <c r="I62" s="125"/>
      <c r="J62" s="125"/>
      <c r="K62" s="125"/>
      <c r="L62" s="125"/>
      <c r="M62" s="125"/>
      <c r="N62" s="125"/>
    </row>
    <row r="63" spans="1:14" ht="12.75">
      <c r="A63" s="125"/>
      <c r="B63" s="125"/>
      <c r="C63" s="125"/>
      <c r="D63" s="125"/>
      <c r="E63" s="125"/>
      <c r="F63" s="125"/>
      <c r="G63" s="125"/>
      <c r="H63" s="125"/>
      <c r="I63" s="125"/>
      <c r="J63" s="125"/>
      <c r="K63" s="125"/>
      <c r="L63" s="125"/>
      <c r="M63" s="125"/>
      <c r="N63" s="125"/>
    </row>
    <row r="64" spans="1:14" ht="12.75">
      <c r="A64" s="125"/>
      <c r="B64" s="125"/>
      <c r="C64" s="125"/>
      <c r="D64" s="125"/>
      <c r="E64" s="125"/>
      <c r="F64" s="125"/>
      <c r="G64" s="125"/>
      <c r="H64" s="125"/>
      <c r="I64" s="125"/>
      <c r="J64" s="125"/>
      <c r="K64" s="125"/>
      <c r="L64" s="125"/>
      <c r="M64" s="125"/>
      <c r="N64" s="125"/>
    </row>
    <row r="65" spans="1:14" ht="12.75">
      <c r="A65" s="125"/>
      <c r="B65" s="125"/>
      <c r="C65" s="125"/>
      <c r="D65" s="125"/>
      <c r="E65" s="125"/>
      <c r="F65" s="125"/>
      <c r="G65" s="125"/>
      <c r="H65" s="125"/>
      <c r="I65" s="125"/>
      <c r="J65" s="125"/>
      <c r="K65" s="125"/>
      <c r="L65" s="125"/>
      <c r="M65" s="125"/>
      <c r="N65" s="125"/>
    </row>
    <row r="66" spans="1:14" ht="12.75">
      <c r="A66" s="125"/>
      <c r="B66" s="125"/>
      <c r="C66" s="125"/>
      <c r="D66" s="125"/>
      <c r="E66" s="125"/>
      <c r="F66" s="125"/>
      <c r="G66" s="125"/>
      <c r="H66" s="125"/>
      <c r="I66" s="125"/>
      <c r="J66" s="125"/>
      <c r="K66" s="125"/>
      <c r="L66" s="125"/>
      <c r="M66" s="125"/>
      <c r="N66" s="125"/>
    </row>
    <row r="67" spans="1:14" ht="12.75">
      <c r="A67" s="125"/>
      <c r="B67" s="125"/>
      <c r="C67" s="125"/>
      <c r="D67" s="125"/>
      <c r="E67" s="125"/>
      <c r="F67" s="125"/>
      <c r="G67" s="125"/>
      <c r="H67" s="125"/>
      <c r="I67" s="125"/>
      <c r="J67" s="125"/>
      <c r="K67" s="125"/>
      <c r="L67" s="125"/>
      <c r="M67" s="125"/>
      <c r="N67" s="125"/>
    </row>
  </sheetData>
  <sheetProtection/>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kwhite</cp:lastModifiedBy>
  <cp:lastPrinted>2007-03-20T09:09:28Z</cp:lastPrinted>
  <dcterms:created xsi:type="dcterms:W3CDTF">2006-02-03T08:56:35Z</dcterms:created>
  <dcterms:modified xsi:type="dcterms:W3CDTF">2007-03-21T11:12:37Z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